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70" windowWidth="12120" windowHeight="7560" tabRatio="875" firstSheet="10" activeTab="33"/>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 r:id="rId49"/>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24" i="31" l="1"/>
  <c r="B29" i="74"/>
  <c r="I19" i="3"/>
  <c r="F21" i="6"/>
  <c r="S19" i="3"/>
  <c r="F24" i="6" l="1"/>
  <c r="G23" i="6"/>
  <c r="G22" i="6"/>
  <c r="F20" i="6"/>
  <c r="AP14" i="3"/>
  <c r="AP15" i="3"/>
  <c r="AP16" i="3"/>
  <c r="AP17" i="3"/>
  <c r="AP18" i="3"/>
  <c r="AP19" i="3"/>
  <c r="AP13" i="3"/>
  <c r="AL14" i="3"/>
  <c r="AL15" i="3"/>
  <c r="AL16" i="3"/>
  <c r="AL17" i="3"/>
  <c r="AL18" i="3"/>
  <c r="AL19" i="3"/>
  <c r="AL13" i="3"/>
  <c r="AN22" i="3"/>
  <c r="A3" i="3"/>
  <c r="Q14" i="3"/>
  <c r="Q15" i="3"/>
  <c r="Q16" i="3"/>
  <c r="Q17" i="3"/>
  <c r="Q18" i="3"/>
  <c r="Q19" i="3"/>
  <c r="Q13" i="3"/>
  <c r="O21" i="3"/>
  <c r="M20" i="3"/>
  <c r="K14" i="3"/>
  <c r="K15" i="3"/>
  <c r="K16" i="3"/>
  <c r="K17" i="3"/>
  <c r="K18" i="3"/>
  <c r="K19" i="3"/>
  <c r="K13" i="3"/>
  <c r="I14" i="3"/>
  <c r="I15" i="3"/>
  <c r="I16" i="3"/>
  <c r="I17" i="3"/>
  <c r="I18" i="3"/>
  <c r="I13" i="3"/>
  <c r="J24" i="73" l="1"/>
  <c r="B24" i="74"/>
  <c r="B20" i="73"/>
  <c r="B28" i="73" l="1"/>
  <c r="I47" i="21" l="1"/>
  <c r="G47" i="21"/>
  <c r="E47" i="21"/>
  <c r="I48" i="34"/>
  <c r="G48" i="34"/>
  <c r="E48" i="34"/>
  <c r="B19" i="73" l="1"/>
  <c r="C19" i="73"/>
  <c r="B18" i="73"/>
  <c r="B17" i="73"/>
  <c r="C11" i="73"/>
  <c r="I1" i="73" l="1"/>
  <c r="I4" i="73"/>
  <c r="F22" i="73" s="1"/>
  <c r="K4" i="73" l="1"/>
  <c r="D73" i="39"/>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D22" i="71" l="1"/>
  <c r="D23" i="71"/>
  <c r="D23" i="72"/>
  <c r="G11" i="73"/>
  <c r="E20" i="73"/>
  <c r="B27" i="74" s="1"/>
  <c r="B27" i="31"/>
  <c r="B25" i="74"/>
  <c r="B25" i="31"/>
  <c r="P62" i="72"/>
  <c r="H11" i="73"/>
  <c r="D17" i="73"/>
  <c r="D20" i="73" s="1"/>
  <c r="E6" i="74"/>
  <c r="F6" i="74" s="1"/>
  <c r="G6" i="74" s="1"/>
  <c r="H6" i="74" s="1"/>
  <c r="I6" i="74" s="1"/>
  <c r="J6" i="74" s="1"/>
  <c r="K6" i="74" s="1"/>
  <c r="L6" i="74" s="1"/>
  <c r="M6" i="74" s="1"/>
  <c r="N6" i="74" s="1"/>
  <c r="O6" i="74" s="1"/>
  <c r="P6" i="74" s="1"/>
  <c r="Q6" i="74" s="1"/>
  <c r="R6" i="74" s="1"/>
  <c r="S6" i="74" s="1"/>
  <c r="C28" i="74"/>
  <c r="C25" i="74"/>
  <c r="P62" i="71"/>
  <c r="C12" i="73" l="1"/>
  <c r="C27" i="74"/>
  <c r="C29" i="74"/>
  <c r="B26" i="31"/>
  <c r="B26" i="74"/>
  <c r="C26" i="74" s="1"/>
  <c r="E73" i="39"/>
  <c r="F73" i="39" s="1"/>
  <c r="G73" i="39" s="1"/>
  <c r="H73" i="39" s="1"/>
  <c r="I73" i="39" s="1"/>
  <c r="J73" i="39" s="1"/>
  <c r="K73" i="39" s="1"/>
  <c r="L73" i="39" s="1"/>
  <c r="M73" i="39" s="1"/>
  <c r="N73" i="39" s="1"/>
  <c r="I40" i="39"/>
  <c r="G40" i="39"/>
  <c r="E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6" i="68"/>
  <c r="M24" i="68"/>
  <c r="F36" i="68"/>
  <c r="F38" i="68"/>
  <c r="M23" i="68"/>
  <c r="C76" i="68"/>
  <c r="F9" i="68"/>
  <c r="F40" i="68"/>
  <c r="F42" i="68"/>
  <c r="M26" i="68"/>
  <c r="M28" i="68"/>
  <c r="F37" i="68"/>
  <c r="F8" i="68"/>
  <c r="M9" i="68"/>
  <c r="J15" i="68"/>
  <c r="M8" i="68"/>
  <c r="F13" i="68"/>
  <c r="F16" i="68"/>
  <c r="F26" i="68"/>
  <c r="M2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4" i="67"/>
  <c r="E13" i="67"/>
  <c r="F14" i="67"/>
  <c r="F9" i="67"/>
  <c r="B10" i="67"/>
  <c r="F8" i="67"/>
  <c r="F10" i="67"/>
  <c r="F11" i="67"/>
  <c r="B13" i="67"/>
  <c r="E8" i="67"/>
  <c r="E9" i="67"/>
  <c r="F13" i="67"/>
  <c r="F12" i="67"/>
  <c r="E12" i="67"/>
  <c r="E11" i="67"/>
  <c r="B12" i="67"/>
  <c r="E14" i="67"/>
  <c r="E10" i="67"/>
  <c r="B11" i="67"/>
  <c r="B8"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N6" i="65"/>
  <c r="J5" i="65"/>
  <c r="C4" i="65" l="1"/>
  <c r="B39" i="1" s="1"/>
  <c r="I5" i="65"/>
  <c r="I3" i="65"/>
  <c r="J3" i="65"/>
  <c r="J4" i="65"/>
  <c r="I6" i="65"/>
  <c r="I7" i="65"/>
  <c r="I4" i="65"/>
  <c r="J7" i="65"/>
  <c r="J6" i="65"/>
  <c r="E20" i="46" l="1"/>
  <c r="J1" i="65"/>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L541" i="3" s="1"/>
  <c r="AZ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F25" i="35" s="1"/>
  <c r="B75" i="35"/>
  <c r="J24" i="35" s="1"/>
  <c r="AC24" i="35" s="1"/>
  <c r="B73" i="35"/>
  <c r="B57" i="35"/>
  <c r="B61" i="35"/>
  <c r="B59" i="35"/>
  <c r="H12" i="35" s="1"/>
  <c r="B131" i="34"/>
  <c r="F47" i="34" s="1"/>
  <c r="AA47" i="34" s="1"/>
  <c r="B129" i="34"/>
  <c r="B127" i="34"/>
  <c r="B99" i="34"/>
  <c r="B97" i="34"/>
  <c r="H31" i="34" s="1"/>
  <c r="B95" i="34"/>
  <c r="B93" i="34"/>
  <c r="B75" i="34"/>
  <c r="B73" i="34"/>
  <c r="J13" i="34" s="1"/>
  <c r="W13" i="34" s="1"/>
  <c r="B71" i="34"/>
  <c r="B130" i="33"/>
  <c r="B128" i="33"/>
  <c r="H45" i="33" s="1"/>
  <c r="B126" i="33"/>
  <c r="J44" i="33" s="1"/>
  <c r="AC44" i="33" s="1"/>
  <c r="B98" i="33"/>
  <c r="F31" i="33" s="1"/>
  <c r="B96" i="33"/>
  <c r="B94" i="33"/>
  <c r="B74" i="33"/>
  <c r="F14" i="33" s="1"/>
  <c r="AA14" i="33" s="1"/>
  <c r="B72" i="33"/>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H44" i="21" s="1"/>
  <c r="U44" i="21" s="1"/>
  <c r="B98" i="21"/>
  <c r="B96" i="21"/>
  <c r="B94" i="21"/>
  <c r="H29" i="21" s="1"/>
  <c r="U29" i="21" s="1"/>
  <c r="B92" i="21"/>
  <c r="F28" i="21" s="1"/>
  <c r="S28" i="21" s="1"/>
  <c r="B90" i="21"/>
  <c r="B74" i="2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F38" i="21"/>
  <c r="S38" i="21" s="1"/>
  <c r="F36" i="21"/>
  <c r="F39" i="21"/>
  <c r="AA39" i="21" s="1"/>
  <c r="J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W24" i="35"/>
  <c r="S31" i="35"/>
  <c r="W31" i="35"/>
  <c r="U34" i="35"/>
  <c r="F36" i="34"/>
  <c r="S36" i="34" s="1"/>
  <c r="S34" i="34"/>
  <c r="H39" i="33"/>
  <c r="AB39" i="33" s="1"/>
  <c r="F26" i="33"/>
  <c r="AA26" i="33" s="1"/>
  <c r="W38" i="33"/>
  <c r="S33" i="33"/>
  <c r="U38" i="33"/>
  <c r="H39" i="37"/>
  <c r="AB39" i="37" s="1"/>
  <c r="AB27" i="35"/>
  <c r="S10" i="40"/>
  <c r="W10" i="40"/>
  <c r="S11" i="40"/>
  <c r="U11" i="40"/>
  <c r="S36" i="40"/>
  <c r="U36" i="40"/>
  <c r="S36" i="39"/>
  <c r="F11" i="21"/>
  <c r="S11" i="21" s="1"/>
  <c r="AA38" i="21"/>
  <c r="C29" i="39"/>
  <c r="C23" i="39"/>
  <c r="U36" i="39"/>
  <c r="S42" i="39"/>
  <c r="H11" i="21"/>
  <c r="U11" i="21" s="1"/>
  <c r="J11" i="21"/>
  <c r="W11" i="21" s="1"/>
  <c r="F86" i="40"/>
  <c r="G86" i="40" s="1"/>
  <c r="J27" i="36"/>
  <c r="W27" i="36" s="1"/>
  <c r="J34" i="36"/>
  <c r="J30" i="35"/>
  <c r="W30" i="35" s="1"/>
  <c r="F22" i="35"/>
  <c r="AA22" i="35" s="1"/>
  <c r="H10" i="35"/>
  <c r="U10" i="35" s="1"/>
  <c r="U29" i="36"/>
  <c r="J29" i="36"/>
  <c r="AC29" i="36" s="1"/>
  <c r="F12" i="36"/>
  <c r="S12" i="36" s="1"/>
  <c r="F24" i="36"/>
  <c r="F34" i="36"/>
  <c r="S34" i="36" s="1"/>
  <c r="S10" i="36"/>
  <c r="H16" i="35"/>
  <c r="U16" i="35" s="1"/>
  <c r="H33" i="35"/>
  <c r="AB33" i="35" s="1"/>
  <c r="W8" i="35"/>
  <c r="AC8" i="35"/>
  <c r="F35" i="37"/>
  <c r="AA35" i="37" s="1"/>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W8" i="34"/>
  <c r="J28" i="34"/>
  <c r="S38" i="33"/>
  <c r="F36" i="33"/>
  <c r="S36" i="33" s="1"/>
  <c r="F19" i="33"/>
  <c r="S19" i="33" s="1"/>
  <c r="J19" i="33"/>
  <c r="AB30" i="36"/>
  <c r="S22" i="35"/>
  <c r="H29" i="35"/>
  <c r="AB29" i="35" s="1"/>
  <c r="U34" i="37"/>
  <c r="S34" i="37"/>
  <c r="AA34" i="37"/>
  <c r="AB42" i="34"/>
  <c r="J19" i="34"/>
  <c r="AC19" i="34" s="1"/>
  <c r="H37" i="33"/>
  <c r="AB37" i="33" s="1"/>
  <c r="S37" i="33"/>
  <c r="AC42" i="34"/>
  <c r="AA42" i="34"/>
  <c r="S42" i="34"/>
  <c r="AC38" i="34"/>
  <c r="AA38" i="34"/>
  <c r="J37" i="33"/>
  <c r="W37" i="33" s="1"/>
  <c r="J42" i="21"/>
  <c r="AC42" i="21" s="1"/>
  <c r="J44" i="34"/>
  <c r="AC44" i="34" s="1"/>
  <c r="F44" i="34"/>
  <c r="S44" i="34" s="1"/>
  <c r="J10" i="35"/>
  <c r="W10" i="35" s="1"/>
  <c r="AL5" i="3"/>
  <c r="BQ13" i="3"/>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H45" i="21"/>
  <c r="U45" i="21" s="1"/>
  <c r="F27" i="33"/>
  <c r="F13" i="33"/>
  <c r="S13" i="33" s="1"/>
  <c r="J29" i="33"/>
  <c r="W29" i="33" s="1"/>
  <c r="J31" i="33"/>
  <c r="AC31" i="33" s="1"/>
  <c r="H31" i="33"/>
  <c r="J45" i="33"/>
  <c r="W45" i="33" s="1"/>
  <c r="F45" i="33"/>
  <c r="F11" i="35"/>
  <c r="S11" i="35" s="1"/>
  <c r="H28" i="36"/>
  <c r="U28" i="36" s="1"/>
  <c r="J32" i="36"/>
  <c r="AC32" i="36" s="1"/>
  <c r="H13" i="36"/>
  <c r="AB13" i="36" s="1"/>
  <c r="F13" i="36"/>
  <c r="S13" i="36" s="1"/>
  <c r="J29" i="37"/>
  <c r="F29" i="37"/>
  <c r="AA29" i="37" s="1"/>
  <c r="AB36" i="37"/>
  <c r="J37" i="37"/>
  <c r="AC37" i="37" s="1"/>
  <c r="H37" i="37"/>
  <c r="U37" i="37" s="1"/>
  <c r="H40" i="37"/>
  <c r="U40" i="37" s="1"/>
  <c r="J40" i="37"/>
  <c r="W40" i="37" s="1"/>
  <c r="F40" i="37"/>
  <c r="AA40" i="37" s="1"/>
  <c r="H14" i="33"/>
  <c r="U14" i="33" s="1"/>
  <c r="J14" i="33"/>
  <c r="AC14" i="33" s="1"/>
  <c r="F30" i="33"/>
  <c r="S30" i="33" s="1"/>
  <c r="H44" i="33"/>
  <c r="F44" i="33"/>
  <c r="S44" i="33" s="1"/>
  <c r="F46" i="33"/>
  <c r="AA46" i="33" s="1"/>
  <c r="H13" i="34"/>
  <c r="U13" i="34" s="1"/>
  <c r="F13" i="34"/>
  <c r="AA13" i="34" s="1"/>
  <c r="F29" i="34"/>
  <c r="S29" i="34" s="1"/>
  <c r="J31" i="34"/>
  <c r="F31" i="34"/>
  <c r="S31" i="34" s="1"/>
  <c r="J45" i="34"/>
  <c r="W45" i="34" s="1"/>
  <c r="H47" i="34"/>
  <c r="U47" i="34" s="1"/>
  <c r="J47" i="34"/>
  <c r="AC47" i="34" s="1"/>
  <c r="J13" i="35"/>
  <c r="AC13" i="35" s="1"/>
  <c r="J25" i="35"/>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J36" i="37"/>
  <c r="AC36" i="37" s="1"/>
  <c r="G105" i="37"/>
  <c r="AA28" i="21"/>
  <c r="U36" i="37"/>
  <c r="S45" i="21"/>
  <c r="AB44" i="21"/>
  <c r="G529" i="3"/>
  <c r="G517" i="3"/>
  <c r="G508" i="3"/>
  <c r="G493" i="3"/>
  <c r="G565" i="3"/>
  <c r="G557" i="3"/>
  <c r="G545" i="3"/>
  <c r="BL569" i="3"/>
  <c r="BL557" i="3"/>
  <c r="BL545" i="3"/>
  <c r="BL527" i="3"/>
  <c r="BL511" i="3"/>
  <c r="BL491" i="3"/>
  <c r="G16" i="3"/>
  <c r="BL559" i="3"/>
  <c r="BL551" i="3"/>
  <c r="AZ551" i="3" s="1"/>
  <c r="BL533" i="3"/>
  <c r="G518" i="3"/>
  <c r="G510" i="3"/>
  <c r="BL495" i="3"/>
  <c r="G18" i="3"/>
  <c r="BA565" i="3"/>
  <c r="BA559" i="3"/>
  <c r="AZ559" i="3" s="1"/>
  <c r="BA555" i="3"/>
  <c r="BA543" i="3"/>
  <c r="AZ543" i="3" s="1"/>
  <c r="BA531" i="3"/>
  <c r="BA509" i="3"/>
  <c r="BA501" i="3"/>
  <c r="AZ501" i="3" s="1"/>
  <c r="BA487" i="3"/>
  <c r="BA572" i="3"/>
  <c r="BA562" i="3"/>
  <c r="BA558" i="3"/>
  <c r="BA554" i="3"/>
  <c r="BA544" i="3"/>
  <c r="BA536" i="3"/>
  <c r="BA528" i="3"/>
  <c r="BA520" i="3"/>
  <c r="BA512" i="3"/>
  <c r="BA502" i="3"/>
  <c r="BA492" i="3"/>
  <c r="BA484" i="3"/>
  <c r="AZ545" i="3"/>
  <c r="G562" i="3"/>
  <c r="G558" i="3"/>
  <c r="G554" i="3"/>
  <c r="G546" i="3"/>
  <c r="AC542" i="3"/>
  <c r="G542" i="3" s="1"/>
  <c r="BQ542" i="3"/>
  <c r="BQ568" i="3"/>
  <c r="BQ566" i="3"/>
  <c r="BQ564" i="3"/>
  <c r="BL564" i="3"/>
  <c r="BQ562" i="3"/>
  <c r="BL562" i="3"/>
  <c r="BQ560" i="3"/>
  <c r="BQ558" i="3"/>
  <c r="BL558" i="3" s="1"/>
  <c r="BQ556" i="3"/>
  <c r="BQ554" i="3"/>
  <c r="BQ552" i="3"/>
  <c r="BL552" i="3" s="1"/>
  <c r="BQ550" i="3"/>
  <c r="BQ548" i="3"/>
  <c r="BL548" i="3" s="1"/>
  <c r="BQ546" i="3"/>
  <c r="BL546" i="3"/>
  <c r="BQ544" i="3"/>
  <c r="BL544" i="3"/>
  <c r="G538" i="3"/>
  <c r="G530" i="3"/>
  <c r="G522" i="3"/>
  <c r="BQ540" i="3"/>
  <c r="BQ538" i="3"/>
  <c r="BL538" i="3" s="1"/>
  <c r="BQ536" i="3"/>
  <c r="BQ534" i="3"/>
  <c r="BL534" i="3" s="1"/>
  <c r="BQ532" i="3"/>
  <c r="BQ530" i="3"/>
  <c r="BL530" i="3" s="1"/>
  <c r="BQ528" i="3"/>
  <c r="BQ526" i="3"/>
  <c r="BL526" i="3" s="1"/>
  <c r="AZ526" i="3" s="1"/>
  <c r="BQ524" i="3"/>
  <c r="BQ522" i="3"/>
  <c r="BQ520" i="3"/>
  <c r="BQ518" i="3"/>
  <c r="BQ516" i="3"/>
  <c r="BL516" i="3"/>
  <c r="BQ514" i="3"/>
  <c r="BL514" i="3"/>
  <c r="BQ512" i="3"/>
  <c r="BQ510" i="3"/>
  <c r="BL510" i="3" s="1"/>
  <c r="BQ508" i="3"/>
  <c r="AC506" i="3"/>
  <c r="G506" i="3" s="1"/>
  <c r="BQ506" i="3"/>
  <c r="G502" i="3"/>
  <c r="BQ504" i="3"/>
  <c r="BQ502" i="3"/>
  <c r="BQ500" i="3"/>
  <c r="BL500" i="3" s="1"/>
  <c r="BQ498" i="3"/>
  <c r="BQ496" i="3"/>
  <c r="BL496" i="3" s="1"/>
  <c r="AC494" i="3"/>
  <c r="BQ494"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U39" i="37"/>
  <c r="AA13" i="33"/>
  <c r="AC33" i="21"/>
  <c r="F43" i="33"/>
  <c r="AA43" i="33" s="1"/>
  <c r="AA23" i="37"/>
  <c r="S10" i="35"/>
  <c r="G107" i="37"/>
  <c r="H107" i="37" s="1"/>
  <c r="I107" i="37" s="1"/>
  <c r="J107" i="37" s="1"/>
  <c r="K107" i="37" s="1"/>
  <c r="L107" i="37" s="1"/>
  <c r="M107" i="37" s="1"/>
  <c r="AA9" i="2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E90" i="40"/>
  <c r="F21" i="40"/>
  <c r="S21" i="40" s="1"/>
  <c r="W36" i="40"/>
  <c r="F90" i="40"/>
  <c r="J21" i="40"/>
  <c r="AC21" i="40" s="1"/>
  <c r="G90" i="40"/>
  <c r="AZ558"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G120" i="3"/>
  <c r="BA122" i="3"/>
  <c r="BL123" i="3"/>
  <c r="G124" i="3"/>
  <c r="BA126" i="3"/>
  <c r="AZ126" i="3"/>
  <c r="BL127" i="3"/>
  <c r="G128" i="3"/>
  <c r="BA130" i="3"/>
  <c r="AZ130" i="3"/>
  <c r="BL131" i="3"/>
  <c r="G132" i="3"/>
  <c r="BA134" i="3"/>
  <c r="BL135" i="3"/>
  <c r="AZ135" i="3" s="1"/>
  <c r="G136" i="3"/>
  <c r="BA138" i="3"/>
  <c r="BL139" i="3"/>
  <c r="AZ139" i="3"/>
  <c r="G140" i="3"/>
  <c r="BA142" i="3"/>
  <c r="BL143" i="3"/>
  <c r="AZ143" i="3" s="1"/>
  <c r="G144" i="3"/>
  <c r="BA146" i="3"/>
  <c r="BL147" i="3"/>
  <c r="AZ147" i="3" s="1"/>
  <c r="G148" i="3"/>
  <c r="BA150" i="3"/>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AZ59" i="3"/>
  <c r="G537" i="3"/>
  <c r="BL181" i="3"/>
  <c r="G182" i="3"/>
  <c r="BA184" i="3"/>
  <c r="AZ184" i="3"/>
  <c r="BL185" i="3"/>
  <c r="G186" i="3"/>
  <c r="BA188" i="3"/>
  <c r="AZ188" i="3"/>
  <c r="BL189" i="3"/>
  <c r="G190" i="3"/>
  <c r="BA192" i="3"/>
  <c r="AZ192" i="3" s="1"/>
  <c r="BL193" i="3"/>
  <c r="AZ193" i="3" s="1"/>
  <c r="G194" i="3"/>
  <c r="BA196" i="3"/>
  <c r="BL197" i="3"/>
  <c r="G198" i="3"/>
  <c r="BA200" i="3"/>
  <c r="AZ200" i="3" s="1"/>
  <c r="BL201" i="3"/>
  <c r="AZ66" i="3"/>
  <c r="AZ94" i="3"/>
  <c r="AZ110"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AZ170" i="3"/>
  <c r="AZ179" i="3"/>
  <c r="AZ191" i="3"/>
  <c r="G523" i="3"/>
  <c r="BL297" i="3"/>
  <c r="AZ297" i="3" s="1"/>
  <c r="G298" i="3"/>
  <c r="BA300" i="3"/>
  <c r="BL301" i="3"/>
  <c r="AZ301" i="3" s="1"/>
  <c r="G302" i="3"/>
  <c r="BA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13" i="3"/>
  <c r="AZ217" i="3"/>
  <c r="AZ245" i="3"/>
  <c r="AZ321" i="3"/>
  <c r="AZ363" i="3"/>
  <c r="G368" i="3"/>
  <c r="BA370" i="3"/>
  <c r="AZ370" i="3" s="1"/>
  <c r="BL371" i="3"/>
  <c r="AZ371" i="3" s="1"/>
  <c r="G372" i="3"/>
  <c r="BA374" i="3"/>
  <c r="AZ374" i="3"/>
  <c r="BL375" i="3"/>
  <c r="G376" i="3"/>
  <c r="BA378" i="3"/>
  <c r="AZ378" i="3"/>
  <c r="BL379" i="3"/>
  <c r="G380" i="3"/>
  <c r="BA382" i="3"/>
  <c r="AZ382" i="3" s="1"/>
  <c r="BL383" i="3"/>
  <c r="G384" i="3"/>
  <c r="AZ249" i="3"/>
  <c r="AZ375" i="3"/>
  <c r="AZ274" i="3"/>
  <c r="AZ278" i="3"/>
  <c r="AZ313" i="3"/>
  <c r="AZ414" i="3"/>
  <c r="AZ422" i="3"/>
  <c r="AZ434" i="3"/>
  <c r="AZ438"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AZ322" i="3"/>
  <c r="H11" i="37"/>
  <c r="AB11" i="37" s="1"/>
  <c r="W37" i="37"/>
  <c r="AA30" i="33"/>
  <c r="AA36" i="37"/>
  <c r="S42" i="33"/>
  <c r="AZ488" i="3"/>
  <c r="AZ516" i="3"/>
  <c r="AC29" i="33"/>
  <c r="W44" i="33"/>
  <c r="W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F11" i="34"/>
  <c r="S11" i="34" s="1"/>
  <c r="E80" i="34"/>
  <c r="F80" i="34" s="1"/>
  <c r="G80" i="34" s="1"/>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H32" i="37"/>
  <c r="AB32" i="37" s="1"/>
  <c r="H19" i="39"/>
  <c r="U19" i="39" s="1"/>
  <c r="F43" i="39"/>
  <c r="S43" i="39" s="1"/>
  <c r="H43" i="39"/>
  <c r="U43" i="39" s="1"/>
  <c r="J43" i="39"/>
  <c r="W43" i="39" s="1"/>
  <c r="F99" i="37"/>
  <c r="AC40" i="37"/>
  <c r="S28" i="33"/>
  <c r="S14" i="21"/>
  <c r="AA44" i="34"/>
  <c r="U29" i="35"/>
  <c r="U43" i="34"/>
  <c r="AC34" i="37"/>
  <c r="S35" i="37"/>
  <c r="AB10" i="35"/>
  <c r="AB34" i="21"/>
  <c r="BA571" i="3"/>
  <c r="BE5" i="3"/>
  <c r="F42" i="21"/>
  <c r="AA42" i="21" s="1"/>
  <c r="AB40" i="33"/>
  <c r="U40" i="33"/>
  <c r="AA35" i="34"/>
  <c r="S35" i="34"/>
  <c r="E90" i="34"/>
  <c r="AB8" i="35"/>
  <c r="S9" i="35"/>
  <c r="J14" i="35"/>
  <c r="AC14" i="35" s="1"/>
  <c r="F14" i="35"/>
  <c r="H14" i="35"/>
  <c r="U14" i="35" s="1"/>
  <c r="E80" i="35"/>
  <c r="F94" i="35"/>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AB34" i="36"/>
  <c r="H33" i="36"/>
  <c r="F33" i="36"/>
  <c r="AA33" i="36" s="1"/>
  <c r="H27" i="36"/>
  <c r="AB27" i="36" s="1"/>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J34" i="39"/>
  <c r="AC34" i="39" s="1"/>
  <c r="F39" i="39"/>
  <c r="S39" i="39" s="1"/>
  <c r="H39" i="39"/>
  <c r="J39" i="39"/>
  <c r="W39" i="39" s="1"/>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3" i="3"/>
  <c r="BA552" i="3"/>
  <c r="AZ552" i="3" s="1"/>
  <c r="BL549" i="3"/>
  <c r="BA549" i="3"/>
  <c r="BA548" i="3"/>
  <c r="AZ548" i="3" s="1"/>
  <c r="BL547" i="3"/>
  <c r="BA547" i="3"/>
  <c r="BL539" i="3"/>
  <c r="BA539" i="3"/>
  <c r="AZ539" i="3" s="1"/>
  <c r="BA538" i="3"/>
  <c r="AZ538" i="3" s="1"/>
  <c r="BL537" i="3"/>
  <c r="BA537" i="3"/>
  <c r="BL536" i="3"/>
  <c r="BA535" i="3"/>
  <c r="AZ535" i="3" s="1"/>
  <c r="BA534" i="3"/>
  <c r="BA533" i="3"/>
  <c r="AZ533" i="3"/>
  <c r="BL531" i="3"/>
  <c r="AZ531" i="3"/>
  <c r="BA530" i="3"/>
  <c r="AZ530" i="3" s="1"/>
  <c r="BL529" i="3"/>
  <c r="BA529" i="3"/>
  <c r="AZ529" i="3" s="1"/>
  <c r="BL528" i="3"/>
  <c r="AZ528" i="3"/>
  <c r="BA527" i="3"/>
  <c r="AZ527" i="3"/>
  <c r="BA526" i="3"/>
  <c r="BA525" i="3"/>
  <c r="AZ525" i="3" s="1"/>
  <c r="BL523" i="3"/>
  <c r="BA523" i="3"/>
  <c r="BL522" i="3"/>
  <c r="BA522" i="3"/>
  <c r="BL521" i="3"/>
  <c r="AZ521" i="3" s="1"/>
  <c r="BA519" i="3"/>
  <c r="BL518" i="3"/>
  <c r="BA518" i="3"/>
  <c r="BL517" i="3"/>
  <c r="BA517" i="3"/>
  <c r="AZ517" i="3"/>
  <c r="BL515" i="3"/>
  <c r="BA515" i="3"/>
  <c r="AZ515" i="3" s="1"/>
  <c r="BA514" i="3"/>
  <c r="AZ514" i="3"/>
  <c r="BL513" i="3"/>
  <c r="BA513" i="3"/>
  <c r="AZ513" i="3" s="1"/>
  <c r="BL512" i="3"/>
  <c r="BA511" i="3"/>
  <c r="AZ511" i="3" s="1"/>
  <c r="BA510" i="3"/>
  <c r="BL509" i="3"/>
  <c r="AZ509" i="3" s="1"/>
  <c r="BL507" i="3"/>
  <c r="BA507" i="3"/>
  <c r="AZ507" i="3" s="1"/>
  <c r="BL506" i="3"/>
  <c r="BA506" i="3"/>
  <c r="BL505" i="3"/>
  <c r="BL504" i="3"/>
  <c r="BA504" i="3"/>
  <c r="BA503" i="3"/>
  <c r="AZ503" i="3" s="1"/>
  <c r="BA500" i="3"/>
  <c r="BL499" i="3"/>
  <c r="BA499" i="3"/>
  <c r="BL498" i="3"/>
  <c r="AZ498" i="3" s="1"/>
  <c r="BL497" i="3"/>
  <c r="BA497" i="3"/>
  <c r="BA496" i="3"/>
  <c r="BA495" i="3"/>
  <c r="BL494" i="3"/>
  <c r="BA494" i="3"/>
  <c r="G494" i="3"/>
  <c r="BA491" i="3"/>
  <c r="BL490" i="3"/>
  <c r="BA490" i="3"/>
  <c r="AZ490" i="3"/>
  <c r="BL489" i="3"/>
  <c r="BA489" i="3"/>
  <c r="AZ489" i="3" s="1"/>
  <c r="BL487" i="3"/>
  <c r="BL486" i="3"/>
  <c r="AZ486" i="3" s="1"/>
  <c r="BA486" i="3"/>
  <c r="BA485" i="3"/>
  <c r="AZ485" i="3" s="1"/>
  <c r="BA483" i="3"/>
  <c r="BA482" i="3"/>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4" i="21"/>
  <c r="AB8" i="33"/>
  <c r="U8" i="33"/>
  <c r="H34" i="33"/>
  <c r="U34" i="33" s="1"/>
  <c r="F34" i="33"/>
  <c r="S34" i="33" s="1"/>
  <c r="E121" i="33"/>
  <c r="F121" i="33" s="1"/>
  <c r="G121" i="33" s="1"/>
  <c r="H121" i="33" s="1"/>
  <c r="I121" i="33" s="1"/>
  <c r="J121" i="33" s="1"/>
  <c r="K121" i="33" s="1"/>
  <c r="L121" i="33" s="1"/>
  <c r="M121" i="33" s="1"/>
  <c r="F41" i="33"/>
  <c r="S41" i="33" s="1"/>
  <c r="AC34" i="34"/>
  <c r="AA39" i="34"/>
  <c r="S43" i="34"/>
  <c r="E78" i="34"/>
  <c r="F15" i="34"/>
  <c r="AA15" i="34" s="1"/>
  <c r="W28" i="35"/>
  <c r="J20" i="35"/>
  <c r="AC20" i="35" s="1"/>
  <c r="E72" i="35"/>
  <c r="F72" i="35" s="1"/>
  <c r="G72" i="35" s="1"/>
  <c r="H22" i="35"/>
  <c r="AB22" i="35" s="1"/>
  <c r="H23" i="35"/>
  <c r="U23" i="35" s="1"/>
  <c r="W12" i="36"/>
  <c r="AC12" i="36"/>
  <c r="U31" i="36"/>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AZ415" i="3"/>
  <c r="AZ431" i="3"/>
  <c r="AZ439" i="3"/>
  <c r="B41" i="1"/>
  <c r="J42" i="40"/>
  <c r="AC42" i="40" s="1"/>
  <c r="J40" i="40"/>
  <c r="AC40" i="40" s="1"/>
  <c r="J34" i="40"/>
  <c r="AC34" i="40" s="1"/>
  <c r="H16" i="40"/>
  <c r="H14" i="40"/>
  <c r="U14" i="40" s="1"/>
  <c r="F32" i="40"/>
  <c r="AA32" i="40" s="1"/>
  <c r="AZ433" i="3"/>
  <c r="AZ436" i="3"/>
  <c r="AZ441" i="3"/>
  <c r="M1" i="46"/>
  <c r="M6" i="46"/>
  <c r="M10" i="46"/>
  <c r="N2" i="46"/>
  <c r="N5" i="46"/>
  <c r="F58" i="46" s="1"/>
  <c r="F47" i="46"/>
  <c r="H49" i="46" s="1"/>
  <c r="N7" i="46"/>
  <c r="AZ474" i="3"/>
  <c r="AZ477" i="3"/>
  <c r="AZ388" i="3"/>
  <c r="AZ212" i="3"/>
  <c r="AZ215" i="3"/>
  <c r="AZ244" i="3"/>
  <c r="AZ247" i="3"/>
  <c r="AZ276" i="3"/>
  <c r="AZ124" i="3"/>
  <c r="M7" i="46"/>
  <c r="M11" i="46"/>
  <c r="N3" i="46"/>
  <c r="N6" i="46"/>
  <c r="N10" i="46"/>
  <c r="AZ164" i="3"/>
  <c r="AZ177" i="3"/>
  <c r="AZ24" i="3"/>
  <c r="AZ40" i="3"/>
  <c r="AZ56" i="3"/>
  <c r="AZ91" i="3"/>
  <c r="AZ107" i="3"/>
  <c r="AZ112" i="3"/>
  <c r="H47" i="46"/>
  <c r="J13" i="40"/>
  <c r="W13" i="40" s="1"/>
  <c r="W40" i="40"/>
  <c r="S33" i="40"/>
  <c r="AC47" i="39"/>
  <c r="S47" i="39"/>
  <c r="U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504" i="3"/>
  <c r="AZ537" i="3"/>
  <c r="AB37" i="39"/>
  <c r="J29" i="39"/>
  <c r="AC29" i="39" s="1"/>
  <c r="G99" i="37"/>
  <c r="F33" i="37" s="1"/>
  <c r="U46" i="34"/>
  <c r="AA14" i="34"/>
  <c r="U29" i="33"/>
  <c r="AA11" i="34"/>
  <c r="H15" i="33"/>
  <c r="U15" i="33" s="1"/>
  <c r="AA11" i="33"/>
  <c r="W34" i="40"/>
  <c r="AB34" i="40"/>
  <c r="AB42" i="40"/>
  <c r="U42" i="40"/>
  <c r="AC16" i="40"/>
  <c r="W32" i="40"/>
  <c r="H25" i="40"/>
  <c r="AB25" i="40" s="1"/>
  <c r="F94" i="40"/>
  <c r="G94" i="40" s="1"/>
  <c r="U47" i="39"/>
  <c r="J37" i="34"/>
  <c r="AC37" i="34" s="1"/>
  <c r="J36" i="33"/>
  <c r="W36" i="33" s="1"/>
  <c r="H23" i="39"/>
  <c r="AB23" i="39" s="1"/>
  <c r="J23" i="39"/>
  <c r="AC23" i="39" s="1"/>
  <c r="F97" i="39"/>
  <c r="G97" i="39" s="1"/>
  <c r="S16" i="39"/>
  <c r="AA41" i="33"/>
  <c r="F106" i="33"/>
  <c r="G106" i="33" s="1"/>
  <c r="H106" i="33" s="1"/>
  <c r="I106" i="33" s="1"/>
  <c r="J106" i="33" s="1"/>
  <c r="K106" i="33" s="1"/>
  <c r="L106" i="33" s="1"/>
  <c r="M106" i="33" s="1"/>
  <c r="J34" i="33"/>
  <c r="AC34" i="33" s="1"/>
  <c r="U30" i="40"/>
  <c r="W29" i="35"/>
  <c r="AC39" i="39"/>
  <c r="AA39" i="39"/>
  <c r="F80" i="35"/>
  <c r="G80" i="35" s="1"/>
  <c r="H80" i="35" s="1"/>
  <c r="I80" i="35" s="1"/>
  <c r="J80" i="35" s="1"/>
  <c r="K80" i="35" s="1"/>
  <c r="L80" i="35" s="1"/>
  <c r="M80" i="35" s="1"/>
  <c r="W14" i="35"/>
  <c r="F90" i="34"/>
  <c r="G90" i="34" s="1"/>
  <c r="H90" i="34" s="1"/>
  <c r="I90" i="34" s="1"/>
  <c r="J90" i="34" s="1"/>
  <c r="K90" i="34" s="1"/>
  <c r="L90" i="34" s="1"/>
  <c r="M90" i="34" s="1"/>
  <c r="F32" i="37"/>
  <c r="S32" i="37" s="1"/>
  <c r="AB11" i="35"/>
  <c r="U32" i="34"/>
  <c r="AC14" i="34"/>
  <c r="AB13" i="33"/>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E2" i="65"/>
  <c r="L47" i="68"/>
  <c r="E32" i="6" l="1"/>
  <c r="D3" i="33"/>
  <c r="C9" i="12"/>
  <c r="BA19" i="3"/>
  <c r="BL13" i="3"/>
  <c r="G17" i="3"/>
  <c r="G13" i="3"/>
  <c r="BL22" i="3"/>
  <c r="G19" i="3"/>
  <c r="BA22" i="3"/>
  <c r="BA20" i="3"/>
  <c r="G20"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s="1"/>
  <c r="H101" i="33" s="1"/>
  <c r="I101" i="33" s="1"/>
  <c r="J101" i="33" s="1"/>
  <c r="K101" i="33" s="1"/>
  <c r="L101" i="33" s="1"/>
  <c r="M101" i="33" s="1"/>
  <c r="H32" i="33"/>
  <c r="AB32" i="33" s="1"/>
  <c r="AB9" i="34"/>
  <c r="U9" i="34"/>
  <c r="AC39" i="34"/>
  <c r="W39" i="34"/>
  <c r="H36" i="35"/>
  <c r="J36" i="35"/>
  <c r="U8" i="36"/>
  <c r="AB8" i="36"/>
  <c r="AC23" i="36"/>
  <c r="W23" i="36"/>
  <c r="AB26" i="36"/>
  <c r="U26" i="36"/>
  <c r="W10" i="36"/>
  <c r="AC10" i="36"/>
  <c r="J11" i="36"/>
  <c r="F11" i="36"/>
  <c r="W24" i="36"/>
  <c r="AC24" i="36"/>
  <c r="F32" i="36"/>
  <c r="S32" i="36" s="1"/>
  <c r="H32" i="36"/>
  <c r="AB32" i="36" s="1"/>
  <c r="S31" i="36"/>
  <c r="AA31" i="36"/>
  <c r="AZ546" i="3"/>
  <c r="BL484" i="3"/>
  <c r="AZ484" i="3" s="1"/>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s="1"/>
  <c r="BL570" i="3"/>
  <c r="BG5" i="3"/>
  <c r="H27" i="21"/>
  <c r="AB27" i="21" s="1"/>
  <c r="F27" i="21"/>
  <c r="AA27" i="21" s="1"/>
  <c r="J31" i="21"/>
  <c r="AC31" i="21" s="1"/>
  <c r="F31" i="21"/>
  <c r="S31" i="21" s="1"/>
  <c r="E125" i="21"/>
  <c r="F125" i="21" s="1"/>
  <c r="G125" i="21" s="1"/>
  <c r="J43" i="21"/>
  <c r="AC43" i="21" s="1"/>
  <c r="F43" i="21"/>
  <c r="S43" i="21" s="1"/>
  <c r="H43" i="21"/>
  <c r="H17" i="34"/>
  <c r="AB17" i="34" s="1"/>
  <c r="F17" i="34"/>
  <c r="AA17" i="34" s="1"/>
  <c r="J27" i="34"/>
  <c r="H27" i="34"/>
  <c r="AB27" i="34" s="1"/>
  <c r="F27" i="34"/>
  <c r="S27" i="34" s="1"/>
  <c r="H12" i="33"/>
  <c r="U12" i="33" s="1"/>
  <c r="F12" i="33"/>
  <c r="H30" i="33"/>
  <c r="J30" i="33"/>
  <c r="J46" i="33"/>
  <c r="H46" i="33"/>
  <c r="AB46" i="33" s="1"/>
  <c r="J29" i="34"/>
  <c r="AC29" i="34" s="1"/>
  <c r="H29" i="34"/>
  <c r="U29" i="34" s="1"/>
  <c r="AB31" i="34"/>
  <c r="U31" i="34"/>
  <c r="H45" i="34"/>
  <c r="F45" i="34"/>
  <c r="F13" i="35"/>
  <c r="S13" i="35" s="1"/>
  <c r="H13" i="35"/>
  <c r="J23" i="35"/>
  <c r="F23" i="35"/>
  <c r="AA23" i="35" s="1"/>
  <c r="AA25" i="35"/>
  <c r="S25" i="35"/>
  <c r="J35" i="35"/>
  <c r="AC35" i="35" s="1"/>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s="1"/>
  <c r="AC8" i="37"/>
  <c r="BL502" i="3"/>
  <c r="BL508" i="3"/>
  <c r="AZ508" i="3" s="1"/>
  <c r="BL520" i="3"/>
  <c r="AZ520" i="3" s="1"/>
  <c r="BL524" i="3"/>
  <c r="AZ524" i="3" s="1"/>
  <c r="BL532" i="3"/>
  <c r="AZ532" i="3" s="1"/>
  <c r="BL540" i="3"/>
  <c r="AZ540" i="3" s="1"/>
  <c r="BL550" i="3"/>
  <c r="AZ550" i="3" s="1"/>
  <c r="BL556" i="3"/>
  <c r="AZ556" i="3" s="1"/>
  <c r="BL560" i="3"/>
  <c r="AZ560" i="3" s="1"/>
  <c r="BL542" i="3"/>
  <c r="AZ542" i="3" s="1"/>
  <c r="J27" i="37"/>
  <c r="F27" i="37"/>
  <c r="AA27" i="37" s="1"/>
  <c r="F38" i="37"/>
  <c r="J13" i="37"/>
  <c r="AC13" i="37" s="1"/>
  <c r="U31" i="35"/>
  <c r="U30" i="37"/>
  <c r="G571" i="3"/>
  <c r="F25" i="37"/>
  <c r="G567" i="3"/>
  <c r="G563" i="3"/>
  <c r="G559" i="3"/>
  <c r="G540" i="3"/>
  <c r="G536" i="3"/>
  <c r="G532" i="3"/>
  <c r="G516" i="3"/>
  <c r="G512" i="3"/>
  <c r="G505" i="3"/>
  <c r="G490" i="3"/>
  <c r="G489" i="3"/>
  <c r="BA390" i="3"/>
  <c r="BL390" i="3"/>
  <c r="BL392" i="3"/>
  <c r="G393" i="3"/>
  <c r="G395" i="3"/>
  <c r="BA396" i="3"/>
  <c r="AZ396" i="3" s="1"/>
  <c r="BL396" i="3"/>
  <c r="BA397" i="3"/>
  <c r="AZ397" i="3" s="1"/>
  <c r="BA398" i="3"/>
  <c r="AZ398" i="3" s="1"/>
  <c r="BA399" i="3"/>
  <c r="AZ399" i="3" s="1"/>
  <c r="BA401" i="3"/>
  <c r="BL401" i="3"/>
  <c r="BA402" i="3"/>
  <c r="AZ402" i="3" s="1"/>
  <c r="BA403" i="3"/>
  <c r="AZ403" i="3" s="1"/>
  <c r="BL405" i="3"/>
  <c r="BL19" i="3"/>
  <c r="AZ19" i="3" s="1"/>
  <c r="G406" i="3"/>
  <c r="G408" i="3"/>
  <c r="BA409" i="3"/>
  <c r="BL409" i="3"/>
  <c r="BL411" i="3"/>
  <c r="G412" i="3"/>
  <c r="G417" i="3"/>
  <c r="BL418" i="3"/>
  <c r="G419" i="3"/>
  <c r="G422" i="3"/>
  <c r="G424" i="3"/>
  <c r="BA425" i="3"/>
  <c r="BL425" i="3"/>
  <c r="G426" i="3"/>
  <c r="G427" i="3"/>
  <c r="BA428" i="3"/>
  <c r="AZ428" i="3" s="1"/>
  <c r="BL428" i="3"/>
  <c r="G429" i="3"/>
  <c r="G430"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L267" i="3"/>
  <c r="G268" i="3"/>
  <c r="BA2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4" i="3"/>
  <c r="G27" i="3"/>
  <c r="G30" i="3"/>
  <c r="BL269" i="3"/>
  <c r="BL271" i="3"/>
  <c r="G272"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G147" i="3"/>
  <c r="BA148" i="3"/>
  <c r="AZ148" i="3" s="1"/>
  <c r="BL150" i="3"/>
  <c r="AZ150" i="3" s="1"/>
  <c r="G151" i="3"/>
  <c r="BA152" i="3"/>
  <c r="BL152" i="3"/>
  <c r="BA154" i="3"/>
  <c r="AZ154" i="3" s="1"/>
  <c r="G161" i="3"/>
  <c r="G164" i="3"/>
  <c r="BL167" i="3"/>
  <c r="G168" i="3"/>
  <c r="BA171" i="3"/>
  <c r="BL171" i="3"/>
  <c r="BA172" i="3"/>
  <c r="AZ172" i="3" s="1"/>
  <c r="BL173" i="3"/>
  <c r="AZ173" i="3" s="1"/>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A69" i="3"/>
  <c r="BL69" i="3"/>
  <c r="BA71" i="3"/>
  <c r="BL71" i="3"/>
  <c r="BA72" i="3"/>
  <c r="AZ72" i="3" s="1"/>
  <c r="BA74" i="3"/>
  <c r="AZ74" i="3" s="1"/>
  <c r="BL74" i="3"/>
  <c r="BL75" i="3"/>
  <c r="G76"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U33" i="33"/>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53" i="3"/>
  <c r="AZ476"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44"/>
  <c r="F8" i="15"/>
  <c r="F40" i="15"/>
  <c r="F43" i="68"/>
  <c r="M28" i="44"/>
  <c r="F9" i="15"/>
  <c r="M26" i="44"/>
  <c r="M25" i="44"/>
  <c r="F8" i="44"/>
  <c r="F39" i="44"/>
  <c r="M31" i="44"/>
  <c r="F26" i="15"/>
  <c r="F38" i="44"/>
  <c r="L49" i="44"/>
  <c r="F7" i="71"/>
  <c r="M9" i="15"/>
  <c r="M23" i="15"/>
  <c r="F43" i="44"/>
  <c r="M29" i="71"/>
  <c r="M11" i="44"/>
  <c r="L48" i="68"/>
  <c r="F9" i="44"/>
  <c r="F43" i="15"/>
  <c r="F42" i="15"/>
  <c r="F18" i="44"/>
  <c r="F13" i="15"/>
  <c r="M8" i="15"/>
  <c r="M22" i="15"/>
  <c r="M8" i="44"/>
  <c r="M30" i="44"/>
  <c r="F15" i="44"/>
  <c r="F37" i="15"/>
  <c r="M24" i="44"/>
  <c r="L48" i="72"/>
  <c r="M24" i="15"/>
  <c r="F7" i="68"/>
  <c r="L48" i="71"/>
  <c r="F11" i="44"/>
  <c r="F10" i="44"/>
  <c r="M10" i="44"/>
  <c r="F28" i="44"/>
  <c r="F40" i="44"/>
  <c r="M6" i="15"/>
  <c r="M29" i="68"/>
  <c r="F45" i="44"/>
  <c r="J17" i="44"/>
  <c r="F43" i="71"/>
  <c r="G5" i="3" l="1"/>
  <c r="B3" i="3" s="1"/>
  <c r="B33" i="73" s="1"/>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F29" i="6"/>
  <c r="F28" i="6"/>
  <c r="E28" i="6" s="1"/>
  <c r="Q73" i="44"/>
  <c r="C12" i="44"/>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F27" i="6"/>
  <c r="E5" i="6"/>
  <c r="C8" i="44"/>
  <c r="M9" i="44"/>
  <c r="C29" i="44"/>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F26" i="71"/>
  <c r="M6" i="72"/>
  <c r="F7" i="15"/>
  <c r="M26" i="15"/>
  <c r="M8" i="72"/>
  <c r="L47" i="15"/>
  <c r="F40" i="72"/>
  <c r="F7" i="72"/>
  <c r="F13" i="72"/>
  <c r="F26" i="72"/>
  <c r="F9" i="72"/>
  <c r="M17" i="68"/>
  <c r="F6" i="72"/>
  <c r="F8" i="72"/>
  <c r="J15" i="72"/>
  <c r="M22" i="72"/>
  <c r="J36" i="72"/>
  <c r="M24" i="71"/>
  <c r="F8" i="71"/>
  <c r="F40" i="71"/>
  <c r="L47" i="71"/>
  <c r="F16" i="15"/>
  <c r="M6" i="71"/>
  <c r="F42" i="72"/>
  <c r="M24" i="72"/>
  <c r="M9" i="71"/>
  <c r="F6" i="71"/>
  <c r="F43" i="72"/>
  <c r="J15" i="15"/>
  <c r="F42" i="71"/>
  <c r="F36" i="15"/>
  <c r="M28" i="72"/>
  <c r="F13" i="71"/>
  <c r="C16" i="68"/>
  <c r="M28" i="15"/>
  <c r="M23" i="72"/>
  <c r="F37" i="71"/>
  <c r="M28" i="71"/>
  <c r="M9" i="72"/>
  <c r="L48" i="15"/>
  <c r="F38" i="71"/>
  <c r="C18" i="44"/>
  <c r="F36" i="71"/>
  <c r="M22" i="71"/>
  <c r="M23" i="71"/>
  <c r="F16" i="72"/>
  <c r="M27" i="72"/>
  <c r="M29" i="15"/>
  <c r="F36" i="72"/>
  <c r="F37" i="72"/>
  <c r="F9" i="71"/>
  <c r="F38" i="72"/>
  <c r="M29" i="72"/>
  <c r="M26" i="72"/>
  <c r="F16" i="71"/>
  <c r="J36" i="71"/>
  <c r="F6" i="15"/>
  <c r="F31" i="68"/>
  <c r="M8" i="71"/>
  <c r="M26" i="71"/>
  <c r="J36" i="15"/>
  <c r="L47" i="72"/>
  <c r="F38" i="15"/>
  <c r="J15" i="71"/>
  <c r="F59" i="68"/>
  <c r="B32" i="73" l="1"/>
  <c r="B34" i="73" s="1"/>
  <c r="F70" i="72"/>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R49" i="33"/>
  <c r="C49" i="33" s="1"/>
  <c r="B3" i="33" s="1"/>
  <c r="C24" i="72"/>
  <c r="C10" i="15"/>
  <c r="J53" i="15"/>
  <c r="F1" i="15" s="1"/>
  <c r="E27" i="6"/>
  <c r="K26" i="6" s="1"/>
  <c r="M26" i="6" s="1"/>
  <c r="I26" i="6" s="1"/>
  <c r="S26" i="6" s="1"/>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Q73" i="68"/>
  <c r="Q60" i="68"/>
  <c r="C38" i="68"/>
  <c r="C32" i="68"/>
  <c r="C49" i="68"/>
  <c r="C48" i="68" s="1"/>
  <c r="H7" i="37"/>
  <c r="Q62" i="44"/>
  <c r="Q76" i="44"/>
  <c r="J7" i="37"/>
  <c r="W7" i="37" s="1"/>
  <c r="F1" i="44"/>
  <c r="Q54" i="44"/>
  <c r="F7" i="37"/>
  <c r="AA7" i="37" s="1"/>
  <c r="R42" i="37" s="1"/>
  <c r="E42" i="37" s="1"/>
  <c r="C7" i="44"/>
  <c r="C40" i="44" s="1"/>
  <c r="U7" i="35"/>
  <c r="W18" i="36"/>
  <c r="AC18" i="36"/>
  <c r="U7" i="36"/>
  <c r="W7" i="35"/>
  <c r="S7" i="37"/>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M27" i="68"/>
  <c r="M27" i="15"/>
  <c r="C16" i="71"/>
  <c r="C16" i="15"/>
  <c r="L52" i="44"/>
  <c r="AE6" i="1"/>
  <c r="AE7" i="1"/>
  <c r="F41" i="72" s="1"/>
  <c r="AE10" i="1"/>
  <c r="M27" i="71"/>
  <c r="C16" i="72"/>
  <c r="M29" i="44"/>
  <c r="K19" i="6" l="1"/>
  <c r="S6" i="1" s="1"/>
  <c r="B35" i="73"/>
  <c r="Q74" i="71"/>
  <c r="Q61" i="72"/>
  <c r="C5" i="71"/>
  <c r="C32" i="71" s="1"/>
  <c r="Q75" i="71"/>
  <c r="C5" i="72"/>
  <c r="C48" i="72"/>
  <c r="C47" i="72" s="1"/>
  <c r="J6" i="72"/>
  <c r="J5" i="72" s="1"/>
  <c r="C34" i="46"/>
  <c r="C33" i="46"/>
  <c r="C36" i="46"/>
  <c r="C35" i="46"/>
  <c r="B2" i="33"/>
  <c r="R24" i="74"/>
  <c r="R24" i="31"/>
  <c r="W7" i="34"/>
  <c r="S7" i="34"/>
  <c r="M24" i="6"/>
  <c r="I24" i="6" s="1"/>
  <c r="S24" i="6" s="1"/>
  <c r="S11" i="1"/>
  <c r="E31" i="6"/>
  <c r="K21" i="6"/>
  <c r="M21" i="6" s="1"/>
  <c r="I21" i="6" s="1"/>
  <c r="S21" i="6" s="1"/>
  <c r="K23" i="6"/>
  <c r="M23" i="6" s="1"/>
  <c r="I23" i="6" s="1"/>
  <c r="S23" i="6" s="1"/>
  <c r="K22" i="6"/>
  <c r="M22" i="6" s="1"/>
  <c r="I22" i="6" s="1"/>
  <c r="S22" i="6" s="1"/>
  <c r="C38" i="71"/>
  <c r="J24" i="71"/>
  <c r="J26" i="71"/>
  <c r="J18" i="71"/>
  <c r="C59" i="71"/>
  <c r="C65" i="71"/>
  <c r="F68" i="72"/>
  <c r="Q53" i="15"/>
  <c r="C5" i="15"/>
  <c r="C38" i="15" s="1"/>
  <c r="AB12" i="39"/>
  <c r="Q61" i="15"/>
  <c r="AC7" i="37"/>
  <c r="V42" i="37" s="1"/>
  <c r="I42" i="37" s="1"/>
  <c r="I46" i="37" s="1"/>
  <c r="J46" i="37"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M19" i="6"/>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C17" i="71"/>
  <c r="C17" i="68"/>
  <c r="C14" i="68"/>
  <c r="F41" i="15"/>
  <c r="C17" i="72"/>
  <c r="F41" i="68"/>
  <c r="C19" i="44"/>
  <c r="F46" i="44"/>
  <c r="F41" i="71"/>
  <c r="S8" i="1" l="1"/>
  <c r="S9" i="1"/>
  <c r="K27" i="6"/>
  <c r="C40" i="39"/>
  <c r="I4" i="6"/>
  <c r="G3" i="46" s="1"/>
  <c r="E413" i="3"/>
  <c r="E86"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492" i="3"/>
  <c r="E36" i="3"/>
  <c r="E149" i="3"/>
  <c r="E131" i="3"/>
  <c r="E295" i="3"/>
  <c r="E237" i="3"/>
  <c r="E249" i="3"/>
  <c r="E304" i="3"/>
  <c r="E89" i="3"/>
  <c r="E428" i="3"/>
  <c r="E549" i="3"/>
  <c r="E165" i="3"/>
  <c r="E201"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534" i="3"/>
  <c r="E472" i="3"/>
  <c r="E376" i="3"/>
  <c r="E187" i="3"/>
  <c r="E387" i="3"/>
  <c r="E253" i="3"/>
  <c r="E294" i="3"/>
  <c r="E225" i="3"/>
  <c r="R6" i="3"/>
  <c r="E537" i="3"/>
  <c r="E21" i="3"/>
  <c r="E199" i="3"/>
  <c r="E125" i="3"/>
  <c r="E54"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O6" i="3"/>
  <c r="E25" i="3"/>
  <c r="E204" i="3"/>
  <c r="E258" i="3"/>
  <c r="E207" i="3"/>
  <c r="E479" i="3"/>
  <c r="E449" i="3"/>
  <c r="E43" i="3"/>
  <c r="E196" i="3"/>
  <c r="E276" i="3"/>
  <c r="E259" i="3"/>
  <c r="E37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0" i="1"/>
  <c r="S16" i="1" s="1"/>
  <c r="F68" i="71"/>
  <c r="J29" i="71"/>
  <c r="F68" i="15"/>
  <c r="J24" i="72"/>
  <c r="J18" i="72"/>
  <c r="J26" i="72"/>
  <c r="J29" i="72" s="1"/>
  <c r="C38" i="72"/>
  <c r="C32" i="72"/>
  <c r="C59" i="72"/>
  <c r="C65" i="72"/>
  <c r="E35" i="46"/>
  <c r="G35" i="46"/>
  <c r="I35" i="46" s="1"/>
  <c r="G33" i="46"/>
  <c r="I33"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15"/>
  <c r="H6" i="3" l="1"/>
  <c r="AC6" i="3"/>
  <c r="H22" i="46"/>
  <c r="AB11" i="46"/>
  <c r="AB13" i="46" s="1"/>
  <c r="AJ11" i="46"/>
  <c r="AJ13" i="46" s="1"/>
  <c r="AI11" i="46"/>
  <c r="AI13" i="46" s="1"/>
  <c r="C23" i="46"/>
  <c r="C21" i="46" s="1"/>
  <c r="C29" i="46" s="1"/>
  <c r="AD11" i="46"/>
  <c r="AD13" i="46" s="1"/>
  <c r="Y11" i="46"/>
  <c r="Y13" i="46" s="1"/>
  <c r="AC11" i="46"/>
  <c r="AC13" i="46" s="1"/>
  <c r="F101" i="46"/>
  <c r="K101" i="46"/>
  <c r="H101" i="46"/>
  <c r="M101" i="46"/>
  <c r="D101" i="46"/>
  <c r="I101" i="46"/>
  <c r="G22" i="46"/>
  <c r="J101" i="46"/>
  <c r="C101" i="46"/>
  <c r="AE11" i="46"/>
  <c r="AE13" i="46" s="1"/>
  <c r="AF11" i="46"/>
  <c r="AF13" i="46" s="1"/>
  <c r="AA11" i="46"/>
  <c r="AA13" i="46" s="1"/>
  <c r="AH11" i="46"/>
  <c r="AH13" i="46" s="1"/>
  <c r="Z11" i="46"/>
  <c r="Z13" i="46" s="1"/>
  <c r="AG11" i="46"/>
  <c r="AG13" i="46" s="1"/>
  <c r="E22" i="46"/>
  <c r="N101" i="46"/>
  <c r="Z7" i="46"/>
  <c r="E101" i="46"/>
  <c r="F22" i="46"/>
  <c r="L101" i="46"/>
  <c r="N104" i="45"/>
  <c r="B113" i="46"/>
  <c r="G101" i="46"/>
  <c r="S2" i="46"/>
  <c r="T2" i="46" s="1"/>
  <c r="V2" i="46" s="1"/>
  <c r="S6" i="46"/>
  <c r="T6" i="46" s="1"/>
  <c r="V6" i="46" s="1"/>
  <c r="S4" i="46"/>
  <c r="T4" i="46" s="1"/>
  <c r="V4" i="46" s="1"/>
  <c r="S5" i="46"/>
  <c r="T5" i="46" s="1"/>
  <c r="V5" i="46" s="1"/>
  <c r="S3" i="46"/>
  <c r="T3" i="46" s="1"/>
  <c r="V3" i="46" s="1"/>
  <c r="S7" i="46"/>
  <c r="T7" i="46" s="1"/>
  <c r="V7" i="46" s="1"/>
  <c r="F40" i="39"/>
  <c r="J40" i="39"/>
  <c r="H40" i="39"/>
  <c r="T13" i="1"/>
  <c r="T7" i="1"/>
  <c r="B28" i="9"/>
  <c r="C13" i="39"/>
  <c r="S28" i="74"/>
  <c r="E10" i="12" s="1"/>
  <c r="E8" i="12"/>
  <c r="S22" i="31"/>
  <c r="C10" i="12" s="1"/>
  <c r="S29" i="74"/>
  <c r="F10" i="12" s="1"/>
  <c r="F8" i="1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15"/>
  <c r="C14" i="71"/>
  <c r="C14" i="72"/>
  <c r="C16" i="44"/>
  <c r="AC40" i="39" l="1"/>
  <c r="W40" i="39"/>
  <c r="G104" i="46"/>
  <c r="G107" i="46"/>
  <c r="G109" i="46"/>
  <c r="G105" i="46"/>
  <c r="G102" i="46"/>
  <c r="G103" i="46"/>
  <c r="G106" i="46"/>
  <c r="AB40" i="39"/>
  <c r="U40" i="39"/>
  <c r="AA40" i="39"/>
  <c r="S40" i="39"/>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C106" i="46"/>
  <c r="C105" i="46"/>
  <c r="C107" i="46"/>
  <c r="C109" i="46"/>
  <c r="C103" i="46"/>
  <c r="C104" i="46"/>
  <c r="C102" i="46"/>
  <c r="D106" i="46"/>
  <c r="D105" i="46"/>
  <c r="D107" i="46"/>
  <c r="D102" i="46"/>
  <c r="D104" i="46"/>
  <c r="D109" i="46"/>
  <c r="D103" i="46"/>
  <c r="H102" i="46"/>
  <c r="H107" i="46"/>
  <c r="H103" i="46"/>
  <c r="H104" i="46"/>
  <c r="H105" i="46"/>
  <c r="H106" i="46"/>
  <c r="H109" i="46"/>
  <c r="F109" i="46"/>
  <c r="F107" i="46"/>
  <c r="F103" i="46"/>
  <c r="F104" i="46"/>
  <c r="F106" i="46"/>
  <c r="F105" i="46"/>
  <c r="F102" i="46"/>
  <c r="E29" i="46"/>
  <c r="C30" i="46"/>
  <c r="E30" i="46" s="1"/>
  <c r="C27" i="46" s="1"/>
  <c r="E6" i="3"/>
  <c r="D22" i="46"/>
  <c r="J104" i="46"/>
  <c r="J103" i="46"/>
  <c r="J109" i="46"/>
  <c r="J107" i="46"/>
  <c r="J106" i="46"/>
  <c r="J105" i="46"/>
  <c r="J102" i="46"/>
  <c r="I105" i="46"/>
  <c r="I104" i="46"/>
  <c r="I103" i="46"/>
  <c r="I106" i="46"/>
  <c r="I102" i="46"/>
  <c r="I109" i="46"/>
  <c r="I107" i="46"/>
  <c r="M107" i="46"/>
  <c r="M102" i="46"/>
  <c r="M109" i="46"/>
  <c r="M106" i="46"/>
  <c r="M104" i="46"/>
  <c r="M103" i="46"/>
  <c r="M105" i="46"/>
  <c r="K109" i="46"/>
  <c r="K102" i="46"/>
  <c r="K106" i="46"/>
  <c r="K105" i="46"/>
  <c r="K104" i="46"/>
  <c r="K107" i="46"/>
  <c r="K103" i="46"/>
  <c r="C15" i="72"/>
  <c r="C18" i="72"/>
  <c r="C11" i="11"/>
  <c r="C10" i="11" s="1"/>
  <c r="F13" i="39"/>
  <c r="H13" i="39"/>
  <c r="J13" i="39"/>
  <c r="B20" i="31"/>
  <c r="R22" i="31"/>
  <c r="S22" i="74"/>
  <c r="B2" i="21"/>
  <c r="H10" i="12" s="1"/>
  <c r="H8" i="12"/>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8"/>
  <c r="F7" i="67"/>
  <c r="F35" i="68"/>
  <c r="F35" i="72"/>
  <c r="M21" i="71"/>
  <c r="F35" i="71"/>
  <c r="F37" i="44"/>
  <c r="F35" i="15"/>
  <c r="M23" i="44"/>
  <c r="M21" i="15"/>
  <c r="M21" i="72"/>
  <c r="E4" i="67" l="1"/>
  <c r="C26" i="46"/>
  <c r="C115" i="46"/>
  <c r="D113" i="46" s="1"/>
  <c r="J22" i="46" s="1"/>
  <c r="C19" i="72"/>
  <c r="C20" i="72" s="1"/>
  <c r="C26" i="72" s="1"/>
  <c r="C20" i="12"/>
  <c r="C17" i="11"/>
  <c r="C18" i="11"/>
  <c r="AB13" i="39"/>
  <c r="U13" i="39"/>
  <c r="AC13" i="39"/>
  <c r="W13" i="39"/>
  <c r="AA13" i="39"/>
  <c r="S13" i="39"/>
  <c r="B21" i="31"/>
  <c r="C8" i="12"/>
  <c r="B20" i="74"/>
  <c r="R22" i="74"/>
  <c r="B21" i="74" s="1"/>
  <c r="C23" i="72"/>
  <c r="C29" i="72"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E7" i="67"/>
  <c r="E3" i="67" l="1"/>
  <c r="B2" i="46"/>
  <c r="C19" i="11"/>
  <c r="C20" i="11" s="1"/>
  <c r="C21" i="11" s="1"/>
  <c r="C22" i="11" s="1"/>
  <c r="C23" i="11" s="1"/>
  <c r="B2" i="11" s="1"/>
  <c r="C23" i="71"/>
  <c r="C29" i="71" s="1"/>
  <c r="C56" i="72"/>
  <c r="C33" i="72"/>
  <c r="C31" i="72" s="1"/>
  <c r="Q50" i="72"/>
  <c r="C13" i="72"/>
  <c r="C36" i="72"/>
  <c r="J14" i="72"/>
  <c r="J19" i="72"/>
  <c r="J17" i="72"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7" i="67"/>
  <c r="B2" i="67" l="1"/>
  <c r="D4" i="46"/>
  <c r="B3" i="46"/>
  <c r="B4" i="46"/>
  <c r="B3" i="11"/>
  <c r="B5" i="11"/>
  <c r="B4" i="11"/>
  <c r="C56" i="71"/>
  <c r="C60" i="71" s="1"/>
  <c r="C58" i="71" s="1"/>
  <c r="Q50" i="71"/>
  <c r="C33" i="71"/>
  <c r="C31" i="71" s="1"/>
  <c r="J19" i="71"/>
  <c r="J17" i="71" s="1"/>
  <c r="J14" i="71"/>
  <c r="J13" i="71" s="1"/>
  <c r="J23" i="71" s="1"/>
  <c r="C36" i="71"/>
  <c r="C13" i="71"/>
  <c r="Q71" i="71" s="1"/>
  <c r="J13" i="72"/>
  <c r="J23" i="72" s="1"/>
  <c r="J22" i="72"/>
  <c r="Q71" i="72"/>
  <c r="C55" i="72"/>
  <c r="C64" i="72" s="1"/>
  <c r="C37" i="72"/>
  <c r="C30" i="72" s="1"/>
  <c r="C39" i="72" s="1"/>
  <c r="J35" i="72"/>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L51" i="72"/>
  <c r="B4" i="67" l="1"/>
  <c r="B3" i="67"/>
  <c r="C63" i="71"/>
  <c r="J16" i="72"/>
  <c r="J25" i="72" s="1"/>
  <c r="J35" i="71"/>
  <c r="J22" i="71"/>
  <c r="J16" i="71" s="1"/>
  <c r="J25" i="71" s="1"/>
  <c r="C37" i="71"/>
  <c r="C30" i="71" s="1"/>
  <c r="C39" i="71" s="1"/>
  <c r="C40" i="71" s="1"/>
  <c r="J39" i="72"/>
  <c r="J40" i="72" s="1"/>
  <c r="C55" i="71"/>
  <c r="C64" i="71" s="1"/>
  <c r="Q68" i="72"/>
  <c r="C57" i="72"/>
  <c r="C66" i="72" s="1"/>
  <c r="C67" i="72" s="1"/>
  <c r="C40" i="72"/>
  <c r="Q70" i="72"/>
  <c r="Q69"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J39" i="71" l="1"/>
  <c r="J40" i="71" s="1"/>
  <c r="C57" i="71"/>
  <c r="C66" i="71" s="1"/>
  <c r="C67" i="71" s="1"/>
  <c r="C70" i="71" s="1"/>
  <c r="Q70" i="71"/>
  <c r="Q69" i="71" s="1"/>
  <c r="Q66" i="71"/>
  <c r="Q76" i="71" s="1"/>
  <c r="Q48" i="71"/>
  <c r="Q54" i="71" s="1"/>
  <c r="B2" i="71"/>
  <c r="B3" i="71" s="1"/>
  <c r="Q57" i="71"/>
  <c r="Q63" i="71" s="1"/>
  <c r="C43" i="71"/>
  <c r="J42" i="71"/>
  <c r="J43" i="71" s="1"/>
  <c r="Q66" i="72"/>
  <c r="Q76" i="72" s="1"/>
  <c r="Q48" i="72"/>
  <c r="Q54" i="72" s="1"/>
  <c r="B2" i="72"/>
  <c r="B3" i="72" s="1"/>
  <c r="Q57" i="72"/>
  <c r="Q63" i="72" s="1"/>
  <c r="C43" i="72"/>
  <c r="J42" i="72"/>
  <c r="J43" i="72" s="1"/>
  <c r="C70" i="72"/>
  <c r="C46"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Q68" i="71" l="1"/>
  <c r="C46" i="7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0" i="9"/>
  <c r="D21" i="9"/>
  <c r="L22" i="73" l="1"/>
  <c r="G20" i="9"/>
  <c r="L24" i="73" s="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 r="L21" i="73" l="1"/>
  <c r="L23" i="7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<sst xmlns="http://schemas.openxmlformats.org/spreadsheetml/2006/main" count="8657" uniqueCount="3490">
  <si>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</si>
  <si>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</si>
  <si>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</si>
  <si>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</si>
  <si>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</si>
  <si>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</si>
  <si>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</si>
  <si>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</si>
  <si>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</si>
  <si>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</si>
  <si>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</si>
  <si>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</si>
  <si>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</si>
  <si>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</si>
  <si>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</si>
  <si>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</si>
  <si>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</si>
  <si>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</si>
  <si>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</si>
  <si>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</si>
  <si>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</si>
  <si>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</si>
  <si>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</si>
  <si>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</si>
  <si>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</si>
  <si>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</si>
  <si>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</si>
  <si>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</si>
  <si>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</si>
  <si>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</si>
  <si>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</si>
  <si>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</si>
  <si>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</si>
  <si>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</si>
  <si>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</si>
  <si>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</si>
  <si>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</si>
  <si>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</si>
  <si>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</si>
  <si>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</si>
  <si>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</si>
  <si>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</si>
  <si>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</si>
  <si>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</si>
  <si>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</si>
  <si>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</si>
  <si>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</si>
  <si>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</si>
  <si>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</si>
  <si>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</si>
  <si>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</si>
  <si>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</si>
  <si>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</si>
  <si>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</si>
  <si>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</si>
  <si>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</si>
  <si>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</si>
  <si>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</si>
  <si>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</si>
  <si>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</si>
  <si>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</si>
  <si>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</si>
  <si>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</si>
  <si>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</si>
  <si>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</si>
  <si>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</si>
  <si>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</si>
  <si>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</si>
  <si>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</si>
  <si>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</si>
  <si>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</si>
  <si>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</si>
  <si>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</si>
  <si>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</si>
  <si>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</si>
  <si>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</si>
  <si>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</si>
  <si>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</si>
  <si>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</si>
  <si>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</si>
  <si>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</si>
  <si>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</si>
  <si>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</si>
  <si>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</si>
  <si>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</si>
  <si>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</si>
  <si>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</si>
  <si>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</si>
  <si>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</si>
  <si>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</si>
  <si>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</si>
  <si>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</si>
  <si>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</si>
  <si>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</si>
  <si>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</si>
  <si>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</si>
  <si>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</si>
  <si>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</si>
  <si>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</si>
  <si>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</si>
  <si>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</si>
  <si>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</si>
  <si>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</si>
  <si>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</si>
  <si>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</si>
  <si>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</si>
  <si>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</si>
  <si>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</si>
  <si>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</si>
  <si>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</si>
  <si>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</si>
  <si>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</si>
  <si>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</si>
  <si>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</si>
  <si>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</si>
  <si>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</si>
  <si>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</si>
  <si>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</si>
  <si>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</si>
  <si>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</si>
  <si>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</si>
  <si>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</si>
  <si>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</si>
  <si>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</si>
  <si>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</si>
  <si>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</si>
  <si>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</si>
  <si>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</si>
  <si>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</si>
  <si>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</si>
  <si>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</si>
  <si>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</si>
  <si>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</si>
  <si>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</si>
  <si>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</si>
  <si>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</si>
  <si>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</si>
  <si>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</si>
  <si>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</si>
  <si>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</si>
  <si>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</si>
  <si>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</si>
  <si>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</si>
  <si>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</si>
  <si>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</si>
  <si>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</si>
  <si>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</si>
  <si>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</si>
  <si>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</si>
  <si>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</si>
  <si>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</si>
  <si>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</si>
  <si>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</si>
  <si>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</si>
  <si>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</si>
  <si>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</si>
  <si>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</si>
  <si>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</si>
  <si>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</si>
  <si>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</si>
  <si>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</si>
  <si>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</si>
  <si>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</si>
  <si>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</si>
  <si>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</si>
  <si>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</si>
  <si>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</si>
  <si>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</si>
  <si>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</si>
  <si>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</si>
  <si>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</si>
  <si>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</si>
  <si>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</si>
  <si>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</si>
  <si>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</si>
  <si>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</si>
  <si>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</si>
  <si>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</si>
  <si>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</si>
  <si>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</si>
  <si>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</si>
  <si>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</si>
  <si>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</si>
  <si>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</si>
  <si>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</si>
  <si>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</si>
  <si>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</si>
  <si>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</si>
  <si>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</si>
  <si>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</si>
  <si>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</si>
  <si>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</si>
  <si>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</si>
  <si>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</si>
  <si>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</si>
  <si>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</si>
  <si>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</si>
  <si>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</si>
  <si>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</si>
  <si>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</si>
  <si>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</si>
  <si>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</si>
  <si>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</si>
  <si>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</si>
  <si>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</si>
  <si>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</si>
  <si>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</si>
  <si>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</si>
  <si>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</si>
  <si>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</si>
  <si>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</si>
  <si>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</si>
  <si>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</si>
  <si>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</si>
  <si>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</si>
  <si>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</si>
  <si>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</si>
  <si>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</si>
  <si>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</si>
  <si>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</si>
  <si>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</si>
  <si>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</si>
  <si>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</si>
  <si>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</si>
  <si>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</si>
  <si>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</si>
  <si>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</si>
  <si>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</si>
  <si>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</si>
  <si>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</si>
  <si>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</si>
  <si>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</si>
  <si>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</si>
  <si>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</si>
  <si>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</si>
  <si>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</si>
  <si>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</si>
  <si>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</si>
  <si>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</si>
  <si>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</si>
  <si>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</si>
  <si>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</si>
  <si>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</si>
  <si>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</si>
  <si>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</si>
  <si>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</si>
  <si>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</si>
  <si>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</si>
  <si>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</si>
  <si>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</si>
  <si>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</si>
  <si>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</si>
  <si>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</si>
  <si>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</si>
  <si>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</si>
  <si>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</si>
  <si>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</si>
  <si>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</si>
  <si>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</si>
  <si>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</si>
  <si>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</si>
  <si>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</si>
  <si>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</si>
  <si>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</si>
  <si>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</si>
  <si>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</si>
  <si>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</si>
  <si>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</si>
  <si>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</si>
  <si>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</si>
  <si>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</si>
  <si>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</si>
  <si>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</si>
  <si>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</si>
  <si>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</si>
  <si>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</si>
  <si>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</si>
  <si>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</si>
  <si>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</si>
  <si>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</si>
  <si>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</si>
  <si>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</si>
  <si>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</si>
  <si>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</si>
  <si>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</si>
  <si>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</si>
  <si>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</si>
  <si>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</si>
  <si>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</si>
  <si>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</si>
  <si>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</si>
  <si>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</si>
  <si>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</si>
  <si>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</si>
  <si>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</si>
  <si>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</si>
  <si>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</si>
  <si>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</si>
  <si>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</si>
  <si>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</si>
  <si>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</si>
  <si>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</si>
  <si>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</si>
  <si>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</si>
  <si>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</si>
  <si>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</si>
  <si>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</si>
  <si>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</si>
  <si>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</si>
  <si>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</si>
  <si>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</si>
  <si>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</si>
  <si>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</si>
  <si>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</si>
  <si>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</si>
  <si>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</si>
  <si>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</si>
  <si>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</si>
  <si>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</si>
  <si>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</si>
  <si>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</si>
  <si>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</si>
  <si>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</si>
  <si>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</si>
  <si>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</si>
  <si>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</si>
  <si>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</si>
  <si>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</si>
  <si>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</si>
  <si>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</si>
  <si>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</si>
  <si>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</si>
  <si>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</si>
  <si>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</si>
  <si>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</si>
  <si>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</si>
  <si>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</si>
  <si>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</si>
  <si>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</si>
  <si>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</si>
  <si>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</si>
  <si>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</si>
  <si>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</si>
  <si>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</si>
  <si>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</si>
  <si>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</si>
  <si>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</si>
  <si>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</si>
  <si>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</si>
  <si>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</si>
  <si>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</si>
  <si>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</si>
  <si>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</si>
  <si>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</si>
  <si>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</si>
  <si>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</si>
  <si>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</si>
  <si>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</si>
  <si>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</si>
  <si>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</si>
  <si>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</si>
  <si>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</si>
  <si>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</si>
  <si>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</si>
  <si>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</si>
  <si>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</si>
  <si>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</si>
  <si>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</si>
  <si>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</si>
  <si>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</si>
  <si>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</si>
  <si>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</si>
  <si>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</si>
  <si>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</si>
  <si>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</si>
  <si>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</si>
  <si>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</si>
  <si>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</si>
  <si>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</si>
  <si>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</si>
  <si>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</si>
  <si>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</si>
  <si>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</si>
  <si>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</si>
  <si>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</si>
  <si>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</si>
  <si>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</si>
  <si>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</si>
  <si>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</si>
  <si>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</si>
  <si>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</si>
  <si>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</si>
  <si>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</si>
  <si>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</si>
  <si>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</si>
  <si>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</si>
  <si>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</si>
  <si>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</si>
  <si>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</si>
  <si>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</si>
  <si>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</si>
  <si>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</si>
  <si>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</si>
  <si>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</si>
  <si>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</si>
  <si>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</si>
  <si>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</si>
  <si>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</si>
  <si>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</si>
  <si>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</si>
  <si>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</si>
  <si>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</si>
  <si>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</si>
  <si>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</si>
  <si>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</si>
  <si>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</si>
  <si>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</si>
  <si>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</si>
  <si>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</si>
  <si>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</si>
  <si>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</si>
  <si>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</si>
  <si>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</si>
  <si>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</si>
  <si>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</si>
  <si>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</si>
  <si>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</si>
  <si>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</si>
  <si>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</si>
  <si>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</si>
  <si>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</si>
  <si>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</si>
  <si>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</si>
  <si>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</si>
  <si>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</si>
  <si>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</si>
  <si>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</si>
  <si>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</si>
  <si>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</si>
  <si>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</si>
  <si>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</si>
  <si>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</si>
  <si>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</si>
  <si>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</si>
  <si>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</si>
  <si>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</si>
  <si>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</si>
  <si>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</si>
  <si>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</si>
  <si>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</si>
  <si>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</si>
  <si>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</si>
  <si>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</si>
  <si>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</si>
  <si>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</si>
  <si>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</si>
  <si>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</si>
  <si>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</si>
  <si>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</si>
  <si>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</si>
  <si>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</si>
  <si>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</si>
  <si>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</si>
  <si>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</si>
  <si>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</si>
  <si>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</si>
  <si>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</si>
  <si>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</si>
  <si>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</si>
  <si>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</si>
  <si>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</si>
  <si>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</si>
  <si>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</si>
  <si>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</si>
  <si>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</si>
  <si>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</si>
  <si>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</si>
  <si>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</si>
  <si>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</si>
  <si>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</si>
  <si>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</si>
  <si>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</si>
  <si>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</si>
  <si>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</si>
  <si>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</si>
  <si>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</si>
  <si>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</si>
  <si>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</si>
  <si>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</si>
  <si>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</si>
  <si>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</si>
  <si>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</si>
  <si>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</si>
  <si>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</si>
  <si>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</si>
  <si>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</si>
  <si>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</si>
  <si>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</si>
  <si>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</si>
  <si>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</si>
  <si>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</si>
  <si>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</si>
  <si>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</si>
  <si>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</si>
  <si>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</si>
  <si>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</si>
  <si>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</si>
  <si>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</si>
  <si>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</si>
  <si>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</si>
  <si>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</si>
  <si>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</si>
  <si>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</si>
  <si>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</si>
  <si>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</si>
  <si>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</si>
  <si>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</si>
  <si>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</si>
  <si>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</si>
  <si>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</si>
  <si>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</si>
  <si>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</si>
  <si>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</si>
  <si>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</si>
  <si>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</si>
  <si>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</si>
  <si>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</si>
  <si>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</si>
  <si>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</si>
  <si>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</si>
  <si>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</si>
  <si>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</si>
  <si>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</si>
  <si>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</si>
  <si>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</si>
  <si>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</si>
  <si>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</si>
  <si>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</si>
  <si>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</si>
  <si>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</si>
  <si>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</si>
  <si>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</si>
  <si>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</si>
  <si>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</si>
  <si>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</si>
  <si>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</si>
  <si>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</si>
  <si>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</si>
  <si>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</si>
  <si>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</si>
  <si>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</si>
  <si>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</si>
  <si>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</si>
  <si>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</si>
  <si>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</si>
  <si>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</si>
  <si>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</si>
  <si>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</si>
  <si>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</si>
  <si>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</si>
  <si>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</si>
  <si>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</si>
  <si>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</si>
  <si>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</si>
  <si>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</si>
  <si>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</si>
  <si>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</si>
  <si>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</si>
  <si>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</si>
  <si>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</si>
  <si>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</si>
  <si>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</si>
  <si>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</si>
  <si>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</si>
  <si>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</si>
  <si>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</si>
  <si>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</si>
  <si>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</si>
  <si>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</si>
  <si>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</si>
  <si>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</si>
  <si>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</si>
  <si>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</si>
  <si>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</si>
  <si>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</si>
  <si>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</si>
  <si>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</si>
  <si>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</si>
  <si>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</si>
  <si>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</si>
  <si>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</si>
  <si>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</si>
  <si>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</si>
  <si>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</si>
  <si>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</si>
  <si>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</si>
  <si>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</si>
  <si>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</si>
  <si>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</si>
  <si>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</si>
  <si>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</si>
  <si>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</si>
  <si>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</si>
  <si>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</si>
  <si>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</si>
  <si>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</si>
  <si>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</si>
  <si>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</si>
  <si>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</si>
  <si>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</si>
  <si>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</si>
  <si>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</si>
  <si>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</si>
  <si>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</si>
  <si>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</si>
  <si>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</si>
  <si>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</si>
  <si>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</si>
  <si>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</si>
  <si>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</si>
  <si>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</si>
  <si>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</si>
  <si>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</si>
  <si>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</si>
  <si>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</si>
  <si>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</si>
  <si>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</si>
  <si>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</si>
  <si>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</si>
  <si>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</si>
  <si>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</si>
  <si>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</si>
  <si>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</si>
  <si>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</si>
  <si>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</si>
  <si>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</si>
  <si>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</si>
  <si>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</si>
  <si>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</si>
  <si>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</si>
  <si>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</si>
  <si>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</si>
  <si>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</si>
  <si>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</si>
  <si>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</si>
  <si>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</si>
  <si>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</si>
  <si>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</si>
  <si>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</si>
  <si>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</si>
  <si>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</si>
  <si>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</si>
  <si>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</si>
  <si>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</si>
  <si>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</si>
  <si>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</si>
  <si>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</si>
  <si>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</si>
  <si>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</si>
  <si>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</si>
  <si>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</si>
  <si>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</si>
  <si>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</si>
  <si>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</si>
  <si>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</si>
  <si>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</si>
  <si>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</si>
  <si>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</si>
  <si>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</si>
  <si>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</si>
  <si>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</si>
  <si>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</si>
  <si>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</si>
  <si>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</si>
  <si>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</si>
  <si>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</si>
  <si>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</si>
  <si>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</si>
  <si>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</si>
  <si>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</si>
  <si>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</si>
  <si>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</si>
  <si>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</si>
  <si>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</si>
  <si>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</si>
  <si>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</si>
  <si>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</si>
  <si>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</si>
  <si>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</si>
  <si>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</si>
  <si>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</si>
  <si>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</si>
  <si>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</si>
  <si>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</si>
  <si>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</si>
  <si>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</si>
  <si>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</si>
  <si>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</si>
  <si>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</si>
  <si>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</si>
  <si>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</si>
  <si>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</si>
  <si>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</si>
  <si>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</si>
  <si>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</si>
  <si>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</si>
  <si>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</si>
  <si>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</si>
  <si>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</si>
  <si>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</si>
  <si>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</si>
  <si>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</si>
  <si>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</si>
  <si>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</si>
  <si>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</si>
  <si>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</si>
  <si>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</si>
  <si>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</si>
  <si>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</si>
  <si>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</si>
  <si>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</si>
  <si>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</si>
  <si>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</si>
  <si>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</si>
  <si>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</si>
  <si>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</si>
  <si>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</si>
  <si>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</si>
  <si>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</si>
  <si>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</si>
  <si>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</si>
  <si>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</si>
  <si>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</si>
  <si>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</si>
  <si>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</si>
  <si>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</si>
  <si>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</si>
  <si>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</si>
  <si>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</si>
  <si>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</si>
  <si>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</si>
  <si>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</si>
  <si>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</si>
  <si>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</si>
  <si>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</si>
  <si>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</si>
  <si>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</si>
  <si>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</si>
  <si>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</si>
  <si>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</si>
  <si>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</si>
  <si>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</si>
  <si>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</si>
  <si>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</si>
  <si>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</si>
  <si>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</si>
  <si>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</si>
  <si>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</si>
  <si>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</si>
  <si>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</si>
  <si>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</si>
  <si>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</si>
  <si>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</si>
  <si>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</si>
  <si>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</si>
  <si>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</si>
  <si>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</si>
  <si>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</si>
  <si>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</si>
  <si>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</si>
  <si>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</si>
  <si>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</si>
  <si>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</si>
  <si>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</si>
  <si>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</si>
  <si>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</si>
  <si>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</si>
  <si>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</si>
  <si>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</si>
  <si>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</si>
  <si>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</si>
  <si>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</si>
  <si>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</si>
  <si>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</si>
  <si>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</si>
  <si>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</si>
  <si>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</si>
  <si>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</si>
  <si>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</si>
  <si>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</si>
  <si>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</si>
  <si>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</si>
  <si>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</si>
  <si>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</si>
  <si>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</si>
  <si>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</si>
  <si>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</si>
  <si>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</si>
  <si>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</si>
  <si>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</si>
  <si>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</si>
  <si>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</si>
  <si>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</si>
  <si>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</si>
  <si>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</si>
  <si>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</si>
  <si>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</si>
  <si>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</si>
  <si>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</si>
  <si>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</si>
  <si>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</si>
  <si>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</si>
  <si>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</si>
  <si>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</si>
  <si>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</si>
  <si>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</si>
  <si>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</si>
  <si>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</si>
  <si>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</si>
  <si>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</si>
  <si>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</si>
  <si>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</si>
  <si>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</si>
  <si>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</si>
  <si>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</si>
  <si>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</si>
  <si>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</si>
  <si>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</si>
  <si>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</si>
  <si>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</si>
  <si>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</si>
  <si>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</si>
  <si>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</si>
  <si>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</si>
  <si>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</si>
  <si>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</si>
  <si>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</si>
  <si>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</si>
  <si>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</si>
  <si>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</si>
  <si>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</si>
  <si>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</si>
  <si>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</si>
  <si>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</si>
  <si>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</si>
  <si>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</si>
  <si>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</si>
  <si>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</si>
  <si>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</si>
  <si>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</si>
  <si>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</si>
  <si>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</si>
  <si>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</si>
  <si>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</si>
  <si>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</si>
  <si>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</si>
  <si>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</si>
  <si>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</si>
  <si>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</si>
  <si>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</si>
  <si>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</si>
  <si>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</si>
  <si>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</si>
  <si>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</si>
  <si>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</si>
  <si>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</si>
  <si>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</si>
  <si>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</si>
  <si>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</si>
  <si>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</si>
  <si>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</si>
  <si>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</si>
  <si>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</si>
  <si>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</si>
  <si>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</si>
  <si>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</si>
  <si>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</si>
  <si>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</si>
  <si>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</si>
  <si>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</si>
  <si>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</si>
  <si>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</si>
  <si>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</si>
  <si>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</si>
  <si>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</si>
  <si>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</si>
  <si>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</si>
  <si>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</si>
  <si>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</si>
  <si>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</si>
  <si>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</si>
  <si>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</si>
  <si>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</si>
  <si>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</si>
  <si>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</si>
  <si>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</si>
  <si>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</si>
  <si>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</si>
  <si>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</si>
  <si>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</si>
  <si>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</si>
  <si>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</si>
  <si>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</si>
  <si>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</si>
  <si>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</si>
  <si>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</si>
  <si>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</si>
  <si>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</si>
  <si>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</si>
  <si>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</si>
  <si>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</si>
  <si>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</si>
  <si>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</si>
  <si>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</si>
  <si>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</si>
  <si>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</si>
  <si>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</si>
  <si>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</si>
  <si>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</si>
  <si>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</si>
  <si>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</si>
  <si>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</si>
  <si>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</si>
  <si>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</si>
  <si>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</si>
  <si>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</si>
  <si>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</si>
  <si>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</si>
  <si>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</si>
  <si>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</si>
  <si>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</si>
  <si>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</si>
  <si>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</si>
  <si>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</si>
  <si>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</si>
  <si>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</si>
  <si>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</si>
  <si>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</si>
  <si>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</si>
  <si>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</si>
  <si>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</si>
  <si>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</si>
  <si>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</si>
  <si>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</si>
  <si>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</si>
  <si>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</si>
  <si>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</si>
  <si>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</si>
  <si>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</si>
  <si>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</si>
  <si>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</si>
  <si>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</si>
  <si>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</si>
  <si>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</si>
  <si>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</si>
  <si>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</si>
  <si>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</si>
  <si>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</si>
  <si>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</si>
  <si>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</si>
  <si>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</si>
  <si>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</si>
  <si>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</si>
  <si>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</si>
  <si>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</si>
  <si>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</si>
  <si>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</si>
  <si>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</si>
  <si>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</si>
  <si>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</si>
  <si>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</si>
  <si>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</si>
  <si>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</si>
  <si>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</si>
  <si>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</si>
  <si>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</si>
  <si>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</si>
  <si>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</si>
  <si>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</si>
  <si>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</si>
  <si>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</si>
  <si>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</si>
  <si>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</si>
  <si>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</si>
  <si>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</si>
  <si>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</si>
  <si>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</si>
  <si>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</si>
  <si>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</si>
  <si>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</si>
  <si>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</si>
  <si>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</si>
  <si>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</si>
  <si>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</si>
  <si>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</si>
  <si>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</si>
  <si>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</si>
  <si>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</si>
  <si>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</si>
  <si>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</si>
  <si>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</si>
  <si>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</si>
  <si>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</si>
  <si>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</si>
  <si>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</si>
  <si>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</si>
  <si>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</si>
  <si>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</si>
  <si>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</si>
  <si>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</si>
  <si>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</si>
  <si>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</si>
  <si>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</si>
  <si>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</si>
  <si>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</si>
  <si>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</si>
  <si>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</si>
  <si>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</si>
  <si>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</si>
  <si>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</si>
  <si>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</si>
  <si>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</si>
  <si>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</si>
  <si>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</si>
  <si>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</si>
  <si>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</si>
  <si>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</si>
  <si>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</si>
  <si>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</si>
  <si>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</si>
  <si>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</si>
  <si>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</si>
  <si>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</si>
  <si>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</si>
  <si>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</si>
  <si>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</si>
  <si>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</si>
  <si>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</si>
  <si>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</si>
  <si>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</si>
  <si>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</si>
  <si>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</si>
  <si>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</si>
  <si>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</si>
  <si>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</si>
  <si>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</si>
  <si>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</si>
  <si>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</si>
  <si>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</si>
  <si>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</si>
  <si>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</si>
  <si>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</si>
  <si>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</si>
  <si>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</si>
  <si>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</si>
  <si>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</si>
  <si>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</si>
  <si>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</si>
  <si>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</si>
  <si>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</si>
  <si>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</si>
  <si>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</si>
  <si>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</si>
  <si>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</si>
  <si>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</si>
  <si>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</si>
  <si>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</si>
  <si>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</si>
  <si>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</si>
  <si>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</si>
  <si>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</si>
  <si>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</si>
  <si>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</si>
  <si>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</si>
  <si>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</si>
  <si>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</si>
  <si>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</si>
  <si>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</si>
  <si>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</si>
  <si>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</si>
  <si>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</si>
  <si>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</si>
  <si>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</si>
  <si>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</si>
  <si>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</si>
  <si>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</si>
  <si>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</si>
  <si>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</si>
  <si>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</si>
  <si>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</si>
  <si>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</si>
  <si>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</si>
  <si>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</si>
  <si>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</si>
  <si>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</si>
  <si>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</si>
  <si>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</si>
  <si>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</si>
  <si>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</si>
  <si>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</si>
  <si>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</si>
  <si>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</si>
  <si>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</si>
  <si>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</si>
  <si>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</si>
  <si>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</si>
  <si>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</si>
  <si>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</si>
  <si>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</si>
  <si>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</si>
  <si>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</si>
  <si>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</si>
  <si>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</si>
  <si>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</si>
  <si>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</si>
  <si>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</si>
  <si>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</si>
  <si>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</si>
  <si>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</si>
  <si>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</si>
  <si>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</si>
  <si>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</si>
  <si>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</si>
  <si>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</si>
  <si>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</si>
  <si>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</si>
  <si>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</si>
  <si>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</si>
  <si>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</si>
  <si>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</si>
  <si>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</si>
  <si>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</si>
  <si>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</si>
  <si>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</si>
  <si>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</si>
  <si>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</si>
  <si>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</si>
  <si>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</si>
  <si>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</si>
  <si>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</si>
  <si>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</si>
  <si>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</si>
  <si>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</si>
  <si>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</si>
  <si>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</si>
  <si>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</si>
  <si>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</si>
  <si>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</si>
  <si>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</si>
  <si>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</si>
  <si>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</si>
  <si>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</si>
  <si>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</si>
  <si>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</si>
  <si>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</si>
  <si>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</si>
  <si>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</si>
  <si>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</si>
  <si>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</si>
  <si>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</si>
  <si>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</si>
  <si>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</si>
  <si>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</si>
  <si>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</si>
  <si>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</si>
  <si>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</si>
  <si>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</si>
  <si>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</si>
  <si>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</si>
  <si>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</si>
  <si>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</si>
  <si>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</si>
  <si>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</si>
  <si>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</si>
  <si>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</si>
  <si>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</si>
  <si>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</si>
  <si>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</si>
  <si>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</si>
  <si>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</si>
  <si>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</si>
  <si>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</si>
  <si>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</si>
  <si>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</si>
  <si>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</si>
  <si>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</si>
  <si>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</si>
  <si>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</si>
  <si>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</si>
  <si>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</si>
  <si>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</si>
  <si>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</si>
  <si>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</si>
  <si>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</si>
  <si>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</si>
  <si>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</si>
  <si>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</si>
  <si>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</si>
  <si>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</si>
  <si>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</si>
  <si>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</si>
  <si>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</si>
  <si>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</si>
  <si>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</si>
  <si>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</si>
  <si>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</si>
  <si>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</si>
  <si>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</si>
  <si>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</si>
  <si>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</si>
  <si>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</si>
  <si>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</si>
  <si>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</si>
  <si>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</si>
  <si>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</si>
  <si>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</si>
  <si>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</si>
  <si>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</si>
  <si>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</si>
  <si>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</si>
  <si>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</si>
  <si>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</si>
  <si>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</si>
  <si>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</si>
  <si>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</si>
  <si>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</si>
  <si>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</si>
  <si>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</si>
  <si>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</si>
  <si>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</si>
  <si>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</si>
  <si>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</si>
  <si>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</si>
  <si>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</si>
  <si>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</si>
  <si>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</si>
  <si>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</si>
  <si>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</si>
  <si>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</si>
  <si>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</si>
  <si>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</si>
  <si>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</si>
  <si>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</si>
  <si>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</si>
  <si>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</si>
  <si>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</si>
  <si>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</si>
  <si>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</si>
  <si>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</si>
  <si>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</si>
  <si>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</si>
  <si>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</si>
  <si>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</si>
  <si>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</si>
  <si>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</si>
  <si>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</si>
  <si>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</si>
  <si>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</si>
  <si>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</si>
  <si>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</si>
  <si>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</si>
  <si>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</si>
  <si>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</si>
  <si>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</si>
  <si>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</si>
  <si>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</si>
  <si>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</si>
  <si>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</si>
  <si>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</si>
  <si>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</si>
  <si>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</si>
  <si>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</si>
  <si>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</si>
  <si>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</si>
  <si>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</si>
  <si>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</si>
  <si>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</si>
  <si>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</si>
  <si>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</si>
  <si>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</si>
  <si>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</si>
  <si>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</si>
  <si>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</si>
  <si>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</si>
  <si>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</si>
  <si>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</si>
  <si>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</si>
  <si>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</si>
  <si>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</si>
  <si>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</si>
  <si>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</si>
  <si>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</si>
  <si>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</si>
  <si>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</si>
  <si>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</si>
  <si>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</si>
  <si>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</si>
  <si>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</si>
  <si>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</si>
  <si>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</si>
  <si>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</si>
  <si>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</si>
  <si>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</si>
  <si>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</si>
  <si>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</si>
  <si>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</si>
  <si>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</si>
  <si>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</si>
  <si>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</si>
  <si>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</si>
  <si>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</si>
  <si>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</si>
  <si>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</si>
  <si>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</si>
  <si>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</si>
  <si>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</si>
  <si>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</si>
  <si>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</si>
  <si>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</si>
  <si>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</si>
  <si>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</si>
  <si>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</si>
  <si>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</si>
  <si>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</si>
  <si>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</si>
  <si>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</si>
  <si>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</si>
  <si>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</si>
  <si>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</si>
  <si>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</si>
  <si>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</si>
  <si>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</si>
  <si>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</si>
  <si>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</si>
  <si>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</si>
  <si>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</si>
  <si>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</si>
  <si>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</si>
  <si>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</si>
  <si>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</si>
  <si>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</si>
  <si>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</si>
  <si>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</si>
  <si>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</si>
  <si>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</si>
  <si>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</si>
  <si>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</si>
  <si>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</si>
  <si>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</si>
  <si>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</si>
  <si>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</si>
  <si>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</si>
  <si>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</si>
  <si>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</si>
  <si>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</si>
  <si>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</si>
  <si>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</si>
  <si>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</si>
  <si>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</si>
  <si>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</si>
  <si>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</si>
  <si>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</si>
  <si>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</si>
  <si>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</si>
  <si>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</si>
  <si>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</si>
  <si>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</si>
  <si>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</si>
  <si>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</si>
  <si>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</si>
  <si>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</si>
  <si>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</si>
  <si>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</si>
  <si>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</si>
  <si>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</si>
  <si>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</si>
  <si>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</si>
  <si>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</si>
  <si>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</si>
  <si>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</si>
  <si>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</si>
  <si>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</si>
  <si>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</si>
  <si>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</si>
  <si>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</si>
  <si>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</si>
  <si>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</si>
  <si>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</si>
  <si>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</si>
  <si>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</si>
  <si>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</si>
  <si>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</si>
  <si>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</si>
  <si>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</si>
  <si>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</si>
  <si>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</si>
  <si>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</si>
  <si>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</si>
  <si>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</si>
  <si>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</si>
  <si>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</si>
  <si>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</si>
  <si>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</si>
  <si>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</si>
  <si>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</si>
  <si>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</si>
  <si>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</si>
  <si>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</si>
  <si>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</si>
  <si>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</si>
  <si>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</si>
  <si>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</si>
  <si>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</si>
  <si>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</si>
  <si>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</si>
  <si>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</si>
  <si>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</si>
  <si>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</si>
  <si>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</si>
  <si>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</si>
  <si>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</si>
  <si>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</si>
  <si>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</si>
  <si>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</si>
  <si>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</si>
  <si>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</si>
  <si>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</si>
  <si>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</si>
  <si>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</si>
  <si>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</si>
  <si>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</si>
  <si>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</si>
  <si>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</si>
  <si>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</si>
  <si>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</si>
  <si>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</si>
  <si>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</si>
  <si>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</si>
  <si>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</si>
  <si>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</si>
  <si>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</si>
  <si>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</si>
  <si>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</si>
  <si>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</si>
  <si>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</si>
  <si>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</si>
  <si>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</si>
  <si>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</si>
  <si>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</si>
  <si>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</si>
  <si>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</si>
  <si>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</si>
  <si>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</si>
  <si>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</si>
  <si>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</si>
  <si>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</si>
  <si>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</si>
  <si>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</si>
  <si>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</si>
  <si>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</si>
  <si>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</si>
  <si>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</si>
  <si>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</si>
  <si>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</si>
  <si>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</si>
  <si>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</si>
  <si>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</si>
  <si>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</si>
  <si>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</si>
  <si>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</si>
  <si>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</si>
  <si>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</si>
  <si>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</si>
  <si>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</si>
  <si>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</si>
  <si>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</si>
  <si>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</si>
  <si>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</si>
  <si>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</si>
  <si>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</si>
  <si>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</si>
  <si>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</si>
  <si>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</si>
  <si>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</si>
  <si>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</si>
  <si>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</si>
  <si>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</si>
  <si>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</si>
  <si>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</si>
  <si>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</si>
  <si>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</si>
  <si>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</si>
  <si>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</si>
  <si>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</si>
  <si>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</si>
  <si>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</si>
  <si>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</si>
  <si>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</si>
  <si>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</si>
  <si>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</si>
  <si>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</si>
  <si>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</si>
  <si>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</si>
  <si>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</si>
  <si>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</si>
  <si>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</si>
  <si>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</si>
  <si>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</si>
  <si>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</si>
  <si>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</si>
  <si>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</si>
  <si>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</si>
  <si>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</si>
  <si>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</si>
  <si>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</si>
  <si>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</si>
  <si>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</si>
  <si>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</si>
  <si>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</si>
  <si>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</si>
  <si>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</si>
  <si>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</si>
  <si>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</si>
  <si>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</si>
  <si>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</si>
  <si>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</si>
  <si>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</si>
  <si>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</si>
  <si>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</si>
  <si>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</si>
  <si>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</si>
  <si>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</si>
  <si>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</si>
  <si>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</si>
  <si>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</si>
  <si>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</si>
  <si>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</si>
  <si>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</si>
  <si>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</si>
  <si>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</si>
  <si>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</si>
  <si>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</si>
  <si>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</si>
  <si>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</si>
  <si>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</si>
  <si>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</si>
  <si>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</si>
  <si>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</si>
  <si>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</si>
  <si>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</si>
  <si>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</si>
  <si>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</si>
  <si>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</si>
  <si>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</si>
  <si>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</si>
  <si>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</si>
  <si>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</si>
  <si>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</si>
  <si>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</si>
  <si>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</si>
  <si>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</si>
  <si>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</si>
  <si>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</si>
  <si>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</si>
  <si>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</si>
  <si>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</si>
  <si>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</si>
  <si>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</si>
  <si>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</si>
  <si>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</si>
  <si>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</si>
  <si>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</si>
  <si>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</si>
  <si>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</si>
  <si>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</si>
  <si>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</si>
  <si>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</si>
  <si>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</si>
  <si>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</si>
  <si>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</si>
  <si>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</si>
  <si>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</si>
  <si>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</si>
  <si>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</si>
  <si>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</si>
  <si>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</si>
  <si>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</si>
  <si>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</si>
  <si>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</si>
  <si>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</si>
  <si>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</si>
  <si>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</si>
  <si>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</si>
  <si>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</si>
  <si>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</si>
  <si>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</si>
  <si>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</si>
  <si>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</si>
  <si>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</si>
  <si>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</si>
  <si>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</si>
  <si>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</si>
  <si>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</si>
  <si>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</si>
  <si>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</si>
  <si>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</si>
  <si>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</si>
  <si>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</si>
  <si>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</si>
  <si>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</si>
  <si>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</si>
  <si>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</si>
  <si>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</si>
  <si>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</si>
  <si>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</si>
  <si>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</si>
  <si>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</si>
  <si>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</si>
  <si>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</si>
  <si>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</si>
  <si>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</si>
  <si>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</si>
  <si>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</si>
  <si>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</si>
  <si>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</si>
  <si>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</si>
  <si>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</si>
  <si>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</si>
  <si>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</si>
  <si>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</si>
  <si>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</si>
  <si>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</si>
  <si>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</si>
  <si>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</si>
  <si>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</si>
  <si>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</si>
  <si>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</si>
  <si>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</si>
  <si>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</si>
  <si>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</si>
  <si>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</si>
  <si>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</si>
  <si>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</si>
  <si>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</si>
  <si>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</si>
  <si>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</si>
  <si>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</si>
  <si>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</si>
  <si>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</si>
  <si>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</si>
  <si>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</si>
  <si>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</si>
  <si>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</si>
  <si>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</si>
  <si>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</si>
  <si>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</si>
  <si>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</si>
  <si>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</si>
  <si>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</si>
  <si>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</si>
  <si>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</si>
  <si>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</si>
  <si>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</si>
  <si>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</si>
  <si>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</si>
  <si>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</si>
  <si>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</si>
  <si>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</si>
  <si>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</si>
  <si>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</si>
  <si>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</si>
  <si>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</si>
  <si>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</si>
  <si>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</si>
  <si>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</si>
  <si>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</si>
  <si>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</si>
  <si>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</si>
  <si>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</si>
  <si>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</si>
  <si>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</si>
  <si>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</si>
  <si>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</si>
  <si>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</si>
  <si>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</si>
  <si>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</si>
  <si>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</si>
  <si>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</si>
  <si>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</si>
  <si>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</si>
  <si>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</si>
  <si>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</si>
  <si>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</si>
  <si>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</si>
  <si>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</si>
  <si>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</si>
  <si>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</si>
  <si>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</si>
  <si>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</si>
  <si>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</si>
  <si>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</si>
  <si>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</si>
  <si>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</si>
  <si>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</si>
  <si>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</si>
  <si>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</si>
  <si>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</si>
  <si>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</si>
  <si>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</si>
  <si>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</si>
  <si>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</si>
  <si>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</si>
  <si>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</si>
  <si>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</si>
  <si>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</si>
  <si>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</si>
  <si>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</si>
  <si>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</si>
  <si>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</si>
  <si>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</si>
  <si>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</si>
  <si>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</si>
  <si>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</si>
  <si>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</si>
  <si>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</si>
  <si>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</si>
  <si>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</si>
  <si>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</si>
  <si>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</si>
  <si>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</si>
  <si>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</si>
  <si>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</si>
  <si>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</si>
  <si>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</si>
  <si>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</si>
  <si>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</si>
  <si>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</si>
  <si>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</si>
  <si>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</si>
  <si>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</si>
  <si>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</si>
  <si>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</si>
  <si>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</si>
  <si>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</si>
  <si>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</si>
  <si>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</si>
  <si>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</si>
  <si>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</si>
  <si>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</si>
  <si>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</si>
  <si>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</si>
  <si>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</si>
  <si>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</si>
  <si>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</si>
  <si>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</si>
  <si>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</si>
  <si>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</si>
  <si>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</si>
  <si>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</si>
  <si>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</si>
  <si>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</si>
  <si>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</si>
  <si>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</si>
  <si>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</si>
  <si>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</si>
  <si>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</si>
  <si>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</si>
  <si>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</si>
  <si>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</si>
  <si>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</si>
  <si>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</si>
  <si>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</si>
  <si>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</si>
  <si>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</si>
  <si>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</si>
  <si>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</si>
  <si>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</si>
  <si>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</si>
  <si>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</si>
  <si>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</si>
  <si>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</si>
  <si>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</si>
  <si>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</si>
  <si>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</si>
  <si>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</si>
  <si>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</si>
  <si>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</si>
  <si>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</si>
  <si>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</si>
  <si>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</si>
  <si>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</si>
  <si>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</si>
  <si>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</si>
  <si>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</si>
  <si>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</si>
  <si>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</si>
  <si>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</si>
  <si>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</si>
  <si>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</si>
  <si>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</si>
  <si>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</si>
  <si>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</si>
  <si>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</si>
  <si>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</si>
  <si>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</si>
  <si>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</si>
  <si>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</si>
  <si>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</si>
  <si>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</si>
  <si>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</si>
  <si>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</si>
  <si>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</si>
  <si>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</si>
  <si>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</si>
  <si>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</si>
  <si>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</si>
  <si>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</si>
  <si>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</si>
  <si>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</si>
  <si>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</si>
  <si>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</si>
  <si>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</si>
  <si>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</si>
  <si>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</si>
  <si>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</si>
  <si>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</si>
  <si>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</si>
  <si>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</si>
  <si>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</si>
  <si>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</si>
  <si>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</si>
  <si>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</si>
  <si>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</si>
  <si>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</si>
  <si>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</si>
  <si>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</si>
  <si>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</si>
  <si>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</si>
  <si>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</si>
  <si>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</si>
  <si>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</si>
  <si>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</si>
  <si>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</si>
  <si>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</si>
  <si>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</si>
  <si>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</si>
  <si>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</si>
  <si>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</si>
  <si>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</si>
  <si>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</si>
  <si>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</si>
  <si>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</si>
  <si>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</si>
  <si>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</si>
  <si>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</si>
  <si>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</si>
  <si>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</si>
  <si>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</si>
  <si>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</si>
  <si>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</si>
  <si>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</si>
  <si>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</si>
  <si>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</si>
  <si>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</si>
  <si>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</si>
  <si>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</si>
  <si>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</si>
  <si>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</si>
  <si>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</si>
  <si>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</si>
  <si>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</si>
  <si>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</si>
  <si>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</si>
  <si>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</si>
  <si>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</si>
  <si>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</si>
  <si>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</si>
  <si>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</si>
  <si>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</si>
  <si>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</si>
  <si>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</si>
  <si>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</si>
  <si>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</si>
  <si>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</si>
  <si>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</si>
  <si>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</si>
  <si>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</si>
  <si>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</si>
  <si>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</si>
  <si>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</si>
  <si>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</si>
  <si>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</si>
  <si>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</si>
  <si>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</si>
  <si>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</si>
  <si>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</si>
  <si>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</si>
  <si>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</si>
  <si>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</si>
  <si>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</si>
  <si>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</si>
  <si>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</si>
  <si>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</si>
  <si>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</si>
  <si>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</si>
  <si>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</si>
  <si>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</si>
  <si>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</si>
  <si>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</si>
  <si>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</si>
  <si>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</si>
  <si>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</si>
  <si>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</si>
  <si>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</si>
  <si>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</si>
  <si>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</si>
  <si>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</si>
  <si>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</si>
  <si>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</si>
  <si>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</si>
  <si>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</si>
  <si>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</si>
  <si>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</si>
  <si>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</si>
  <si>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</si>
  <si>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</si>
  <si>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</si>
  <si>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</si>
  <si>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</si>
  <si>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</si>
  <si>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</si>
  <si>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</si>
  <si>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</si>
  <si>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</si>
  <si>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</si>
  <si>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</si>
  <si>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</si>
  <si>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</si>
  <si>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</si>
  <si>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</si>
  <si>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</si>
  <si>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</si>
  <si>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</si>
  <si>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</si>
  <si>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</si>
  <si>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</si>
  <si>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</si>
  <si>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</si>
  <si>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</si>
  <si>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</si>
  <si>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</si>
  <si>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</si>
  <si>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</si>
  <si>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</si>
  <si>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</si>
  <si>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</si>
  <si>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</si>
  <si>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</si>
  <si>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</si>
  <si>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</si>
  <si>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</si>
  <si>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</si>
  <si>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</si>
  <si>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</si>
  <si>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</si>
  <si>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</si>
  <si>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</si>
  <si>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</si>
  <si>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</si>
  <si>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</si>
  <si>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</si>
  <si>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</si>
  <si>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</si>
  <si>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</si>
  <si>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</si>
  <si>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</si>
  <si>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</si>
  <si>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</si>
  <si>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</si>
  <si>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</si>
  <si>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</si>
  <si>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</si>
  <si>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</si>
  <si>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</si>
  <si>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</si>
  <si>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</si>
  <si>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</si>
  <si>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</si>
  <si>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</si>
  <si>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</si>
  <si>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</si>
  <si>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</si>
  <si>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</si>
  <si>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</si>
  <si>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</si>
  <si>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</si>
  <si>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</si>
  <si>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</si>
  <si>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</si>
  <si>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</si>
  <si>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</si>
  <si>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</si>
  <si>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</si>
  <si>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</si>
  <si>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</si>
  <si>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</si>
  <si>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</si>
  <si>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</si>
  <si>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</si>
  <si>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</si>
  <si>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</si>
  <si>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</si>
  <si>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</si>
  <si>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</si>
  <si>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</si>
  <si>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</si>
  <si>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</si>
  <si>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</si>
  <si>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</si>
  <si>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</si>
  <si>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</si>
  <si>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</si>
  <si>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</si>
  <si>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</si>
  <si>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</si>
  <si>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</si>
  <si>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</si>
  <si>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</si>
  <si>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</si>
  <si>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</si>
  <si>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</si>
  <si>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</si>
  <si>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</si>
  <si>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</si>
  <si>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</si>
  <si>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</si>
  <si>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</si>
  <si>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</si>
  <si>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</si>
  <si>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</si>
  <si>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</si>
  <si>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</si>
  <si>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</si>
  <si>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</si>
  <si>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</si>
  <si>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</si>
  <si>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</si>
  <si>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</si>
  <si>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</si>
  <si>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</si>
  <si>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</si>
  <si>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</si>
  <si>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</si>
  <si>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</si>
  <si>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</si>
  <si>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</si>
  <si>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</si>
  <si>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</si>
  <si>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</si>
  <si>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</si>
  <si>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</si>
  <si>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</si>
  <si>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</si>
  <si>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</si>
  <si>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</si>
  <si>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</si>
  <si>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</si>
  <si>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</si>
  <si>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</si>
  <si>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</si>
  <si>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</si>
  <si>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</si>
  <si>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</si>
  <si>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</si>
  <si>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</si>
  <si>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</si>
  <si>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</si>
  <si>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</si>
  <si>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</si>
  <si>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</si>
  <si>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</si>
  <si>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</si>
  <si>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</si>
  <si>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</si>
  <si>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</si>
  <si>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</si>
  <si>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</si>
  <si>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</si>
  <si>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</si>
  <si>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</si>
  <si>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</si>
  <si>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</si>
  <si>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</si>
  <si>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</si>
  <si>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</si>
  <si>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</si>
  <si>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</si>
  <si>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</si>
  <si>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</si>
  <si>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</si>
  <si>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</si>
  <si>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</si>
  <si>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</si>
  <si>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</si>
  <si>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</si>
  <si>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</si>
  <si>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</si>
  <si>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</si>
  <si>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</si>
  <si>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</si>
  <si>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</si>
  <si>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</si>
  <si>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</si>
  <si>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</si>
  <si>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</si>
  <si>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</si>
  <si>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</si>
  <si>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</si>
  <si>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</si>
  <si>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</si>
  <si>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</si>
  <si>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</si>
  <si>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</si>
  <si>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</si>
  <si>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</si>
  <si>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</si>
  <si>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</si>
  <si>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</si>
  <si>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</si>
  <si>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</si>
  <si>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</si>
  <si>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</si>
  <si>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</si>
  <si>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</si>
  <si>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</si>
  <si>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</si>
  <si>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</si>
  <si>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</si>
  <si>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</si>
  <si>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</si>
  <si>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</si>
  <si>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</si>
  <si>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</si>
  <si>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</si>
  <si>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</si>
  <si>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</si>
  <si>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</si>
  <si>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</si>
  <si>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</si>
  <si>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</si>
  <si>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</si>
  <si>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</si>
  <si>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</si>
  <si>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</si>
  <si>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</si>
  <si>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</si>
  <si>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</si>
  <si>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</si>
  <si>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</si>
  <si>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</si>
  <si>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</si>
  <si>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</si>
  <si>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</si>
  <si>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</si>
  <si>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</si>
  <si>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</si>
  <si>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</si>
  <si>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</si>
  <si>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</si>
  <si>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</si>
  <si>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</si>
  <si>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</si>
  <si>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</si>
  <si>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</si>
  <si>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</si>
  <si>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</si>
  <si>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</si>
  <si>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</si>
  <si>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</si>
  <si>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</si>
  <si>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</si>
  <si>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</si>
  <si>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</si>
  <si>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</si>
  <si>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</si>
  <si>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</si>
  <si>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</si>
  <si>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</si>
  <si>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</si>
  <si>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</si>
  <si>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</si>
  <si>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</si>
  <si>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</si>
  <si>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</si>
  <si>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</si>
  <si>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</si>
  <si>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</si>
  <si>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</si>
  <si>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</si>
  <si>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</si>
  <si>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</si>
  <si>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</si>
  <si>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</si>
  <si>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</si>
  <si>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</si>
  <si>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</si>
  <si>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</si>
  <si>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</si>
  <si>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</si>
  <si>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</si>
  <si>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</si>
  <si>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</si>
  <si>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</si>
  <si>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</si>
  <si>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</si>
  <si>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</si>
  <si>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</si>
  <si>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</si>
  <si>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</si>
  <si>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</si>
  <si>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</si>
  <si>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</si>
  <si>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</si>
  <si>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</si>
  <si>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</si>
  <si>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</si>
  <si>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</si>
  <si>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</si>
  <si>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</si>
  <si>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</si>
  <si>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</si>
  <si>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</si>
  <si>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</si>
  <si>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</si>
  <si>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</si>
  <si>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</si>
  <si>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</si>
  <si>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</si>
  <si>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</si>
  <si>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</si>
  <si>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</si>
  <si>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</si>
  <si>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</si>
  <si>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</si>
  <si>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</si>
  <si>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</si>
  <si>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</si>
  <si>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</si>
  <si>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</si>
  <si>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</si>
  <si>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</si>
  <si>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</si>
  <si>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</si>
  <si>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</si>
  <si>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</si>
  <si>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</si>
  <si>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</si>
  <si>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</si>
  <si>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</si>
  <si>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</si>
  <si>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</si>
  <si>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</si>
  <si>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</si>
  <si>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</si>
  <si>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</si>
  <si>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</si>
  <si>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</si>
  <si>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</si>
  <si>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</si>
  <si>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</si>
  <si>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</si>
  <si>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</si>
  <si>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</si>
  <si>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</si>
  <si>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</si>
  <si>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</si>
  <si>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</si>
  <si>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</si>
  <si>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</si>
  <si>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</si>
  <si>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</si>
  <si>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</si>
  <si>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</si>
  <si>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</si>
  <si>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</si>
  <si>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</si>
  <si>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</si>
  <si>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</si>
  <si>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</si>
  <si>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</si>
  <si>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</si>
  <si>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</si>
  <si>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</si>
  <si>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</si>
  <si>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</si>
  <si>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</si>
  <si>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</si>
  <si>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</si>
  <si>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</si>
  <si>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</si>
  <si>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</si>
  <si>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</si>
  <si>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</si>
  <si>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</si>
  <si>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</si>
  <si>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</si>
  <si>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</si>
  <si>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</si>
  <si>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</si>
  <si>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</si>
  <si>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</si>
  <si>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</si>
  <si>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</si>
  <si>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</si>
  <si>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</si>
  <si>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</si>
  <si>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</si>
  <si>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</si>
  <si>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</si>
  <si>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</si>
  <si>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</si>
  <si>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</si>
  <si>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</si>
  <si>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</si>
  <si>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</si>
  <si>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</si>
  <si>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</si>
  <si>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</si>
  <si>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</si>
  <si>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</si>
  <si>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</si>
  <si>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</si>
  <si>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</si>
  <si>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</si>
  <si>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</si>
  <si>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</si>
  <si>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</si>
  <si>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</si>
  <si>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</si>
  <si>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</si>
  <si>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</si>
  <si>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</si>
  <si>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</si>
  <si>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</si>
  <si>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</si>
  <si>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</si>
  <si>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</si>
  <si>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</si>
  <si>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</si>
  <si>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</si>
  <si>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</si>
  <si>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</si>
  <si>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</si>
  <si>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</si>
  <si>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</si>
  <si>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</si>
  <si>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</si>
  <si>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</si>
  <si>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</si>
  <si>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</si>
  <si>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</si>
  <si>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</si>
  <si>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</si>
  <si>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</si>
  <si>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</si>
  <si>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</si>
  <si>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</si>
  <si>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</si>
  <si>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</si>
  <si>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</si>
  <si>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</si>
  <si>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</si>
  <si>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</si>
  <si>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</si>
  <si>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</si>
  <si>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</si>
  <si>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</si>
  <si>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</si>
  <si>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</si>
  <si>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</si>
  <si>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</si>
  <si>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</si>
  <si>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</si>
  <si>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</si>
  <si>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</si>
  <si>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</si>
  <si>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</si>
  <si>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</si>
  <si>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</si>
  <si>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</si>
  <si>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</si>
  <si>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</si>
  <si>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</si>
  <si>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</si>
  <si>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</si>
  <si>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</si>
  <si>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</si>
  <si>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</si>
  <si>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</si>
  <si>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</si>
  <si>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</si>
  <si>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</si>
  <si>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</si>
  <si>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</si>
  <si>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</si>
  <si>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</si>
  <si>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</si>
  <si>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</si>
  <si>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</si>
  <si>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</si>
  <si>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</si>
  <si>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</si>
  <si>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</si>
  <si>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</si>
  <si>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</si>
  <si>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</si>
  <si>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</si>
  <si>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</si>
  <si>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</si>
  <si>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</si>
  <si>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</si>
  <si>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</si>
  <si>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</si>
  <si>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</si>
  <si>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</si>
  <si>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</si>
  <si>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</si>
  <si>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</si>
  <si>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</si>
  <si>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</si>
  <si>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</si>
  <si>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</si>
  <si>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</si>
  <si>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</si>
  <si>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</si>
  <si>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</si>
  <si>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</si>
  <si>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</si>
  <si>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</si>
  <si>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</si>
  <si>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</si>
  <si>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</si>
  <si>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</si>
  <si>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</si>
  <si>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</si>
  <si>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</si>
  <si>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</si>
  <si>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</si>
  <si>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</si>
  <si>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</si>
  <si>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</si>
  <si>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</si>
  <si>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</si>
  <si>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</si>
  <si>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</si>
  <si>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</si>
  <si>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</si>
  <si>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</si>
  <si>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</si>
  <si>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</si>
  <si>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</si>
  <si>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</si>
  <si>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</si>
  <si>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</si>
  <si>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</si>
  <si>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</si>
  <si>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</si>
  <si>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</si>
  <si>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</si>
  <si>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</si>
  <si>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</si>
  <si>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</si>
  <si>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</si>
  <si>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</si>
  <si>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</si>
  <si>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</si>
  <si>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</si>
  <si>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</si>
  <si>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</si>
  <si>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</si>
  <si>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</si>
  <si>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</si>
  <si>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</si>
  <si>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</si>
  <si>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</si>
  <si>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</si>
  <si>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</si>
  <si>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</si>
  <si>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</si>
  <si>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</si>
  <si>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</si>
  <si>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</si>
  <si>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</si>
  <si>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</si>
  <si>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</si>
  <si>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</si>
  <si>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</si>
  <si>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</si>
  <si>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</si>
  <si>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</si>
  <si>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</si>
  <si>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</si>
  <si>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</si>
  <si>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</si>
  <si>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</si>
  <si>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</si>
  <si>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</si>
  <si>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</si>
  <si>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</si>
  <si>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</si>
  <si>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</si>
  <si>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</si>
  <si>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</si>
  <si>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</si>
  <si>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</si>
  <si>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</si>
  <si>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</si>
  <si>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</si>
  <si>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</si>
  <si>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</si>
  <si>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</si>
  <si>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</si>
  <si>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</si>
  <si>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</si>
  <si>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</si>
  <si>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</si>
  <si>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</si>
  <si>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</si>
  <si>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</si>
  <si>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</si>
  <si>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</si>
  <si>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</si>
  <si>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</si>
  <si>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</si>
  <si>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</si>
  <si>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</si>
  <si>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</si>
  <si>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</si>
  <si>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</si>
  <si>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</si>
  <si>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</si>
  <si>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</si>
  <si>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</si>
  <si>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</si>
  <si>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</si>
  <si>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</si>
  <si>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</si>
  <si>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</si>
  <si>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</si>
  <si>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</si>
  <si>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</si>
  <si>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</si>
  <si>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</si>
  <si>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</si>
  <si>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</si>
  <si>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</si>
  <si>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</si>
  <si>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</si>
  <si>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</si>
  <si>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</si>
  <si>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</si>
  <si>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</si>
  <si>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</si>
  <si>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</si>
  <si>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</si>
  <si>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</si>
  <si>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</si>
  <si>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</si>
  <si>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</si>
  <si>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</si>
  <si>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</si>
  <si>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</si>
  <si>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</si>
  <si>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</si>
  <si>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</si>
  <si>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</si>
  <si>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</si>
  <si>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</si>
  <si>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</si>
  <si>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</si>
  <si>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</si>
  <si>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</si>
  <si>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</si>
  <si>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</si>
  <si>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</si>
  <si>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</si>
  <si>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</si>
  <si>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</si>
  <si>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</si>
  <si>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</si>
  <si>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</si>
  <si>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</si>
  <si>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</si>
  <si>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</si>
  <si>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</si>
  <si>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</si>
  <si>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</si>
  <si>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</si>
  <si>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</si>
  <si>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</si>
  <si>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</si>
  <si>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</si>
  <si>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</si>
  <si>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</si>
  <si>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</si>
  <si>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</si>
  <si>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</si>
  <si>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</si>
  <si>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</si>
  <si>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</si>
  <si>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</si>
  <si>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</si>
  <si>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</si>
  <si>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</si>
  <si>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</si>
  <si>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</si>
  <si>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</si>
  <si>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</si>
  <si>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</si>
  <si>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</si>
  <si>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</si>
  <si>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</si>
  <si>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</si>
  <si>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</si>
  <si>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</si>
  <si>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</si>
  <si>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</si>
  <si>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</si>
  <si>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</si>
  <si>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</si>
  <si>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</si>
  <si>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</si>
  <si>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</si>
  <si>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</si>
  <si>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</si>
  <si>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</si>
  <si>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</si>
  <si>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</si>
  <si>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</si>
  <si>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</si>
  <si>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</si>
  <si>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</si>
  <si>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</si>
  <si>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</si>
  <si>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</si>
  <si>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</si>
  <si>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</si>
  <si>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</si>
  <si>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</si>
  <si>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</si>
  <si>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</si>
  <si>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</si>
  <si>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</si>
  <si>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</si>
  <si>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</si>
  <si>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</si>
  <si>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</si>
  <si>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</si>
  <si>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</si>
  <si>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</si>
  <si>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</si>
  <si>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</si>
  <si>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</si>
  <si>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</si>
  <si>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</si>
  <si>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</si>
  <si>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</si>
  <si>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</si>
  <si>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</si>
  <si>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</si>
  <si>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</si>
  <si>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</si>
  <si>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</si>
  <si>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</si>
  <si>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</si>
  <si>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</si>
  <si>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</si>
  <si>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</si>
  <si>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</si>
  <si>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</si>
  <si>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</si>
  <si>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</si>
  <si>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</si>
  <si>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</si>
  <si>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</si>
  <si>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</si>
  <si>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</si>
  <si>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</si>
  <si>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</si>
  <si>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</si>
  <si>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</si>
  <si>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</si>
  <si>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</si>
  <si>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</si>
  <si>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</si>
  <si>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</si>
  <si>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</si>
  <si>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</si>
  <si>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</si>
  <si>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</si>
  <si>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</si>
  <si>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</si>
  <si>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</si>
  <si>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</si>
  <si>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</si>
  <si>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</si>
  <si>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</si>
  <si>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</si>
  <si>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</si>
  <si>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</si>
  <si>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</si>
  <si>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</si>
  <si>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</si>
  <si>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</si>
  <si>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</si>
  <si>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</si>
  <si>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</si>
  <si>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</si>
  <si>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</si>
  <si>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</si>
  <si>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</si>
  <si>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</si>
  <si>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</si>
  <si>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</si>
  <si>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</si>
  <si>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</si>
  <si>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</si>
  <si>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</si>
  <si>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</si>
  <si>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</si>
  <si>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</si>
  <si>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</si>
  <si>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</si>
  <si>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</si>
  <si>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</si>
  <si>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</si>
  <si>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</si>
  <si>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</si>
  <si>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</si>
  <si>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</si>
  <si>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</si>
  <si>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</si>
  <si>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</si>
  <si>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</si>
  <si>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</si>
  <si>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</si>
  <si>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</si>
  <si>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</si>
  <si>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</si>
  <si>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</si>
  <si>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</si>
  <si>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</si>
  <si>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</si>
  <si>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</si>
  <si>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</si>
  <si>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</si>
  <si>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</si>
  <si>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</si>
  <si>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</si>
  <si>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</si>
  <si>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</si>
  <si>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</si>
  <si>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</si>
  <si>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</si>
  <si>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</si>
  <si>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</si>
  <si>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</si>
  <si>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</si>
  <si>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</si>
  <si>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</si>
  <si>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</si>
  <si>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</si>
  <si>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</si>
  <si>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</si>
  <si>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</si>
  <si>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</si>
  <si>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</si>
  <si>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</si>
  <si>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</si>
  <si>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</si>
  <si>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</si>
  <si>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</si>
  <si>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</si>
  <si>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</si>
  <si>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</si>
  <si>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</si>
  <si>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</si>
  <si>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</si>
  <si>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</si>
  <si>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</si>
  <si>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</si>
  <si>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</si>
  <si>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</si>
  <si>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</si>
  <si>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</si>
  <si>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</si>
  <si>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</si>
  <si>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</si>
  <si>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</si>
  <si>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</si>
  <si>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</si>
  <si>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</si>
  <si>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</si>
  <si>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</si>
  <si>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</si>
  <si>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</si>
  <si>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</si>
  <si>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</si>
  <si>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</si>
  <si>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</si>
  <si>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</si>
  <si>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</si>
  <si>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</si>
  <si>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</si>
  <si>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</si>
  <si>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</si>
  <si>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</si>
  <si>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</si>
  <si>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</si>
  <si>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</si>
  <si>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</si>
  <si>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</si>
  <si>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</si>
  <si>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</si>
  <si>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</si>
  <si>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</si>
  <si>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</si>
  <si>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</si>
  <si>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</si>
  <si>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</si>
  <si>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</si>
  <si>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</si>
  <si>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</si>
  <si>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</si>
  <si>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</si>
  <si>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</si>
  <si>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</si>
  <si>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</si>
  <si>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</si>
  <si>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</si>
  <si>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</si>
  <si>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</si>
  <si>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</si>
  <si>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</si>
  <si>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</si>
  <si>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</si>
  <si>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</si>
  <si>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</si>
  <si>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</si>
  <si>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</si>
  <si>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</si>
  <si>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</si>
  <si>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</si>
  <si>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</si>
  <si>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</si>
  <si>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</si>
  <si>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</si>
  <si>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</si>
  <si>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</si>
  <si>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</si>
  <si>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</si>
  <si>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</si>
  <si>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</si>
  <si>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</si>
  <si>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</si>
  <si>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</si>
  <si>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</si>
  <si>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</si>
  <si>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</si>
  <si>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</si>
  <si>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</si>
  <si>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</si>
  <si>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</si>
  <si>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</si>
  <si>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</si>
  <si>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</si>
  <si>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</si>
  <si>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</si>
  <si>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</si>
  <si>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</si>
  <si>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</si>
  <si>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</si>
  <si>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</si>
  <si>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</si>
  <si>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</si>
  <si>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</si>
  <si>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</si>
  <si>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</si>
  <si>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</si>
  <si>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</si>
  <si>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</si>
  <si>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</si>
  <si>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</si>
  <si>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</si>
  <si>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</si>
  <si>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</si>
  <si>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</si>
  <si>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</si>
  <si>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</si>
  <si>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</si>
  <si>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</si>
  <si>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</si>
  <si>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</si>
  <si>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</si>
  <si>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</si>
  <si>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</si>
  <si>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</si>
  <si>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</si>
  <si>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</si>
  <si>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</si>
  <si>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</si>
  <si>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</si>
  <si>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</si>
  <si>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</si>
  <si>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</si>
  <si>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</si>
  <si>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</si>
  <si>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</si>
  <si>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</si>
  <si>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</si>
  <si>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</si>
  <si>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</si>
  <si>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</si>
  <si>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</si>
  <si>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</si>
  <si>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</si>
  <si>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</si>
  <si>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</si>
  <si>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</si>
  <si>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</si>
  <si>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</si>
  <si>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</si>
  <si>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</si>
  <si>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</si>
  <si>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</si>
  <si>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</si>
  <si>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</si>
  <si>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</si>
  <si>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</si>
  <si>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</si>
  <si>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</si>
  <si>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</si>
  <si>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</si>
  <si>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</si>
  <si>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</si>
  <si>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</si>
  <si>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</si>
  <si>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</si>
  <si>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</si>
  <si>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</si>
  <si>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</si>
  <si>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</si>
  <si>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</si>
  <si>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</si>
  <si>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</si>
  <si>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</si>
  <si>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</si>
  <si>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</si>
  <si>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</si>
  <si>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</si>
  <si>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</si>
  <si>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</si>
  <si>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</si>
  <si>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</si>
  <si>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</si>
  <si>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</si>
  <si>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</si>
  <si>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</si>
  <si>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</si>
  <si>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</si>
  <si>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</si>
  <si>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</si>
  <si>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</si>
  <si>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</si>
  <si>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</si>
  <si>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</si>
  <si>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</si>
  <si>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</si>
  <si>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</si>
  <si>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</si>
  <si>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</si>
  <si>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</si>
  <si>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</si>
  <si>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</si>
  <si>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</si>
  <si>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</si>
  <si>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</si>
  <si>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</si>
  <si>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</si>
  <si>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</si>
  <si>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</si>
  <si>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</si>
  <si>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</si>
  <si>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</si>
  <si>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</si>
  <si>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</si>
  <si>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</si>
  <si>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</si>
  <si>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</si>
  <si>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</si>
  <si>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</si>
  <si>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</si>
  <si>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</si>
  <si>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</si>
  <si>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</si>
  <si>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</si>
  <si>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</si>
  <si>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</si>
  <si>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</si>
  <si>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</si>
  <si>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</si>
  <si>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</si>
  <si>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</si>
  <si>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</si>
  <si>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</si>
  <si>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</si>
  <si>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</si>
  <si>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</si>
  <si>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</si>
  <si>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</si>
  <si>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</si>
  <si>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</si>
  <si>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</si>
  <si>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</si>
  <si>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</si>
  <si>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</si>
  <si>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</si>
  <si>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</si>
  <si>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</si>
  <si>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</si>
  <si>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</si>
  <si>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</si>
  <si>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</si>
  <si>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</si>
  <si>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</si>
  <si>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</si>
  <si>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</si>
  <si>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</si>
  <si>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</si>
  <si>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</si>
  <si>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</si>
  <si>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</si>
  <si>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</si>
  <si>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</si>
  <si>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</si>
  <si>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</si>
  <si>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</si>
  <si>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</si>
  <si>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</si>
  <si>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</si>
  <si>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</si>
  <si>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</si>
  <si>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</si>
  <si>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</si>
  <si>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</si>
  <si>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</si>
  <si>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</si>
  <si>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</si>
  <si>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</si>
  <si>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</si>
  <si>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</si>
  <si>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</si>
  <si>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</si>
  <si>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</si>
  <si>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</si>
  <si>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</si>
  <si>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</si>
  <si>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</si>
  <si>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</si>
  <si>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</si>
  <si>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</si>
  <si>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</si>
  <si>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</si>
  <si>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</si>
  <si>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</si>
  <si>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</si>
  <si>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</si>
  <si>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</si>
  <si>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</si>
  <si>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</si>
  <si>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</si>
  <si>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</si>
  <si>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</si>
  <si>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</si>
  <si>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</si>
  <si>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</si>
  <si>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</si>
  <si>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</si>
  <si>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</si>
  <si>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</si>
  <si>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</si>
  <si>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</si>
  <si>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</si>
  <si>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</si>
  <si>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</si>
  <si>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</si>
  <si>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</si>
  <si>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</si>
  <si>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</si>
  <si>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</si>
  <si>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</si>
  <si>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</si>
  <si>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</si>
  <si>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</si>
  <si>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</si>
  <si>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</si>
  <si>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</si>
  <si>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</si>
  <si>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</si>
  <si>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</si>
  <si>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</si>
  <si>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</si>
  <si>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</si>
  <si>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</si>
  <si>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</si>
  <si>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</si>
  <si>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</si>
  <si>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</si>
  <si>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</si>
  <si>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</si>
  <si>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</si>
  <si>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</si>
  <si>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</si>
  <si>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</si>
  <si>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</si>
  <si>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</si>
  <si>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</si>
  <si>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</si>
  <si>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</si>
  <si>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</si>
  <si>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</si>
  <si>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</si>
  <si>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</si>
  <si>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</si>
  <si>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</si>
  <si>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</si>
  <si>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</si>
  <si>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</si>
  <si>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</si>
  <si>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</si>
  <si>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</si>
  <si>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</si>
  <si>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</si>
  <si>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</si>
  <si>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</si>
  <si>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</si>
  <si>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</si>
  <si>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</si>
  <si>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</si>
  <si>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</si>
  <si>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</si>
  <si>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</si>
  <si>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</si>
  <si>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</si>
  <si>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</si>
  <si>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</si>
  <si>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</si>
  <si>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</si>
  <si>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</si>
  <si>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</si>
  <si>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</si>
  <si>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</si>
  <si>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</si>
  <si>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</si>
  <si>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</si>
  <si>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</si>
  <si>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</si>
  <si>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</si>
  <si>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</si>
  <si>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</si>
  <si>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</si>
  <si>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</si>
  <si>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</si>
  <si>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</si>
  <si>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</si>
  <si>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</si>
  <si>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</si>
  <si>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</si>
  <si>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</si>
  <si>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</si>
  <si>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</si>
  <si>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</si>
  <si>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</si>
  <si>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</si>
  <si>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</si>
  <si>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</si>
  <si>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</si>
  <si>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</si>
  <si>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</si>
  <si>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</si>
  <si>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</si>
  <si>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</si>
  <si>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</si>
  <si>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</si>
  <si>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</si>
  <si>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是</t>
    <phoneticPr fontId="3" type="noConversion"/>
  </si>
  <si>
    <t>是</t>
    <phoneticPr fontId="3" type="noConversion"/>
  </si>
  <si>
    <t>地上</t>
  </si>
  <si>
    <t>是</t>
    <phoneticPr fontId="3" type="noConversion"/>
  </si>
  <si>
    <t>地下</t>
  </si>
  <si>
    <t>商业街</t>
  </si>
  <si>
    <t>底商</t>
  </si>
  <si>
    <t>办公楼</t>
  </si>
  <si>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</si>
  <si>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</si>
  <si>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</si>
  <si>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</si>
  <si>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</si>
  <si>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</si>
  <si>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</si>
  <si>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</si>
  <si>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</si>
  <si>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</si>
  <si>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</si>
  <si>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</si>
  <si>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</si>
  <si>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</si>
  <si>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</si>
  <si>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</si>
  <si>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</si>
  <si>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</si>
  <si>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</si>
  <si>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</si>
  <si>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</si>
  <si>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</si>
  <si>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</si>
  <si>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</si>
  <si>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</si>
  <si>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</si>
  <si>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</si>
  <si>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</si>
  <si>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</si>
  <si>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</si>
  <si>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</si>
  <si>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</si>
  <si>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</si>
  <si>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</si>
  <si>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</si>
  <si>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</si>
  <si>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</si>
  <si>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</si>
  <si>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</si>
  <si>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</si>
  <si>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</si>
  <si>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</si>
  <si>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</si>
  <si>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</si>
  <si>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</si>
  <si>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</si>
  <si>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</si>
  <si>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</si>
  <si>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</si>
  <si>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</si>
  <si>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</si>
  <si>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</si>
  <si>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</si>
  <si>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</si>
  <si>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</si>
  <si>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</si>
  <si>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</si>
  <si>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</si>
  <si>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</si>
  <si>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</si>
  <si>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</si>
  <si>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</si>
  <si>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</si>
  <si>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</si>
  <si>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</si>
  <si>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</si>
  <si>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</si>
  <si>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</si>
  <si>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</si>
  <si>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</si>
  <si>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</si>
  <si>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</si>
  <si>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</si>
  <si>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</si>
  <si>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</si>
  <si>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</si>
  <si>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</si>
  <si>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</si>
  <si>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</si>
  <si>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</si>
  <si>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</si>
  <si>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</si>
  <si>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</si>
  <si>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</si>
  <si>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</si>
  <si>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</si>
  <si>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</si>
  <si>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</si>
  <si>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</si>
  <si>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</si>
  <si>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</si>
  <si>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</si>
  <si>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</si>
  <si>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</si>
  <si>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</si>
  <si>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</si>
  <si>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</si>
  <si>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</si>
  <si>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</si>
  <si>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</si>
  <si>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</si>
  <si>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</si>
  <si>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</si>
  <si>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</si>
  <si>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</si>
  <si>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</si>
  <si>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</si>
  <si>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</si>
  <si>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</si>
  <si>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</si>
  <si>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</si>
  <si>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</si>
  <si>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</si>
  <si>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</si>
  <si>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</si>
  <si>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</si>
  <si>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</si>
  <si>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</si>
  <si>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</si>
  <si>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</si>
  <si>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</si>
  <si>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</si>
  <si>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</si>
  <si>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</si>
  <si>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</si>
  <si>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</si>
  <si>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</si>
  <si>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</si>
  <si>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</si>
  <si>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</si>
  <si>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</si>
  <si>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</si>
  <si>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</si>
  <si>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</si>
  <si>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</si>
  <si>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</si>
  <si>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</si>
  <si>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</si>
  <si>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</si>
  <si>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</si>
  <si>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</si>
  <si>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</si>
  <si>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</si>
  <si>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</si>
  <si>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</si>
  <si>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</si>
  <si>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</si>
  <si>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</si>
  <si>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</si>
  <si>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</si>
  <si>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</si>
  <si>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</si>
  <si>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</si>
  <si>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</si>
  <si>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</si>
  <si>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</si>
  <si>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</si>
  <si>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</si>
  <si>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</si>
  <si>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</si>
  <si>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</si>
  <si>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</si>
  <si>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</si>
  <si>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</si>
  <si>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</si>
  <si>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</si>
  <si>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</si>
  <si>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</si>
  <si>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</si>
  <si>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</si>
  <si>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</si>
  <si>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</si>
  <si>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</si>
  <si>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</si>
  <si>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</si>
  <si>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</si>
  <si>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</si>
  <si>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</si>
  <si>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</si>
  <si>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</si>
  <si>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</si>
  <si>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</si>
  <si>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</si>
  <si>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</si>
  <si>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</si>
  <si>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</si>
  <si>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</si>
  <si>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</si>
  <si>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</si>
  <si>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</si>
  <si>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</si>
  <si>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</si>
  <si>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</si>
  <si>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</si>
  <si>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</si>
  <si>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</si>
  <si>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</si>
  <si>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</si>
  <si>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</si>
  <si>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</si>
  <si>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</si>
  <si>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</si>
  <si>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</si>
  <si>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</si>
  <si>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</si>
  <si>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</si>
  <si>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</si>
  <si>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</si>
  <si>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</si>
  <si>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</si>
  <si>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</si>
  <si>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</si>
  <si>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</si>
  <si>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</si>
  <si>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</si>
  <si>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</si>
  <si>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</si>
  <si>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</si>
  <si>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</si>
  <si>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</si>
  <si>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</si>
  <si>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</si>
  <si>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</si>
  <si>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</si>
  <si>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</si>
  <si>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</si>
  <si>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</si>
  <si>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</si>
  <si>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</si>
  <si>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</si>
  <si>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</si>
  <si>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</si>
  <si>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</si>
  <si>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</si>
  <si>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</si>
  <si>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</si>
  <si>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</si>
  <si>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</si>
  <si>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</si>
  <si>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</si>
  <si>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</si>
  <si>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</si>
  <si>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</si>
  <si>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</si>
  <si>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</si>
  <si>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</si>
  <si>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</si>
  <si>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</si>
  <si>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</si>
  <si>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</si>
  <si>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</si>
  <si>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</si>
  <si>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</si>
  <si>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</si>
  <si>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</si>
  <si>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</si>
  <si>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</si>
  <si>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</si>
  <si>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</si>
  <si>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</si>
  <si>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</si>
  <si>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</si>
  <si>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</si>
  <si>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</si>
  <si>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</si>
  <si>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</si>
  <si>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</si>
  <si>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</si>
  <si>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</si>
  <si>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</si>
  <si>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</si>
  <si>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</si>
  <si>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土地面积</t>
    <phoneticPr fontId="233" type="noConversion"/>
  </si>
  <si>
    <t>总规建</t>
    <phoneticPr fontId="233" type="noConversion"/>
  </si>
  <si>
    <t>现规建</t>
    <phoneticPr fontId="233" type="noConversion"/>
  </si>
  <si>
    <t>分摊土地面积</t>
    <phoneticPr fontId="233" type="noConversion"/>
  </si>
  <si>
    <t>1号楼</t>
    <phoneticPr fontId="3" type="noConversion"/>
  </si>
  <si>
    <t>2号楼</t>
  </si>
  <si>
    <t>3号楼</t>
  </si>
  <si>
    <t>4号楼</t>
  </si>
  <si>
    <t>5号楼</t>
  </si>
  <si>
    <t>6号楼</t>
  </si>
  <si>
    <t>7号楼</t>
  </si>
  <si>
    <t>地下商业</t>
    <phoneticPr fontId="3" type="noConversion"/>
  </si>
  <si>
    <t>地下车库</t>
    <phoneticPr fontId="3" type="noConversion"/>
  </si>
  <si>
    <t>地下设备</t>
    <phoneticPr fontId="3" type="noConversion"/>
  </si>
  <si>
    <t>卸货场</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</si>
</sst>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0" fillId="0" borderId="0" xfId="0" applyFill="1">
      <alignment vertical="center"/>
    </xf>
    <xf numFmtId="0" fontId="287" fillId="7" borderId="0" xfId="0" applyFont="1" applyFill="1">
      <alignment vertical="center"/>
    </xf>
    <xf numFmtId="0" fontId="0" fillId="7"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80;&#38177;&#23453;&#33021;&#2247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办公"/>
      <sheetName val="不动产比较法-商业"/>
      <sheetName val="典型户型修正"/>
      <sheetName val="典型户型修正-地下商业"/>
      <sheetName val="不动产收益法"/>
      <sheetName val="不动产收益法-商业"/>
      <sheetName val="不动产收益法-办公"/>
      <sheetName val="不动产比较法-工业"/>
      <sheetName val="不动产比较法-车位"/>
      <sheetName val="不动产比较法-仓储"/>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11697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#DIV/0!</v>
      </c>
      <c r="C2" s="3180" t="s">
        <v>2979</v>
      </c>
      <c r="D2" s="3181" t="e">
        <f ca="1">C40+J29+L46</f>
        <v>#DIV/0!</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114216165</v>
      </c>
      <c r="D5" s="3200" t="s">
        <v>2994</v>
      </c>
      <c r="E5" s="3201"/>
      <c r="F5" s="3202"/>
      <c r="G5" s="3196"/>
      <c r="H5" s="3197">
        <v>1</v>
      </c>
      <c r="I5" s="3198" t="s">
        <v>2993</v>
      </c>
      <c r="J5" s="3199">
        <f ca="1">J6+J10+J12</f>
        <v>0</v>
      </c>
      <c r="K5" s="3200" t="s">
        <v>2994</v>
      </c>
      <c r="L5" s="3201"/>
      <c r="M5" s="3202"/>
    </row>
    <row r="6" spans="1:37" ht="18" customHeight="1">
      <c r="A6" s="3203" t="s">
        <v>2995</v>
      </c>
      <c r="B6" s="3557" t="s">
        <v>2996</v>
      </c>
      <c r="C6" s="3204">
        <f ca="1">ROUND(F6*F8*F7*(1-F9),0)</f>
        <v>114216165</v>
      </c>
      <c r="D6" s="3205" t="s">
        <v>2997</v>
      </c>
      <c r="E6" s="3206" t="s">
        <v>2998</v>
      </c>
      <c r="F6" s="3207">
        <f ca="1">INDIRECT("'数据-取费表'!u"&amp;$G$1)</f>
        <v>3.5</v>
      </c>
      <c r="G6" s="3196"/>
      <c r="H6" s="3203" t="s">
        <v>2995</v>
      </c>
      <c r="I6" s="3557" t="s">
        <v>2996</v>
      </c>
      <c r="J6" s="3208">
        <f ca="1">ROUND(M6*M8*M7*(1-M9),0)</f>
        <v>0</v>
      </c>
      <c r="K6" s="3209" t="s">
        <v>2999</v>
      </c>
      <c r="L6" s="3206" t="s">
        <v>2998</v>
      </c>
      <c r="M6" s="3207">
        <f ca="1">INDIRECT("'数据-取费表'!z"&amp;$G$1)</f>
        <v>0</v>
      </c>
    </row>
    <row r="7" spans="1:37" ht="18" customHeight="1">
      <c r="A7" s="3210"/>
      <c r="B7" s="3558"/>
      <c r="C7" s="3211"/>
      <c r="D7" s="3212"/>
      <c r="E7" s="3213" t="s">
        <v>3000</v>
      </c>
      <c r="F7" s="3207">
        <f ca="1">IF(INDIRECT("'数据-取费表'!ah"&amp;$G$1)="",INDIRECT("'数据-取费表'!k"&amp;$G$1),INDIRECT("'数据-取费表'!ah"&amp;$G$1))</f>
        <v>99340</v>
      </c>
      <c r="G7" s="3196"/>
      <c r="H7" s="3214"/>
      <c r="I7" s="3558"/>
      <c r="J7" s="3215"/>
      <c r="K7" s="3212"/>
      <c r="L7" s="3206" t="s">
        <v>3000</v>
      </c>
      <c r="M7" s="3207">
        <f ca="1">F7</f>
        <v>99340</v>
      </c>
    </row>
    <row r="8" spans="1:37" ht="18" customHeight="1">
      <c r="A8" s="3214"/>
      <c r="B8" s="3558"/>
      <c r="C8" s="3215"/>
      <c r="D8" s="3212"/>
      <c r="E8" s="3206" t="s">
        <v>3001</v>
      </c>
      <c r="F8" s="3207">
        <f ca="1">INDIRECT("'数据-取费表'!ai"&amp;$G$1)</f>
        <v>365</v>
      </c>
      <c r="G8" s="3196"/>
      <c r="H8" s="3214"/>
      <c r="I8" s="3558"/>
      <c r="J8" s="3215"/>
      <c r="K8" s="3212"/>
      <c r="L8" s="3206" t="s">
        <v>3001</v>
      </c>
      <c r="M8" s="3207">
        <f ca="1">INDIRECT("'数据-取费表'!ai"&amp;$G$1)</f>
        <v>365</v>
      </c>
    </row>
    <row r="9" spans="1:37" ht="18" customHeight="1">
      <c r="A9" s="3214"/>
      <c r="B9" s="3559"/>
      <c r="C9" s="3215"/>
      <c r="D9" s="3212"/>
      <c r="E9" s="3206" t="s">
        <v>3002</v>
      </c>
      <c r="F9" s="3216">
        <f ca="1">INDIRECT("'数据-取费表'!w"&amp;$G$1)</f>
        <v>0.1</v>
      </c>
      <c r="G9" s="3196"/>
      <c r="H9" s="3214"/>
      <c r="I9" s="3559"/>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372525000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298020000</v>
      </c>
      <c r="D14" s="3249" t="s">
        <v>3018</v>
      </c>
      <c r="E14" s="3250"/>
      <c r="F14" s="3251"/>
      <c r="G14" s="3196"/>
      <c r="H14" s="3247" t="s">
        <v>3019</v>
      </c>
      <c r="I14" s="3206" t="s">
        <v>3020</v>
      </c>
      <c r="J14" s="3252">
        <f ca="1">C29</f>
        <v>372525000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8717085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3129210</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298020000</v>
      </c>
      <c r="D19" s="3270" t="s">
        <v>3044</v>
      </c>
      <c r="E19" s="3271"/>
      <c r="F19" s="3267"/>
      <c r="G19" s="3196"/>
      <c r="H19" s="3247" t="s">
        <v>3021</v>
      </c>
      <c r="I19" s="3206" t="s">
        <v>3045</v>
      </c>
      <c r="J19" s="3252">
        <f ca="1">IF(K19="按租金收入计税",ROUND(J5*M19,0),ROUND(C29*M19*0.7,0))</f>
        <v>3129210</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14458.94</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5587875</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-8717085</v>
      </c>
      <c r="K25" s="3288" t="s">
        <v>3074</v>
      </c>
      <c r="L25" s="3289"/>
      <c r="M25" s="3290"/>
    </row>
    <row r="26" spans="1:37" ht="18" customHeight="1">
      <c r="A26" s="3247" t="s">
        <v>3016</v>
      </c>
      <c r="B26" s="3206" t="s">
        <v>3075</v>
      </c>
      <c r="C26" s="3252">
        <f ca="1">ROUND((C19+C20)*F26,0)</f>
        <v>74505000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372525000</v>
      </c>
      <c r="D29" s="3286"/>
      <c r="E29" s="3234"/>
      <c r="F29" s="3295"/>
      <c r="G29" s="3258"/>
      <c r="H29" s="3296" t="s">
        <v>3092</v>
      </c>
      <c r="I29" s="3297" t="s">
        <v>3093</v>
      </c>
      <c r="J29" s="3298">
        <f ca="1">ROUND(J26/(1+F40)^F41,0)</f>
        <v>0</v>
      </c>
      <c r="K29" s="3299" t="s">
        <v>3094</v>
      </c>
      <c r="L29" s="3300"/>
      <c r="M29" s="3301">
        <f ca="1">INDIRECT("'数据-取费表'!k"&amp;$G$1)</f>
        <v>99340</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11560196</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3129210</v>
      </c>
      <c r="D31" s="3249" t="s">
        <v>3037</v>
      </c>
      <c r="E31" s="3268" t="s">
        <v>3038</v>
      </c>
      <c r="F31" s="3269">
        <f ca="1">IF([1]项目基本情况!B11="企业","",IF(INDIRECT("'数据-取费表'!c"&amp;$G$1)="住宅",5%,IF(F6*F7*F8/12/(1+'[1]数据-取费表'!C42)&gt;20000,12%,7%)))</f>
        <v>0.12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3129210</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14458.94</v>
      </c>
      <c r="G35" s="3196"/>
      <c r="H35" s="3302"/>
      <c r="I35" s="3308"/>
      <c r="J35" s="3309"/>
      <c r="K35" s="3310"/>
      <c r="L35" s="3307"/>
      <c r="M35" s="3307"/>
    </row>
    <row r="36" spans="1:18" ht="18" customHeight="1">
      <c r="A36" s="3315" t="s">
        <v>3003</v>
      </c>
      <c r="B36" s="3206" t="s">
        <v>3059</v>
      </c>
      <c r="C36" s="3252">
        <f ca="1">ROUND(C29*F36,0)</f>
        <v>5587875</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558788</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2284323.2999999998</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102655969</v>
      </c>
      <c r="D39" s="3288" t="s">
        <v>3074</v>
      </c>
      <c r="E39" s="3289"/>
      <c r="F39" s="3290"/>
      <c r="G39" s="3196"/>
      <c r="H39" s="3307"/>
      <c r="I39" s="3308"/>
      <c r="J39" s="3309"/>
      <c r="K39" s="3317"/>
      <c r="L39" s="3307"/>
      <c r="M39" s="3307"/>
    </row>
    <row r="40" spans="1:18" ht="18" customHeight="1">
      <c r="A40" s="3197" t="s">
        <v>3078</v>
      </c>
      <c r="B40" s="3198" t="s">
        <v>3099</v>
      </c>
      <c r="C40" s="3208">
        <f ca="1">ROUND(C39*(1-((1+F42)/(1+F40))^F41)/(F40-F42),0)</f>
        <v>2218288334</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f ca="1">IF(INDIRECT("'数据-取费表'!af"&amp;$G$1)=0,INDIRECT("'数据-取费表'!ae"&amp;$G$1),INDIRECT("'数据-取费表'!af"&amp;$G$1))</f>
        <v>32.4</v>
      </c>
      <c r="G41" s="3196"/>
      <c r="H41" s="3319"/>
      <c r="I41" s="3308"/>
      <c r="J41" s="3309"/>
      <c r="K41" s="3316"/>
      <c r="L41" s="3319"/>
      <c r="M41" s="3319"/>
    </row>
    <row r="42" spans="1:18" ht="18" customHeight="1">
      <c r="A42" s="3224"/>
      <c r="B42" s="3294"/>
      <c r="C42" s="3240"/>
      <c r="D42" s="3280"/>
      <c r="E42" s="3206" t="s">
        <v>3089</v>
      </c>
      <c r="F42" s="3216">
        <f ca="1">INDIRECT("'数据-取费表'!v"&amp;$G$1)</f>
        <v>0.03</v>
      </c>
      <c r="G42" s="3196"/>
      <c r="H42" s="3319"/>
      <c r="I42" s="3308"/>
      <c r="J42" s="3309"/>
      <c r="K42" s="3316"/>
      <c r="L42" s="3319"/>
      <c r="M42" s="3319"/>
    </row>
    <row r="43" spans="1:18" ht="18" customHeight="1" thickBot="1">
      <c r="A43" s="3296" t="s">
        <v>3092</v>
      </c>
      <c r="B43" s="3297" t="s">
        <v>3100</v>
      </c>
      <c r="C43" s="3298">
        <f ca="1">ROUND(C40/F43,0)</f>
        <v>22330</v>
      </c>
      <c r="D43" s="3299" t="s">
        <v>3101</v>
      </c>
      <c r="E43" s="3300" t="s">
        <v>3102</v>
      </c>
      <c r="F43" s="3301">
        <f ca="1">INDIRECT("'数据-取费表'!k"&amp;$G$1)</f>
        <v>99340</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f ca="1">C68-C40</f>
        <v>-2418730267</v>
      </c>
      <c r="D45" s="3324" t="s">
        <v>3103</v>
      </c>
      <c r="E45" s="3320"/>
      <c r="F45" s="3320"/>
      <c r="O45" s="3325" t="s">
        <v>3104</v>
      </c>
      <c r="P45" s="3318"/>
      <c r="Q45" s="3318"/>
      <c r="R45" s="3318"/>
    </row>
    <row r="46" spans="1:18" s="3187" customFormat="1" ht="13.5" thickBot="1">
      <c r="A46" s="3326" t="s">
        <v>3105</v>
      </c>
      <c r="C46" s="3327">
        <f ca="1">ROUND(C45/10000,0)</f>
        <v>-241873</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f ca="1">C40+J29</f>
        <v>2218288334</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35.9</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372525000</v>
      </c>
      <c r="R49" s="3348" t="s">
        <v>3114</v>
      </c>
    </row>
    <row r="50" spans="1:18" s="3187" customFormat="1" ht="13.5" thickBot="1">
      <c r="A50" s="3369"/>
      <c r="B50" s="3370"/>
      <c r="C50" s="3371"/>
      <c r="D50" s="3372"/>
      <c r="E50" s="3373" t="s">
        <v>3000</v>
      </c>
      <c r="F50" s="3374">
        <f ca="1">F7</f>
        <v>99340</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1173484259</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60" t="s">
        <v>3140</v>
      </c>
      <c r="L53" s="3561"/>
      <c r="O53" s="3346" t="s">
        <v>2393</v>
      </c>
      <c r="P53" s="3347" t="s">
        <v>3141</v>
      </c>
      <c r="Q53" s="3348">
        <f ca="1">Q47+Q48</f>
        <v>2218288334</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372525000</v>
      </c>
      <c r="D56" s="3403"/>
      <c r="E56" s="3404"/>
      <c r="F56" s="3393"/>
      <c r="I56" s="3405" t="s">
        <v>3145</v>
      </c>
      <c r="J56" s="3406"/>
      <c r="K56" s="3355" t="s">
        <v>3146</v>
      </c>
      <c r="L56" s="3358">
        <f ca="1">IF(L48&lt;J51,"——",L48-J51)</f>
        <v>35.9</v>
      </c>
      <c r="O56" s="3346" t="s">
        <v>2381</v>
      </c>
      <c r="P56" s="3347" t="s">
        <v>3113</v>
      </c>
      <c r="Q56" s="3348">
        <f ca="1">C40+J29</f>
        <v>2218288334</v>
      </c>
      <c r="R56" s="3348" t="s">
        <v>3114</v>
      </c>
    </row>
    <row r="57" spans="1:18" s="3187" customFormat="1" ht="24.75" thickBot="1">
      <c r="A57" s="3407"/>
      <c r="B57" s="3408" t="s">
        <v>3091</v>
      </c>
      <c r="C57" s="3409">
        <f ca="1">C29</f>
        <v>372525000</v>
      </c>
      <c r="D57" s="3410"/>
      <c r="E57" s="3411"/>
      <c r="F57" s="3412"/>
      <c r="I57" s="3413" t="s">
        <v>3147</v>
      </c>
      <c r="J57" s="3414" t="str">
        <f ca="1">IF(OR(M47="住宅",J51&lt;L48,J56="是"),"——",J51-L48)</f>
        <v>——</v>
      </c>
      <c r="K57" s="3355" t="s">
        <v>3148</v>
      </c>
      <c r="L57" s="3358">
        <f ca="1">IF(L48&lt;J51,"——",IF(L55="比较法",L49,IF(L55="基准地价",L50,L51)))</f>
        <v>1173484259</v>
      </c>
      <c r="O57" s="3346" t="s">
        <v>2383</v>
      </c>
      <c r="P57" s="3347" t="s">
        <v>3149</v>
      </c>
      <c r="Q57" s="3348" t="e">
        <f ca="1">L60</f>
        <v>#DIV/0!</v>
      </c>
      <c r="R57" s="3348" t="s">
        <v>3150</v>
      </c>
    </row>
    <row r="58" spans="1:18" s="3187" customFormat="1" ht="24.75" thickBot="1">
      <c r="A58" s="3415" t="s">
        <v>3095</v>
      </c>
      <c r="B58" s="3401" t="s">
        <v>3030</v>
      </c>
      <c r="C58" s="3220">
        <f ca="1">ROUND(C59+C64+C65+C66,0)</f>
        <v>9275873</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3129210</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3129210</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#DIV/0!</v>
      </c>
      <c r="R62" s="3348" t="s">
        <v>2394</v>
      </c>
    </row>
    <row r="63" spans="1:18" s="3187" customFormat="1" ht="13.5" thickBot="1">
      <c r="A63" s="3277"/>
      <c r="B63" s="3430"/>
      <c r="C63" s="3279"/>
      <c r="D63" s="3431"/>
      <c r="E63" s="3408" t="s">
        <v>3056</v>
      </c>
      <c r="F63" s="3207">
        <f t="shared" ca="1" si="0"/>
        <v>14458.94</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5587875</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558788</v>
      </c>
      <c r="D65" s="3420" t="s">
        <v>3064</v>
      </c>
      <c r="E65" s="3408" t="s">
        <v>3024</v>
      </c>
      <c r="F65" s="3283">
        <f t="shared" ca="1" si="0"/>
        <v>1.5E-3</v>
      </c>
      <c r="I65" s="3427" t="s">
        <v>3172</v>
      </c>
      <c r="J65" s="3428">
        <v>40</v>
      </c>
      <c r="K65" s="3428">
        <v>30</v>
      </c>
      <c r="L65" s="3428">
        <v>50</v>
      </c>
      <c r="M65" s="3432">
        <v>0.02</v>
      </c>
      <c r="O65" s="3346" t="s">
        <v>2381</v>
      </c>
      <c r="P65" s="3347" t="s">
        <v>3113</v>
      </c>
      <c r="Q65" s="3348">
        <f ca="1">C40+J29</f>
        <v>2218288334</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-9275873</v>
      </c>
      <c r="D67" s="3419" t="s">
        <v>3074</v>
      </c>
      <c r="E67" s="3434"/>
      <c r="F67" s="3435"/>
      <c r="O67" s="3368" t="s">
        <v>2385</v>
      </c>
      <c r="P67" s="3347" t="s">
        <v>3153</v>
      </c>
      <c r="Q67" s="3436">
        <f ca="1">L51</f>
        <v>1173484259</v>
      </c>
      <c r="R67" s="3348" t="s">
        <v>3175</v>
      </c>
    </row>
    <row r="68" spans="1:18" s="3187" customFormat="1" ht="16.5" thickBot="1">
      <c r="A68" s="3437" t="s">
        <v>3078</v>
      </c>
      <c r="B68" s="3438" t="s">
        <v>3099</v>
      </c>
      <c r="C68" s="3208">
        <f ca="1">ROUND(C67*(1-((1+F70)/(1+F68))^F69)/(F68-F70),0)</f>
        <v>-200441933</v>
      </c>
      <c r="D68" s="3426" t="s">
        <v>3080</v>
      </c>
      <c r="E68" s="3408" t="s">
        <v>3081</v>
      </c>
      <c r="F68" s="3216">
        <f ca="1">F40</f>
        <v>5.5E-2</v>
      </c>
      <c r="O68" s="3368" t="s">
        <v>2386</v>
      </c>
      <c r="P68" s="3439" t="s">
        <v>3176</v>
      </c>
      <c r="Q68" s="3348">
        <f ca="1">ROUND(Q69-Q70*Q71,0)</f>
        <v>70991344</v>
      </c>
      <c r="R68" s="3348" t="s">
        <v>3177</v>
      </c>
    </row>
    <row r="69" spans="1:18" s="3187" customFormat="1" ht="13.5" thickBot="1">
      <c r="A69" s="3440"/>
      <c r="B69" s="3441"/>
      <c r="C69" s="3215"/>
      <c r="D69" s="3442" t="s">
        <v>3084</v>
      </c>
      <c r="E69" s="3408" t="s">
        <v>3085</v>
      </c>
      <c r="F69" s="3293">
        <f ca="1">F41</f>
        <v>32.4</v>
      </c>
      <c r="O69" s="3368" t="s">
        <v>2401</v>
      </c>
      <c r="P69" s="3439" t="s">
        <v>3178</v>
      </c>
      <c r="Q69" s="3348">
        <f ca="1">C39</f>
        <v>102655969</v>
      </c>
      <c r="R69" s="3348" t="s">
        <v>3114</v>
      </c>
    </row>
    <row r="70" spans="1:18" s="3187" customFormat="1" ht="13.5" thickBot="1">
      <c r="A70" s="3443"/>
      <c r="B70" s="3444"/>
      <c r="C70" s="3240"/>
      <c r="D70" s="3431"/>
      <c r="E70" s="3408" t="s">
        <v>3089</v>
      </c>
      <c r="F70" s="3385">
        <f ca="1">F42</f>
        <v>0.03</v>
      </c>
      <c r="O70" s="3368" t="s">
        <v>2403</v>
      </c>
      <c r="P70" s="3439" t="s">
        <v>3179</v>
      </c>
      <c r="Q70" s="3348">
        <f ca="1">C13</f>
        <v>372525000</v>
      </c>
      <c r="R70" s="3348" t="s">
        <v>3114</v>
      </c>
    </row>
    <row r="71" spans="1:18" s="3187" customFormat="1" ht="13.5" thickBot="1">
      <c r="A71" s="3445" t="s">
        <v>3092</v>
      </c>
      <c r="B71" s="3446" t="s">
        <v>3100</v>
      </c>
      <c r="C71" s="3298">
        <f ca="1">ROUND(C68/F71,0)</f>
        <v>-2018</v>
      </c>
      <c r="D71" s="3447" t="s">
        <v>3101</v>
      </c>
      <c r="E71" s="3448" t="s">
        <v>3102</v>
      </c>
      <c r="F71" s="3301">
        <f ca="1">F43</f>
        <v>99340</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31664625</v>
      </c>
      <c r="D75" s="3187"/>
      <c r="E75" s="3187"/>
      <c r="F75" s="3187"/>
      <c r="K75" s="3322"/>
      <c r="L75" s="3187"/>
      <c r="O75" s="3346" t="s">
        <v>2393</v>
      </c>
      <c r="P75" s="3347" t="s">
        <v>3141</v>
      </c>
      <c r="Q75" s="3348" t="e">
        <f ca="1">Q65+Q66</f>
        <v>#DIV/0!</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0.69199999999999995</v>
      </c>
    </row>
    <row r="80" spans="1:18">
      <c r="B80" s="3453" t="s">
        <v>3188</v>
      </c>
      <c r="C80" s="3461">
        <f ca="1">ROUND(C75/C39,3)</f>
        <v>0.308</v>
      </c>
    </row>
    <row r="81" spans="2:3">
      <c r="B81" s="3459" t="s">
        <v>3189</v>
      </c>
      <c r="C81" s="3409"/>
    </row>
    <row r="82" spans="2:3">
      <c r="B82" s="3451" t="s">
        <v>3190</v>
      </c>
      <c r="C82" s="3462">
        <f ca="1">1-C83</f>
        <v>0.83199999999999996</v>
      </c>
    </row>
    <row r="83" spans="2:3">
      <c r="B83" s="3451" t="s">
        <v>3191</v>
      </c>
      <c r="C83" s="3461">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0" sqref="Y30"/>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6" t="s">
        <v>3312</v>
      </c>
      <c r="C15" s="1546"/>
    </row>
    <row r="16" spans="1:23">
      <c r="A16" s="8" t="s">
        <v>117</v>
      </c>
      <c r="B16" s="3486" t="s">
        <v>3313</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3129" t="s">
        <v>3489</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89"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89"/>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89"/>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89"/>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89"/>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5" t="str">
        <f>IF(B10="北京市","北京市",C10)&amp;F10&amp;B16&amp;"国有建设用地使用权"&amp;B9&amp;"预评估"</f>
        <v>出让国有建设用地使用权抵押价格预评估</v>
      </c>
      <c r="C1" s="3606"/>
      <c r="D1" s="3606"/>
      <c r="E1" s="3606"/>
      <c r="F1" s="3606"/>
      <c r="G1" s="3606"/>
      <c r="H1" s="3606"/>
      <c r="I1" s="3607"/>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3405</v>
      </c>
      <c r="C4" s="1837">
        <f ca="1">SUMIF(土地估价师,B4,估价师及机构信息!E3:E24)</f>
        <v>2002110125</v>
      </c>
      <c r="D4" s="1834" t="s">
        <v>3406</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1"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2"/>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3468</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08"/>
      <c r="C12" s="3609"/>
      <c r="D12" s="3610"/>
      <c r="E12" s="1690" t="s">
        <v>2062</v>
      </c>
      <c r="F12" s="3626" t="s">
        <v>2893</v>
      </c>
      <c r="G12" s="3627"/>
      <c r="H12" s="3627"/>
      <c r="I12" s="3628"/>
      <c r="J12" s="1685"/>
      <c r="K12" s="1765"/>
      <c r="L12" s="1714"/>
      <c r="M12" s="1714"/>
      <c r="N12" s="1685"/>
      <c r="O12" s="1686"/>
      <c r="P12" s="1685"/>
      <c r="Q12" s="1685"/>
      <c r="R12" s="1685"/>
      <c r="S12" s="1685"/>
      <c r="T12" s="1685"/>
      <c r="U12" s="1685"/>
    </row>
    <row r="13" spans="1:21">
      <c r="A13" s="1678" t="s">
        <v>2060</v>
      </c>
      <c r="B13" s="3608"/>
      <c r="C13" s="3609"/>
      <c r="D13" s="3610"/>
      <c r="E13" s="1690" t="s">
        <v>2062</v>
      </c>
      <c r="F13" s="3626" t="s">
        <v>2894</v>
      </c>
      <c r="G13" s="3627"/>
      <c r="H13" s="3627"/>
      <c r="I13" s="3628"/>
      <c r="J13" s="1685"/>
      <c r="K13" s="1765"/>
      <c r="L13" s="1714"/>
      <c r="M13" s="1714"/>
      <c r="N13" s="1685"/>
      <c r="O13" s="1686"/>
      <c r="P13" s="1685"/>
      <c r="Q13" s="1685"/>
      <c r="R13" s="1685"/>
      <c r="S13" s="1685"/>
      <c r="T13" s="1685"/>
      <c r="U13" s="1685"/>
    </row>
    <row r="14" spans="1:21">
      <c r="A14" s="1652" t="s">
        <v>2063</v>
      </c>
      <c r="B14" s="1690"/>
      <c r="C14" s="1836" t="s">
        <v>3211</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3212</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3"/>
      <c r="E20" s="3624"/>
      <c r="F20" s="3624"/>
      <c r="G20" s="3624"/>
      <c r="H20" s="3624"/>
      <c r="I20" s="3625"/>
      <c r="J20" s="1685"/>
      <c r="K20" s="1765"/>
      <c r="L20" s="1714"/>
      <c r="M20" s="1714"/>
      <c r="N20" s="1685"/>
      <c r="O20" s="1686"/>
      <c r="P20" s="1685"/>
      <c r="Q20" s="1685"/>
      <c r="R20" s="1685"/>
      <c r="S20" s="1685"/>
      <c r="T20" s="1685"/>
      <c r="U20" s="1685"/>
    </row>
    <row r="21" spans="1:21">
      <c r="A21" s="1754" t="s">
        <v>1959</v>
      </c>
      <c r="B21" s="1755" t="s">
        <v>1960</v>
      </c>
      <c r="C21" s="1750">
        <f>'数据-汇总表'!E3</f>
        <v>509385</v>
      </c>
      <c r="D21" s="1751" t="s">
        <v>1961</v>
      </c>
      <c r="E21" s="3613" t="s">
        <v>1999</v>
      </c>
      <c r="F21" s="3614"/>
      <c r="G21" s="3614"/>
      <c r="H21" s="3614"/>
      <c r="I21" s="3615"/>
      <c r="J21" s="1685"/>
      <c r="K21" s="1765"/>
      <c r="L21" s="1714"/>
      <c r="M21" s="1714"/>
      <c r="N21" s="1685"/>
      <c r="O21" s="1686"/>
      <c r="P21" s="1685"/>
      <c r="Q21" s="1685"/>
      <c r="R21" s="1685"/>
      <c r="S21" s="1685"/>
      <c r="T21" s="1685"/>
      <c r="U21" s="1685"/>
    </row>
    <row r="22" spans="1:21">
      <c r="A22" s="2654" t="s">
        <v>952</v>
      </c>
      <c r="B22" s="1652" t="s">
        <v>1962</v>
      </c>
      <c r="C22" s="1677">
        <f>'数据-汇总表'!D3</f>
        <v>69347.5</v>
      </c>
      <c r="D22" s="1678" t="s">
        <v>1961</v>
      </c>
      <c r="E22" s="3613" t="s">
        <v>2895</v>
      </c>
      <c r="F22" s="3614"/>
      <c r="G22" s="3614"/>
      <c r="H22" s="3614"/>
      <c r="I22" s="3615"/>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6" t="s">
        <v>1967</v>
      </c>
      <c r="C24" s="3617"/>
      <c r="D24" s="3618" t="s">
        <v>1968</v>
      </c>
      <c r="E24" s="3619"/>
      <c r="F24" s="1699" t="s">
        <v>1969</v>
      </c>
      <c r="G24" s="1685"/>
      <c r="H24" s="1685"/>
      <c r="I24" s="1698"/>
      <c r="J24" s="1685"/>
      <c r="K24" s="3604"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590" t="s">
        <v>2002</v>
      </c>
      <c r="B31" s="1755" t="s">
        <v>2003</v>
      </c>
      <c r="C31" s="3629"/>
      <c r="D31" s="3630"/>
      <c r="E31" s="1685"/>
      <c r="F31" s="1685"/>
      <c r="G31" s="1685"/>
      <c r="H31" s="1685"/>
      <c r="I31" s="1698"/>
      <c r="J31" s="1685"/>
      <c r="K31" s="2474"/>
      <c r="L31" s="1685"/>
      <c r="M31" s="1685"/>
      <c r="N31" s="1685"/>
      <c r="O31" s="1685"/>
      <c r="P31" s="1685"/>
      <c r="Q31" s="1685"/>
      <c r="R31" s="1685"/>
      <c r="S31" s="1685"/>
      <c r="T31" s="1685"/>
      <c r="U31" s="1685"/>
    </row>
    <row r="32" spans="1:21">
      <c r="A32" s="3590"/>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590"/>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591"/>
      <c r="B34" s="1652" t="s">
        <v>2006</v>
      </c>
      <c r="C34" s="3592"/>
      <c r="D34" s="3593"/>
      <c r="E34" s="1685"/>
      <c r="F34" s="1685"/>
      <c r="G34" s="1685"/>
      <c r="H34" s="1685"/>
      <c r="I34" s="1698"/>
      <c r="J34" s="1685"/>
      <c r="K34" s="2474"/>
      <c r="L34" s="1685"/>
      <c r="M34" s="1685"/>
      <c r="N34" s="1685"/>
      <c r="O34" s="1685"/>
      <c r="P34" s="1685"/>
      <c r="Q34" s="1685"/>
      <c r="R34" s="1685"/>
      <c r="S34" s="1685"/>
      <c r="T34" s="1685"/>
      <c r="U34" s="1685"/>
    </row>
    <row r="35" spans="1:21">
      <c r="A35" s="3594" t="s">
        <v>847</v>
      </c>
      <c r="B35" s="1713"/>
      <c r="C35" s="1767" t="str">
        <f>IF(B35="场地平整","——","具体情况：")</f>
        <v>具体情况：</v>
      </c>
      <c r="D35" s="3596"/>
      <c r="E35" s="3597"/>
      <c r="F35" s="3597"/>
      <c r="G35" s="3597"/>
      <c r="H35" s="3597"/>
      <c r="I35" s="3598"/>
      <c r="J35" s="1685"/>
      <c r="K35" s="1766"/>
      <c r="L35" s="1714"/>
      <c r="M35" s="1714"/>
      <c r="N35" s="1685"/>
      <c r="O35" s="1686"/>
      <c r="P35" s="1685"/>
      <c r="Q35" s="1685"/>
      <c r="R35" s="1685"/>
      <c r="S35" s="1685"/>
      <c r="T35" s="1685"/>
      <c r="U35" s="1685"/>
    </row>
    <row r="36" spans="1:21">
      <c r="A36" s="3590"/>
      <c r="B36" s="3599" t="s">
        <v>2055</v>
      </c>
      <c r="C36" s="3600"/>
      <c r="D36" s="1783"/>
      <c r="E36" s="3601"/>
      <c r="F36" s="3601"/>
      <c r="G36" s="1678" t="str">
        <f>IF(B35="场地未平整","估价结果处理","")</f>
        <v/>
      </c>
      <c r="H36" s="3602"/>
      <c r="I36" s="3602"/>
      <c r="J36" s="1685"/>
      <c r="K36" s="1766"/>
      <c r="L36" s="1714"/>
      <c r="M36" s="1714"/>
      <c r="N36" s="1685"/>
      <c r="O36" s="1686"/>
      <c r="P36" s="1685"/>
      <c r="Q36" s="1685"/>
      <c r="R36" s="1685"/>
      <c r="S36" s="1685"/>
      <c r="T36" s="1685"/>
      <c r="U36" s="1685"/>
    </row>
    <row r="37" spans="1:21" ht="28.5">
      <c r="A37" s="3590"/>
      <c r="B37" s="3620"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590"/>
      <c r="B38" s="3621"/>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591"/>
      <c r="B39" s="362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3" t="s">
        <v>1986</v>
      </c>
      <c r="T40" s="1722" t="str">
        <f>NUMBERSTRING(7-K40,1)&amp;"通"</f>
        <v>七通</v>
      </c>
      <c r="U40" s="1685"/>
    </row>
    <row r="41" spans="1:21">
      <c r="A41" s="1654"/>
      <c r="B41" s="3595" t="s">
        <v>1720</v>
      </c>
      <c r="C41" s="3595"/>
      <c r="D41" s="3595"/>
      <c r="E41" s="3595"/>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3"/>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面积!B31</f>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99340</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4029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509385</v>
      </c>
      <c r="BA5" s="29">
        <f t="shared" si="1"/>
        <v>476451.2</v>
      </c>
      <c r="BB5" s="29">
        <f t="shared" si="1"/>
        <v>99340</v>
      </c>
      <c r="BC5" s="29">
        <f t="shared" si="1"/>
        <v>180419</v>
      </c>
      <c r="BD5" s="29">
        <f t="shared" si="1"/>
        <v>14544</v>
      </c>
      <c r="BE5" s="29">
        <f t="shared" si="1"/>
        <v>78730.2</v>
      </c>
      <c r="BF5" s="29">
        <f t="shared" si="1"/>
        <v>99389</v>
      </c>
      <c r="BG5" s="29">
        <f t="shared" si="1"/>
        <v>4029</v>
      </c>
      <c r="BH5" s="29">
        <f t="shared" si="1"/>
        <v>0</v>
      </c>
      <c r="BI5" s="29">
        <f t="shared" si="1"/>
        <v>0</v>
      </c>
      <c r="BJ5" s="29">
        <f t="shared" si="1"/>
        <v>0</v>
      </c>
      <c r="BK5" s="29">
        <f t="shared" si="1"/>
        <v>0</v>
      </c>
      <c r="BL5" s="29">
        <f t="shared" si="1"/>
        <v>32933.800000000003</v>
      </c>
      <c r="BM5" s="29">
        <f t="shared" si="1"/>
        <v>0</v>
      </c>
      <c r="BN5" s="29">
        <f t="shared" si="1"/>
        <v>0</v>
      </c>
      <c r="BO5" s="29">
        <f t="shared" si="1"/>
        <v>0</v>
      </c>
      <c r="BP5" s="29">
        <f t="shared" si="1"/>
        <v>0</v>
      </c>
      <c r="BQ5" s="29">
        <f t="shared" si="1"/>
        <v>2771</v>
      </c>
      <c r="BR5" s="29">
        <f t="shared" si="1"/>
        <v>22022.800000000003</v>
      </c>
      <c r="BS5" s="29">
        <f t="shared" si="1"/>
        <v>8140</v>
      </c>
      <c r="BT5" s="30">
        <f t="shared" si="1"/>
        <v>0</v>
      </c>
    </row>
    <row r="6" spans="1:72" s="37" customFormat="1" ht="12.75">
      <c r="A6" s="26" t="s">
        <v>169</v>
      </c>
      <c r="B6" s="31"/>
      <c r="C6" s="31"/>
      <c r="D6" s="32"/>
      <c r="E6" s="27">
        <f>H6+AC6+AT6</f>
        <v>69347.5</v>
      </c>
      <c r="F6" s="27" t="s">
        <v>1</v>
      </c>
      <c r="G6" s="27" t="s">
        <v>2</v>
      </c>
      <c r="H6" s="33">
        <f>SUMIF(I$12:AB$12,"总值",I6:AB6)</f>
        <v>64863.9</v>
      </c>
      <c r="I6" s="27">
        <f t="shared" ref="I6:AB6" si="2">ROUND($A$3*I5/$B$3,2)</f>
        <v>13524.11</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548.51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64863.9</v>
      </c>
      <c r="BB6" s="27">
        <f>ROUND($AY$6*BB5/$AZ$5,2)</f>
        <v>13524.11</v>
      </c>
      <c r="BC6" s="27">
        <f t="shared" ref="BC6:BH6" si="4">ROUND($AY$6*BC5/$AZ$5,2)</f>
        <v>24562.18</v>
      </c>
      <c r="BD6" s="27">
        <f t="shared" si="4"/>
        <v>1980.02</v>
      </c>
      <c r="BE6" s="27">
        <f t="shared" si="4"/>
        <v>10718.3</v>
      </c>
      <c r="BF6" s="27">
        <f t="shared" si="4"/>
        <v>13530.78</v>
      </c>
      <c r="BG6" s="27">
        <f t="shared" si="4"/>
        <v>548.51</v>
      </c>
      <c r="BH6" s="27">
        <f t="shared" si="4"/>
        <v>0</v>
      </c>
      <c r="BI6" s="27">
        <f t="shared" ref="BI6:BT6" si="5">ROUND($AY$6*BI5/$AZ$5,2)</f>
        <v>0</v>
      </c>
      <c r="BJ6" s="27">
        <f t="shared" si="5"/>
        <v>0</v>
      </c>
      <c r="BK6" s="27">
        <f t="shared" si="5"/>
        <v>0</v>
      </c>
      <c r="BL6" s="27">
        <f t="shared" si="5"/>
        <v>4483.6000000000004</v>
      </c>
      <c r="BM6" s="27">
        <f t="shared" si="5"/>
        <v>0</v>
      </c>
      <c r="BN6" s="27">
        <f t="shared" si="5"/>
        <v>0</v>
      </c>
      <c r="BO6" s="27">
        <f t="shared" si="5"/>
        <v>0</v>
      </c>
      <c r="BP6" s="27">
        <f t="shared" si="5"/>
        <v>0</v>
      </c>
      <c r="BQ6" s="27">
        <f t="shared" si="5"/>
        <v>377.24</v>
      </c>
      <c r="BR6" s="27">
        <f t="shared" si="5"/>
        <v>2998.18</v>
      </c>
      <c r="BS6" s="27">
        <f t="shared" si="5"/>
        <v>1108.18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3197</v>
      </c>
      <c r="J9" s="51"/>
      <c r="K9" s="3034" t="s">
        <v>3197</v>
      </c>
      <c r="L9" s="51"/>
      <c r="M9" s="3034" t="s">
        <v>3199</v>
      </c>
      <c r="N9" s="51"/>
      <c r="O9" s="59" t="s">
        <v>3199</v>
      </c>
      <c r="P9" s="51"/>
      <c r="Q9" s="59" t="s">
        <v>3197</v>
      </c>
      <c r="R9" s="51"/>
      <c r="S9" s="59" t="s">
        <v>3197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3205</v>
      </c>
      <c r="P10" s="51"/>
      <c r="Q10" s="66" t="s">
        <v>1678</v>
      </c>
      <c r="R10" s="51"/>
      <c r="S10" s="66" t="s">
        <v>3194</v>
      </c>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t="str">
        <f>S9</f>
        <v>地上</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3201</v>
      </c>
      <c r="J11" s="71"/>
      <c r="K11" s="3035" t="s">
        <v>3202</v>
      </c>
      <c r="L11" s="71"/>
      <c r="M11" s="70" t="s">
        <v>3200</v>
      </c>
      <c r="N11" s="71"/>
      <c r="O11" s="70" t="s">
        <v>3204</v>
      </c>
      <c r="P11" s="71"/>
      <c r="Q11" s="70" t="s">
        <v>3319</v>
      </c>
      <c r="R11" s="71"/>
      <c r="S11" s="70" t="s">
        <v>3217</v>
      </c>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t="str">
        <f>S10</f>
        <v>商业</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t="str">
        <f>S11</f>
        <v>卸货场</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3479</v>
      </c>
      <c r="D13" s="3031" t="s">
        <v>3195</v>
      </c>
      <c r="E13" s="27">
        <f t="shared" ref="E13:E20" si="6">IF($C$3="是",ROUND($A$3*G13/$B$3,2),ROUND($A$3*(G13-AT13)/$B$3,2))</f>
        <v>4071.66</v>
      </c>
      <c r="F13" s="81"/>
      <c r="G13" s="82">
        <f t="shared" ref="G13:G20" si="7">H13+AC13+AT13</f>
        <v>29908</v>
      </c>
      <c r="H13" s="33">
        <f t="shared" ref="H13:H20" si="8">SUMIF(I$12:AB$12,"总值",I13:AB13)</f>
        <v>29496</v>
      </c>
      <c r="I13" s="3033">
        <f>面积!E4</f>
        <v>312</v>
      </c>
      <c r="J13" s="3033"/>
      <c r="K13" s="3033">
        <f>面积!D4</f>
        <v>0</v>
      </c>
      <c r="L13" s="3033"/>
      <c r="M13" s="3033"/>
      <c r="N13" s="83"/>
      <c r="O13" s="83"/>
      <c r="P13" s="83"/>
      <c r="Q13" s="83">
        <f>面积!C4</f>
        <v>29184</v>
      </c>
      <c r="R13" s="83"/>
      <c r="S13" s="83"/>
      <c r="T13" s="83"/>
      <c r="U13" s="83"/>
      <c r="V13" s="83"/>
      <c r="W13" s="83"/>
      <c r="X13" s="83"/>
      <c r="Y13" s="83"/>
      <c r="Z13" s="83"/>
      <c r="AA13" s="83"/>
      <c r="AB13" s="83"/>
      <c r="AC13" s="27">
        <f t="shared" ref="AC13:AC20" si="9">SUMIF(AD$12:AS$12,"总值",AD13:AS13)</f>
        <v>412</v>
      </c>
      <c r="AD13" s="3037"/>
      <c r="AE13" s="3037"/>
      <c r="AF13" s="3037"/>
      <c r="AG13" s="3037"/>
      <c r="AH13" s="3037"/>
      <c r="AI13" s="3037"/>
      <c r="AJ13" s="3037"/>
      <c r="AK13" s="3037"/>
      <c r="AL13" s="3037">
        <f>面积!G4</f>
        <v>273</v>
      </c>
      <c r="AM13" s="3037"/>
      <c r="AN13" s="3037"/>
      <c r="AO13" s="3037"/>
      <c r="AP13" s="3037">
        <f>面积!H4</f>
        <v>139</v>
      </c>
      <c r="AQ13" s="3037"/>
      <c r="AR13" s="3037"/>
      <c r="AS13" s="3037"/>
      <c r="AT13" s="3038"/>
      <c r="AU13" s="3039"/>
      <c r="AV13" s="17">
        <f t="shared" ref="AV13:AX20" si="10">A13</f>
        <v>0</v>
      </c>
      <c r="AW13" s="17">
        <f t="shared" si="10"/>
        <v>0</v>
      </c>
      <c r="AX13" s="17" t="str">
        <f t="shared" si="10"/>
        <v>1号楼</v>
      </c>
      <c r="AY13" s="989">
        <f t="shared" ref="AY13:AY20" si="11">ROUND($AY$6*AZ13/$AZ$5,2)</f>
        <v>4071.66</v>
      </c>
      <c r="AZ13" s="27">
        <f t="shared" ref="AZ13:AZ20" si="12">BA13+BL13</f>
        <v>29908</v>
      </c>
      <c r="BA13" s="27">
        <f t="shared" ref="BA13:BA20" si="13">SUM(BB13:BK13)</f>
        <v>29496</v>
      </c>
      <c r="BB13" s="27">
        <f t="shared" ref="BB13:BB20" si="14">IF($D13="是",I13-J13,0)</f>
        <v>312</v>
      </c>
      <c r="BC13" s="27">
        <f t="shared" ref="BC13:BC20" si="15">IF($D13="是",K13-L13,0)</f>
        <v>0</v>
      </c>
      <c r="BD13" s="27">
        <f t="shared" ref="BD13:BD20" si="16">IF($D13="是",M13-N13,0)</f>
        <v>0</v>
      </c>
      <c r="BE13" s="27">
        <f t="shared" ref="BE13:BE20" si="17">IF($D13="是",O13-P13,0)</f>
        <v>0</v>
      </c>
      <c r="BF13" s="27">
        <f t="shared" ref="BF13:BF20" si="18">IF($D13="是",Q13-R13,0)</f>
        <v>29184</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273</v>
      </c>
      <c r="BR13" s="27">
        <f t="shared" ref="BR13:BR20" si="30">IF($D13="是",AN13-AO13,0)</f>
        <v>0</v>
      </c>
      <c r="BS13" s="27">
        <f t="shared" ref="BS13:BS20" si="31">IF($D13="是",AP13-AQ13,0)</f>
        <v>139</v>
      </c>
      <c r="BT13" s="36">
        <f t="shared" ref="BT13:BT20" si="32">IF($D13="是",AR13-AS13,0)</f>
        <v>0</v>
      </c>
    </row>
    <row r="14" spans="1:72" s="18" customFormat="1" ht="12.75">
      <c r="A14" s="3030"/>
      <c r="B14" s="3030"/>
      <c r="C14" s="3030" t="s">
        <v>3480</v>
      </c>
      <c r="D14" s="3031" t="s">
        <v>3196</v>
      </c>
      <c r="E14" s="27">
        <f t="shared" si="6"/>
        <v>2417.6999999999998</v>
      </c>
      <c r="F14" s="81"/>
      <c r="G14" s="82">
        <f t="shared" si="7"/>
        <v>17759</v>
      </c>
      <c r="H14" s="33">
        <f t="shared" si="8"/>
        <v>16775</v>
      </c>
      <c r="I14" s="3033">
        <f>面积!E5</f>
        <v>16775</v>
      </c>
      <c r="J14" s="3033"/>
      <c r="K14" s="3033">
        <f>面积!D5</f>
        <v>0</v>
      </c>
      <c r="L14" s="3033"/>
      <c r="M14" s="3033"/>
      <c r="N14" s="83"/>
      <c r="O14" s="83"/>
      <c r="P14" s="83"/>
      <c r="Q14" s="83">
        <f>面积!C5</f>
        <v>0</v>
      </c>
      <c r="R14" s="83"/>
      <c r="S14" s="83"/>
      <c r="T14" s="83"/>
      <c r="U14" s="83"/>
      <c r="V14" s="83"/>
      <c r="W14" s="83"/>
      <c r="X14" s="83"/>
      <c r="Y14" s="83"/>
      <c r="Z14" s="83"/>
      <c r="AA14" s="83"/>
      <c r="AB14" s="83"/>
      <c r="AC14" s="27">
        <f t="shared" si="9"/>
        <v>984</v>
      </c>
      <c r="AD14" s="3037"/>
      <c r="AE14" s="3037"/>
      <c r="AF14" s="3037"/>
      <c r="AG14" s="3037"/>
      <c r="AH14" s="3037"/>
      <c r="AI14" s="3037"/>
      <c r="AJ14" s="3037"/>
      <c r="AK14" s="3037"/>
      <c r="AL14" s="3037">
        <f>面积!G5</f>
        <v>785</v>
      </c>
      <c r="AM14" s="3037"/>
      <c r="AN14" s="3037"/>
      <c r="AO14" s="3037"/>
      <c r="AP14" s="3037">
        <f>面积!H5</f>
        <v>199</v>
      </c>
      <c r="AQ14" s="3037"/>
      <c r="AR14" s="3037"/>
      <c r="AS14" s="3037"/>
      <c r="AT14" s="3038"/>
      <c r="AU14" s="3039"/>
      <c r="AV14" s="17">
        <f t="shared" si="10"/>
        <v>0</v>
      </c>
      <c r="AW14" s="17">
        <f t="shared" si="10"/>
        <v>0</v>
      </c>
      <c r="AX14" s="17" t="str">
        <f t="shared" si="10"/>
        <v>2号楼</v>
      </c>
      <c r="AY14" s="989">
        <f t="shared" si="11"/>
        <v>2417.6999999999998</v>
      </c>
      <c r="AZ14" s="27">
        <f t="shared" si="12"/>
        <v>17759</v>
      </c>
      <c r="BA14" s="27">
        <f t="shared" si="13"/>
        <v>16775</v>
      </c>
      <c r="BB14" s="27">
        <f t="shared" si="14"/>
        <v>16775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984</v>
      </c>
      <c r="BM14" s="27">
        <f t="shared" si="25"/>
        <v>0</v>
      </c>
      <c r="BN14" s="27">
        <f t="shared" si="26"/>
        <v>0</v>
      </c>
      <c r="BO14" s="27">
        <f t="shared" si="27"/>
        <v>0</v>
      </c>
      <c r="BP14" s="27">
        <f t="shared" si="28"/>
        <v>0</v>
      </c>
      <c r="BQ14" s="27">
        <f t="shared" si="29"/>
        <v>785</v>
      </c>
      <c r="BR14" s="27">
        <f t="shared" si="30"/>
        <v>0</v>
      </c>
      <c r="BS14" s="27">
        <f t="shared" si="31"/>
        <v>199</v>
      </c>
      <c r="BT14" s="36">
        <f t="shared" si="32"/>
        <v>0</v>
      </c>
    </row>
    <row r="15" spans="1:72" s="18" customFormat="1" ht="12.75">
      <c r="A15" s="3030"/>
      <c r="B15" s="3030"/>
      <c r="C15" s="3030" t="s">
        <v>3481</v>
      </c>
      <c r="D15" s="3031" t="s">
        <v>3198</v>
      </c>
      <c r="E15" s="27">
        <f t="shared" si="6"/>
        <v>9750.73</v>
      </c>
      <c r="F15" s="81"/>
      <c r="G15" s="82">
        <f t="shared" si="7"/>
        <v>71623</v>
      </c>
      <c r="H15" s="33">
        <f t="shared" si="8"/>
        <v>70205</v>
      </c>
      <c r="I15" s="3033">
        <f>面积!E6</f>
        <v>0</v>
      </c>
      <c r="J15" s="3033"/>
      <c r="K15" s="3033">
        <f>面积!D6</f>
        <v>0</v>
      </c>
      <c r="L15" s="3033"/>
      <c r="M15" s="3033"/>
      <c r="N15" s="83"/>
      <c r="O15" s="83"/>
      <c r="P15" s="83"/>
      <c r="Q15" s="83">
        <f>面积!C6</f>
        <v>70205</v>
      </c>
      <c r="R15" s="83"/>
      <c r="S15" s="83"/>
      <c r="T15" s="83"/>
      <c r="U15" s="83"/>
      <c r="V15" s="83"/>
      <c r="W15" s="83"/>
      <c r="X15" s="83"/>
      <c r="Y15" s="83"/>
      <c r="Z15" s="83"/>
      <c r="AA15" s="83"/>
      <c r="AB15" s="83"/>
      <c r="AC15" s="27">
        <f t="shared" si="9"/>
        <v>1418</v>
      </c>
      <c r="AD15" s="3037"/>
      <c r="AE15" s="3037"/>
      <c r="AF15" s="3037"/>
      <c r="AG15" s="3037"/>
      <c r="AH15" s="3037"/>
      <c r="AI15" s="3037"/>
      <c r="AJ15" s="3037"/>
      <c r="AK15" s="3037"/>
      <c r="AL15" s="3037">
        <f>面积!G6</f>
        <v>0</v>
      </c>
      <c r="AM15" s="3037"/>
      <c r="AN15" s="3037"/>
      <c r="AO15" s="3037"/>
      <c r="AP15" s="3037">
        <f>面积!H6</f>
        <v>1418</v>
      </c>
      <c r="AQ15" s="3037"/>
      <c r="AR15" s="3037"/>
      <c r="AS15" s="3037"/>
      <c r="AT15" s="3038"/>
      <c r="AU15" s="3039"/>
      <c r="AV15" s="17">
        <f t="shared" si="10"/>
        <v>0</v>
      </c>
      <c r="AW15" s="17">
        <f t="shared" si="10"/>
        <v>0</v>
      </c>
      <c r="AX15" s="17" t="str">
        <f t="shared" si="10"/>
        <v>3号楼</v>
      </c>
      <c r="AY15" s="989">
        <f t="shared" si="11"/>
        <v>9750.73</v>
      </c>
      <c r="AZ15" s="27">
        <f t="shared" si="12"/>
        <v>71623</v>
      </c>
      <c r="BA15" s="27">
        <f t="shared" si="13"/>
        <v>70205</v>
      </c>
      <c r="BB15" s="27">
        <f t="shared" si="14"/>
        <v>0</v>
      </c>
      <c r="BC15" s="27">
        <f t="shared" si="15"/>
        <v>0</v>
      </c>
      <c r="BD15" s="27">
        <f t="shared" si="16"/>
        <v>0</v>
      </c>
      <c r="BE15" s="27">
        <f t="shared" si="17"/>
        <v>0</v>
      </c>
      <c r="BF15" s="27">
        <f t="shared" si="18"/>
        <v>70205</v>
      </c>
      <c r="BG15" s="27">
        <f t="shared" si="19"/>
        <v>0</v>
      </c>
      <c r="BH15" s="27">
        <f t="shared" si="20"/>
        <v>0</v>
      </c>
      <c r="BI15" s="27">
        <f t="shared" si="21"/>
        <v>0</v>
      </c>
      <c r="BJ15" s="27">
        <f t="shared" si="22"/>
        <v>0</v>
      </c>
      <c r="BK15" s="27">
        <f t="shared" si="23"/>
        <v>0</v>
      </c>
      <c r="BL15" s="27">
        <f t="shared" si="24"/>
        <v>1418</v>
      </c>
      <c r="BM15" s="27">
        <f t="shared" si="25"/>
        <v>0</v>
      </c>
      <c r="BN15" s="27">
        <f t="shared" si="26"/>
        <v>0</v>
      </c>
      <c r="BO15" s="27">
        <f t="shared" si="27"/>
        <v>0</v>
      </c>
      <c r="BP15" s="27">
        <f t="shared" si="28"/>
        <v>0</v>
      </c>
      <c r="BQ15" s="27">
        <f t="shared" si="29"/>
        <v>0</v>
      </c>
      <c r="BR15" s="27">
        <f t="shared" si="30"/>
        <v>0</v>
      </c>
      <c r="BS15" s="27">
        <f t="shared" si="31"/>
        <v>1418</v>
      </c>
      <c r="BT15" s="36">
        <f t="shared" si="32"/>
        <v>0</v>
      </c>
    </row>
    <row r="16" spans="1:72" s="18" customFormat="1" ht="12.75">
      <c r="A16" s="3030"/>
      <c r="B16" s="3030"/>
      <c r="C16" s="3030" t="s">
        <v>3482</v>
      </c>
      <c r="D16" s="3031" t="s">
        <v>3196</v>
      </c>
      <c r="E16" s="27">
        <f t="shared" si="6"/>
        <v>12032.57</v>
      </c>
      <c r="F16" s="81"/>
      <c r="G16" s="82">
        <f t="shared" si="7"/>
        <v>88384</v>
      </c>
      <c r="H16" s="33">
        <f t="shared" si="8"/>
        <v>86202</v>
      </c>
      <c r="I16" s="3033">
        <f>面积!E7</f>
        <v>0</v>
      </c>
      <c r="J16" s="3033"/>
      <c r="K16" s="3033">
        <f>面积!D7</f>
        <v>86202</v>
      </c>
      <c r="L16" s="3033"/>
      <c r="M16" s="3033"/>
      <c r="N16" s="83"/>
      <c r="O16" s="83"/>
      <c r="P16" s="83"/>
      <c r="Q16" s="83">
        <f>面积!C7</f>
        <v>0</v>
      </c>
      <c r="R16" s="83"/>
      <c r="S16" s="83"/>
      <c r="T16" s="83"/>
      <c r="U16" s="83"/>
      <c r="V16" s="83"/>
      <c r="W16" s="83"/>
      <c r="X16" s="83"/>
      <c r="Y16" s="83"/>
      <c r="Z16" s="83"/>
      <c r="AA16" s="83"/>
      <c r="AB16" s="83"/>
      <c r="AC16" s="27">
        <f t="shared" si="9"/>
        <v>2182</v>
      </c>
      <c r="AD16" s="3037"/>
      <c r="AE16" s="3037"/>
      <c r="AF16" s="3037"/>
      <c r="AG16" s="3037"/>
      <c r="AH16" s="3037"/>
      <c r="AI16" s="3037"/>
      <c r="AJ16" s="3037"/>
      <c r="AK16" s="3037"/>
      <c r="AL16" s="3037">
        <f>面积!G7</f>
        <v>0</v>
      </c>
      <c r="AM16" s="3037"/>
      <c r="AN16" s="3037"/>
      <c r="AO16" s="3037"/>
      <c r="AP16" s="3037">
        <f>面积!H7</f>
        <v>2182</v>
      </c>
      <c r="AQ16" s="3037"/>
      <c r="AR16" s="3037"/>
      <c r="AS16" s="3037"/>
      <c r="AT16" s="3038"/>
      <c r="AU16" s="3039"/>
      <c r="AV16" s="17">
        <f t="shared" si="10"/>
        <v>0</v>
      </c>
      <c r="AW16" s="17">
        <f t="shared" si="10"/>
        <v>0</v>
      </c>
      <c r="AX16" s="17" t="str">
        <f t="shared" si="10"/>
        <v>4号楼</v>
      </c>
      <c r="AY16" s="989">
        <f t="shared" si="11"/>
        <v>12032.57</v>
      </c>
      <c r="AZ16" s="27">
        <f t="shared" si="12"/>
        <v>88384</v>
      </c>
      <c r="BA16" s="27">
        <f t="shared" si="13"/>
        <v>86202</v>
      </c>
      <c r="BB16" s="27">
        <f t="shared" si="14"/>
        <v>0</v>
      </c>
      <c r="BC16" s="27">
        <f t="shared" si="15"/>
        <v>86202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2182</v>
      </c>
      <c r="BM16" s="27">
        <f t="shared" si="25"/>
        <v>0</v>
      </c>
      <c r="BN16" s="27">
        <f t="shared" si="26"/>
        <v>0</v>
      </c>
      <c r="BO16" s="27">
        <f t="shared" si="27"/>
        <v>0</v>
      </c>
      <c r="BP16" s="27">
        <f t="shared" si="28"/>
        <v>0</v>
      </c>
      <c r="BQ16" s="27">
        <f t="shared" si="29"/>
        <v>0</v>
      </c>
      <c r="BR16" s="27">
        <f t="shared" si="30"/>
        <v>0</v>
      </c>
      <c r="BS16" s="27">
        <f t="shared" si="31"/>
        <v>2182</v>
      </c>
      <c r="BT16" s="36">
        <f t="shared" si="32"/>
        <v>0</v>
      </c>
    </row>
    <row r="17" spans="1:72" s="18" customFormat="1" ht="12.75">
      <c r="A17" s="3030"/>
      <c r="B17" s="3030"/>
      <c r="C17" s="3030" t="s">
        <v>3483</v>
      </c>
      <c r="D17" s="3031" t="s">
        <v>1679</v>
      </c>
      <c r="E17" s="27">
        <f t="shared" si="6"/>
        <v>8451.01</v>
      </c>
      <c r="F17" s="81"/>
      <c r="G17" s="82">
        <f t="shared" si="7"/>
        <v>62076</v>
      </c>
      <c r="H17" s="33">
        <f t="shared" si="8"/>
        <v>59602</v>
      </c>
      <c r="I17" s="3033">
        <f>面积!E8</f>
        <v>59602</v>
      </c>
      <c r="J17" s="3033"/>
      <c r="K17" s="3033">
        <f>面积!D8</f>
        <v>0</v>
      </c>
      <c r="L17" s="3033"/>
      <c r="M17" s="3033"/>
      <c r="N17" s="83"/>
      <c r="O17" s="83"/>
      <c r="P17" s="83"/>
      <c r="Q17" s="83">
        <f>面积!C8</f>
        <v>0</v>
      </c>
      <c r="R17" s="83"/>
      <c r="S17" s="83"/>
      <c r="T17" s="83"/>
      <c r="U17" s="83"/>
      <c r="V17" s="83"/>
      <c r="W17" s="83"/>
      <c r="X17" s="83"/>
      <c r="Y17" s="83"/>
      <c r="Z17" s="83"/>
      <c r="AA17" s="83"/>
      <c r="AB17" s="83"/>
      <c r="AC17" s="27">
        <f t="shared" si="9"/>
        <v>2474</v>
      </c>
      <c r="AD17" s="3037"/>
      <c r="AE17" s="3037"/>
      <c r="AF17" s="3037"/>
      <c r="AG17" s="3037"/>
      <c r="AH17" s="3037"/>
      <c r="AI17" s="3037"/>
      <c r="AJ17" s="3037"/>
      <c r="AK17" s="3037"/>
      <c r="AL17" s="3037">
        <f>面积!G8</f>
        <v>1713</v>
      </c>
      <c r="AM17" s="3037"/>
      <c r="AN17" s="3037"/>
      <c r="AO17" s="3037"/>
      <c r="AP17" s="3037">
        <f>面积!H8</f>
        <v>761</v>
      </c>
      <c r="AQ17" s="3037"/>
      <c r="AR17" s="3037"/>
      <c r="AS17" s="3037"/>
      <c r="AT17" s="3038"/>
      <c r="AU17" s="3039"/>
      <c r="AV17" s="17">
        <f t="shared" si="10"/>
        <v>0</v>
      </c>
      <c r="AW17" s="17">
        <f t="shared" si="10"/>
        <v>0</v>
      </c>
      <c r="AX17" s="17" t="str">
        <f t="shared" si="10"/>
        <v>5号楼</v>
      </c>
      <c r="AY17" s="989">
        <f t="shared" si="11"/>
        <v>8451.01</v>
      </c>
      <c r="AZ17" s="27">
        <f t="shared" si="12"/>
        <v>62076</v>
      </c>
      <c r="BA17" s="27">
        <f t="shared" si="13"/>
        <v>59602</v>
      </c>
      <c r="BB17" s="27">
        <f t="shared" si="14"/>
        <v>59602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2474</v>
      </c>
      <c r="BM17" s="27">
        <f t="shared" si="25"/>
        <v>0</v>
      </c>
      <c r="BN17" s="27">
        <f t="shared" si="26"/>
        <v>0</v>
      </c>
      <c r="BO17" s="27">
        <f t="shared" si="27"/>
        <v>0</v>
      </c>
      <c r="BP17" s="27">
        <f t="shared" si="28"/>
        <v>0</v>
      </c>
      <c r="BQ17" s="27">
        <f t="shared" si="29"/>
        <v>1713</v>
      </c>
      <c r="BR17" s="27">
        <f t="shared" si="30"/>
        <v>0</v>
      </c>
      <c r="BS17" s="27">
        <f t="shared" si="31"/>
        <v>761</v>
      </c>
      <c r="BT17" s="36">
        <f t="shared" si="32"/>
        <v>0</v>
      </c>
    </row>
    <row r="18" spans="1:72">
      <c r="A18" s="84"/>
      <c r="B18" s="85"/>
      <c r="C18" s="3030" t="s">
        <v>3484</v>
      </c>
      <c r="D18" s="3032" t="s">
        <v>3203</v>
      </c>
      <c r="E18" s="87">
        <f t="shared" si="6"/>
        <v>13210.18</v>
      </c>
      <c r="F18" s="88"/>
      <c r="G18" s="89">
        <f t="shared" si="7"/>
        <v>97034</v>
      </c>
      <c r="H18" s="90">
        <f t="shared" si="8"/>
        <v>94217</v>
      </c>
      <c r="I18" s="3033">
        <f>面积!E9</f>
        <v>0</v>
      </c>
      <c r="J18" s="91"/>
      <c r="K18" s="3033">
        <f>面积!D9</f>
        <v>94217</v>
      </c>
      <c r="L18" s="91"/>
      <c r="M18" s="91"/>
      <c r="N18" s="91"/>
      <c r="O18" s="91"/>
      <c r="P18" s="91"/>
      <c r="Q18" s="83">
        <f>面积!C9</f>
        <v>0</v>
      </c>
      <c r="R18" s="91"/>
      <c r="S18" s="91"/>
      <c r="T18" s="91"/>
      <c r="U18" s="91"/>
      <c r="V18" s="91"/>
      <c r="W18" s="91"/>
      <c r="X18" s="91"/>
      <c r="Y18" s="91"/>
      <c r="Z18" s="91"/>
      <c r="AA18" s="91"/>
      <c r="AB18" s="91"/>
      <c r="AC18" s="87">
        <f t="shared" si="9"/>
        <v>2817</v>
      </c>
      <c r="AD18" s="92"/>
      <c r="AE18" s="92"/>
      <c r="AF18" s="1386"/>
      <c r="AG18" s="92"/>
      <c r="AH18" s="92"/>
      <c r="AI18" s="92"/>
      <c r="AJ18" s="92"/>
      <c r="AK18" s="92"/>
      <c r="AL18" s="3037">
        <f>面积!G9</f>
        <v>0</v>
      </c>
      <c r="AM18" s="92"/>
      <c r="AN18" s="1386"/>
      <c r="AO18" s="92"/>
      <c r="AP18" s="3037">
        <f>面积!H9</f>
        <v>2817</v>
      </c>
      <c r="AQ18" s="92"/>
      <c r="AR18" s="92"/>
      <c r="AS18" s="92"/>
      <c r="AT18" s="93"/>
      <c r="AU18" s="94"/>
      <c r="AV18" s="985">
        <f t="shared" si="10"/>
        <v>0</v>
      </c>
      <c r="AW18" s="985">
        <f t="shared" si="10"/>
        <v>0</v>
      </c>
      <c r="AX18" s="985" t="str">
        <f t="shared" si="10"/>
        <v>6号楼</v>
      </c>
      <c r="AY18" s="95">
        <f t="shared" si="11"/>
        <v>13210.18</v>
      </c>
      <c r="AZ18" s="87">
        <f t="shared" si="12"/>
        <v>97034</v>
      </c>
      <c r="BA18" s="87">
        <f t="shared" si="13"/>
        <v>94217</v>
      </c>
      <c r="BB18" s="87">
        <f t="shared" si="14"/>
        <v>0</v>
      </c>
      <c r="BC18" s="87">
        <f t="shared" si="15"/>
        <v>94217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2817</v>
      </c>
      <c r="BM18" s="87">
        <f t="shared" si="25"/>
        <v>0</v>
      </c>
      <c r="BN18" s="87">
        <f t="shared" si="26"/>
        <v>0</v>
      </c>
      <c r="BO18" s="87">
        <f t="shared" si="27"/>
        <v>0</v>
      </c>
      <c r="BP18" s="87">
        <f t="shared" si="28"/>
        <v>0</v>
      </c>
      <c r="BQ18" s="87">
        <f t="shared" si="29"/>
        <v>0</v>
      </c>
      <c r="BR18" s="87">
        <f t="shared" si="30"/>
        <v>0</v>
      </c>
      <c r="BS18" s="87">
        <f t="shared" si="31"/>
        <v>2817</v>
      </c>
      <c r="BT18" s="96">
        <f t="shared" si="32"/>
        <v>0</v>
      </c>
    </row>
    <row r="19" spans="1:72">
      <c r="A19" s="84"/>
      <c r="B19" s="1390"/>
      <c r="C19" s="3030" t="s">
        <v>3485</v>
      </c>
      <c r="D19" s="3464" t="s">
        <v>3196</v>
      </c>
      <c r="E19" s="87">
        <f t="shared" si="6"/>
        <v>3717.16</v>
      </c>
      <c r="F19" s="88"/>
      <c r="G19" s="89">
        <f t="shared" si="7"/>
        <v>27304</v>
      </c>
      <c r="H19" s="90">
        <f t="shared" si="8"/>
        <v>26680</v>
      </c>
      <c r="I19" s="3033">
        <f>面积!E10-面积!B21</f>
        <v>22651</v>
      </c>
      <c r="J19" s="91"/>
      <c r="K19" s="3033">
        <f>面积!D10</f>
        <v>0</v>
      </c>
      <c r="L19" s="91"/>
      <c r="M19" s="91"/>
      <c r="N19" s="91"/>
      <c r="O19" s="91"/>
      <c r="P19" s="91"/>
      <c r="Q19" s="83">
        <f>面积!C10</f>
        <v>0</v>
      </c>
      <c r="R19" s="91"/>
      <c r="S19" s="91">
        <f>面积!B21</f>
        <v>4029</v>
      </c>
      <c r="T19" s="91"/>
      <c r="U19" s="91"/>
      <c r="V19" s="91"/>
      <c r="W19" s="91"/>
      <c r="X19" s="91"/>
      <c r="Y19" s="91"/>
      <c r="Z19" s="91"/>
      <c r="AA19" s="91"/>
      <c r="AB19" s="91"/>
      <c r="AC19" s="87">
        <f t="shared" si="9"/>
        <v>624</v>
      </c>
      <c r="AD19" s="92"/>
      <c r="AE19" s="92"/>
      <c r="AF19" s="1386"/>
      <c r="AG19" s="92"/>
      <c r="AH19" s="92"/>
      <c r="AI19" s="92"/>
      <c r="AJ19" s="92"/>
      <c r="AK19" s="92"/>
      <c r="AL19" s="3037">
        <f>面积!G10</f>
        <v>0</v>
      </c>
      <c r="AM19" s="92"/>
      <c r="AN19" s="1386"/>
      <c r="AO19" s="92"/>
      <c r="AP19" s="3037">
        <f>面积!H10</f>
        <v>624</v>
      </c>
      <c r="AQ19" s="92"/>
      <c r="AR19" s="92"/>
      <c r="AS19" s="92"/>
      <c r="AT19" s="93"/>
      <c r="AU19" s="94"/>
      <c r="AV19" s="985">
        <f t="shared" si="10"/>
        <v>0</v>
      </c>
      <c r="AW19" s="985">
        <f t="shared" si="10"/>
        <v>0</v>
      </c>
      <c r="AX19" s="985" t="str">
        <f t="shared" si="10"/>
        <v>7号楼</v>
      </c>
      <c r="AY19" s="95">
        <f t="shared" si="11"/>
        <v>3717.16</v>
      </c>
      <c r="AZ19" s="87">
        <f t="shared" si="12"/>
        <v>27304</v>
      </c>
      <c r="BA19" s="87">
        <f t="shared" si="13"/>
        <v>26680</v>
      </c>
      <c r="BB19" s="87">
        <f t="shared" si="14"/>
        <v>22651</v>
      </c>
      <c r="BC19" s="87">
        <f t="shared" si="15"/>
        <v>0</v>
      </c>
      <c r="BD19" s="87">
        <f t="shared" si="16"/>
        <v>0</v>
      </c>
      <c r="BE19" s="87">
        <f t="shared" si="17"/>
        <v>0</v>
      </c>
      <c r="BF19" s="87">
        <f t="shared" si="18"/>
        <v>0</v>
      </c>
      <c r="BG19" s="87">
        <f t="shared" si="19"/>
        <v>4029</v>
      </c>
      <c r="BH19" s="87">
        <f t="shared" si="20"/>
        <v>0</v>
      </c>
      <c r="BI19" s="87">
        <f t="shared" si="21"/>
        <v>0</v>
      </c>
      <c r="BJ19" s="87">
        <f t="shared" si="22"/>
        <v>0</v>
      </c>
      <c r="BK19" s="87">
        <f t="shared" si="23"/>
        <v>0</v>
      </c>
      <c r="BL19" s="87">
        <f t="shared" si="24"/>
        <v>624</v>
      </c>
      <c r="BM19" s="87">
        <f t="shared" si="25"/>
        <v>0</v>
      </c>
      <c r="BN19" s="87">
        <f t="shared" si="26"/>
        <v>0</v>
      </c>
      <c r="BO19" s="87">
        <f t="shared" si="27"/>
        <v>0</v>
      </c>
      <c r="BP19" s="87">
        <f t="shared" si="28"/>
        <v>0</v>
      </c>
      <c r="BQ19" s="87">
        <f t="shared" si="29"/>
        <v>0</v>
      </c>
      <c r="BR19" s="87">
        <f t="shared" si="30"/>
        <v>0</v>
      </c>
      <c r="BS19" s="87">
        <f t="shared" si="31"/>
        <v>624</v>
      </c>
      <c r="BT19" s="96">
        <f t="shared" si="32"/>
        <v>0</v>
      </c>
    </row>
    <row r="20" spans="1:72">
      <c r="A20" s="84"/>
      <c r="B20" s="1390"/>
      <c r="C20" s="1386" t="s">
        <v>3486</v>
      </c>
      <c r="D20" s="80" t="s">
        <v>1679</v>
      </c>
      <c r="E20" s="87">
        <f t="shared" si="6"/>
        <v>1980.02</v>
      </c>
      <c r="F20" s="88"/>
      <c r="G20" s="89">
        <f t="shared" si="7"/>
        <v>14544</v>
      </c>
      <c r="H20" s="90">
        <f t="shared" si="8"/>
        <v>14544</v>
      </c>
      <c r="I20" s="3033"/>
      <c r="J20" s="91"/>
      <c r="K20" s="3033"/>
      <c r="L20" s="91"/>
      <c r="M20" s="91">
        <f>面积!I4</f>
        <v>14544</v>
      </c>
      <c r="N20" s="91"/>
      <c r="O20" s="91"/>
      <c r="P20" s="91"/>
      <c r="Q20" s="83"/>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地下商业</v>
      </c>
      <c r="AY20" s="95">
        <f t="shared" si="11"/>
        <v>1980.02</v>
      </c>
      <c r="AZ20" s="87">
        <f t="shared" si="12"/>
        <v>14544</v>
      </c>
      <c r="BA20" s="87">
        <f t="shared" si="13"/>
        <v>14544</v>
      </c>
      <c r="BB20" s="87">
        <f t="shared" si="14"/>
        <v>0</v>
      </c>
      <c r="BC20" s="87">
        <f t="shared" si="15"/>
        <v>0</v>
      </c>
      <c r="BD20" s="87">
        <f t="shared" si="16"/>
        <v>14544</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t="s">
        <v>3487</v>
      </c>
      <c r="D21" s="80" t="s">
        <v>1679</v>
      </c>
      <c r="E21" s="87">
        <f t="shared" ref="E21:E112" si="33">IF($C$3="是",ROUND($A$3*G21/$B$3,2),ROUND($A$3*(G21-AT21)/$B$3,2))</f>
        <v>10718.3</v>
      </c>
      <c r="F21" s="88"/>
      <c r="G21" s="89">
        <f t="shared" ref="G21:G109" si="34">H21+AC21+AT21</f>
        <v>78730.2</v>
      </c>
      <c r="H21" s="90">
        <f t="shared" ref="H21:H109" si="35">SUMIF(I$12:AB$12,"总值",I21:AB21)</f>
        <v>78730.2</v>
      </c>
      <c r="I21" s="3033"/>
      <c r="J21" s="91"/>
      <c r="K21" s="3033"/>
      <c r="L21" s="91"/>
      <c r="M21" s="91"/>
      <c r="N21" s="91"/>
      <c r="O21" s="91">
        <f>面积!J4</f>
        <v>78730.2</v>
      </c>
      <c r="P21" s="91"/>
      <c r="Q21" s="83"/>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t="str">
        <f t="shared" ref="AX21:AX112" si="39">C21</f>
        <v>地下车库</v>
      </c>
      <c r="AY21" s="95">
        <f t="shared" ref="AY21:AY109" si="40">ROUND($AY$6*AZ21/$AZ$5,2)</f>
        <v>10718.3</v>
      </c>
      <c r="AZ21" s="87">
        <f t="shared" ref="AZ21:AZ109" si="41">BA21+BL21</f>
        <v>78730.2</v>
      </c>
      <c r="BA21" s="87">
        <f t="shared" ref="BA21:BA109" si="42">SUM(BB21:BK21)</f>
        <v>78730.2</v>
      </c>
      <c r="BB21" s="87">
        <f t="shared" ref="BB21:BB109" si="43">IF($D21="是",I21-J21,0)</f>
        <v>0</v>
      </c>
      <c r="BC21" s="87">
        <f t="shared" ref="BC21:BC109" si="44">IF($D21="是",K21-L21,0)</f>
        <v>0</v>
      </c>
      <c r="BD21" s="87">
        <f t="shared" ref="BD21:BD109" si="45">IF($D21="是",M21-N21,0)</f>
        <v>0</v>
      </c>
      <c r="BE21" s="87">
        <f t="shared" ref="BE21:BE109" si="46">IF($D21="是",O21-P21,0)</f>
        <v>78730.2</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t="s">
        <v>3488</v>
      </c>
      <c r="D22" s="80" t="s">
        <v>1679</v>
      </c>
      <c r="E22" s="87">
        <f t="shared" si="33"/>
        <v>2998.18</v>
      </c>
      <c r="F22" s="88"/>
      <c r="G22" s="89">
        <f t="shared" si="34"/>
        <v>22022.800000000003</v>
      </c>
      <c r="H22" s="90">
        <f t="shared" si="35"/>
        <v>0</v>
      </c>
      <c r="I22" s="3033"/>
      <c r="J22" s="91"/>
      <c r="K22" s="3033"/>
      <c r="L22" s="91"/>
      <c r="M22" s="1357"/>
      <c r="N22" s="91"/>
      <c r="O22" s="91"/>
      <c r="P22" s="91"/>
      <c r="Q22" s="83"/>
      <c r="R22" s="91"/>
      <c r="S22" s="91"/>
      <c r="T22" s="91"/>
      <c r="U22" s="91"/>
      <c r="V22" s="91"/>
      <c r="W22" s="91"/>
      <c r="X22" s="91"/>
      <c r="Y22" s="91"/>
      <c r="Z22" s="91"/>
      <c r="AA22" s="91"/>
      <c r="AB22" s="91"/>
      <c r="AC22" s="87">
        <f t="shared" si="36"/>
        <v>22022.800000000003</v>
      </c>
      <c r="AD22" s="1357"/>
      <c r="AE22" s="92"/>
      <c r="AF22" s="1389"/>
      <c r="AG22" s="92"/>
      <c r="AH22" s="92"/>
      <c r="AI22" s="92"/>
      <c r="AJ22" s="92"/>
      <c r="AK22" s="92"/>
      <c r="AL22" s="1357"/>
      <c r="AM22" s="92"/>
      <c r="AN22" s="1357">
        <f>面积!K4</f>
        <v>22022.800000000003</v>
      </c>
      <c r="AO22" s="92"/>
      <c r="AP22" s="92"/>
      <c r="AQ22" s="92"/>
      <c r="AR22" s="92"/>
      <c r="AS22" s="92"/>
      <c r="AT22" s="93"/>
      <c r="AU22" s="94"/>
      <c r="AV22" s="1971">
        <f t="shared" si="37"/>
        <v>0</v>
      </c>
      <c r="AW22" s="1971">
        <f t="shared" si="38"/>
        <v>0</v>
      </c>
      <c r="AX22" s="1971" t="str">
        <f t="shared" si="39"/>
        <v>地下设备</v>
      </c>
      <c r="AY22" s="95">
        <f t="shared" si="40"/>
        <v>2998.18</v>
      </c>
      <c r="AZ22" s="87">
        <f t="shared" si="41"/>
        <v>22022.800000000003</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22022.800000000003</v>
      </c>
      <c r="BM22" s="87">
        <f t="shared" si="54"/>
        <v>0</v>
      </c>
      <c r="BN22" s="87">
        <f t="shared" si="55"/>
        <v>0</v>
      </c>
      <c r="BO22" s="87">
        <f t="shared" si="56"/>
        <v>0</v>
      </c>
      <c r="BP22" s="87">
        <f t="shared" si="57"/>
        <v>0</v>
      </c>
      <c r="BQ22" s="87">
        <f t="shared" si="58"/>
        <v>0</v>
      </c>
      <c r="BR22" s="87">
        <f t="shared" si="59"/>
        <v>22022.800000000003</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83"/>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I18" sqref="I18"/>
    </sheetView>
  </sheetViews>
  <sheetFormatPr defaultRowHeight="13.5"/>
  <cols>
    <col min="1" max="1" width="12.625" customWidth="1"/>
    <col min="2" max="2" width="12.75" customWidth="1"/>
    <col min="3" max="3" width="11.25" customWidth="1"/>
    <col min="12" max="12" width="9.5" bestFit="1" customWidth="1"/>
  </cols>
  <sheetData>
    <row r="1" spans="1:15">
      <c r="A1" s="3500" t="s">
        <v>3316</v>
      </c>
      <c r="I1" s="3500">
        <f>38973+76324</f>
        <v>115297</v>
      </c>
      <c r="O1" s="3500" t="s">
        <v>3458</v>
      </c>
    </row>
    <row r="2" spans="1:15">
      <c r="A2" s="3500" t="s">
        <v>3317</v>
      </c>
      <c r="B2" s="3500" t="s">
        <v>3318</v>
      </c>
      <c r="C2" s="3500" t="s">
        <v>3321</v>
      </c>
      <c r="D2" s="3500"/>
      <c r="O2" s="3500" t="s">
        <v>3459</v>
      </c>
    </row>
    <row r="3" spans="1:15">
      <c r="A3" s="3500"/>
      <c r="B3" s="3500"/>
      <c r="C3" s="3500" t="s">
        <v>3320</v>
      </c>
      <c r="D3" s="3500" t="s">
        <v>3322</v>
      </c>
      <c r="E3" s="3500" t="s">
        <v>3323</v>
      </c>
      <c r="F3" s="3500" t="s">
        <v>3324</v>
      </c>
      <c r="G3" s="3500" t="s">
        <v>3325</v>
      </c>
      <c r="H3" s="3500" t="s">
        <v>3345</v>
      </c>
      <c r="I3" s="3500" t="s">
        <v>3457</v>
      </c>
      <c r="J3" s="3500" t="s">
        <v>3460</v>
      </c>
      <c r="K3" s="3500" t="s">
        <v>3461</v>
      </c>
      <c r="O3">
        <v>56274.92</v>
      </c>
    </row>
    <row r="4" spans="1:15">
      <c r="A4">
        <v>1</v>
      </c>
      <c r="B4" s="3500">
        <v>1</v>
      </c>
      <c r="C4" s="3555">
        <v>29184</v>
      </c>
      <c r="D4" s="3555"/>
      <c r="E4" s="3555">
        <v>312</v>
      </c>
      <c r="G4">
        <f>273</f>
        <v>273</v>
      </c>
      <c r="H4">
        <f>39+100</f>
        <v>139</v>
      </c>
      <c r="I4">
        <f>11958+2586</f>
        <v>14544</v>
      </c>
      <c r="J4">
        <v>78730.2</v>
      </c>
      <c r="K4">
        <f>I1-I4-J4</f>
        <v>22022.800000000003</v>
      </c>
      <c r="O4">
        <v>8868.58</v>
      </c>
    </row>
    <row r="5" spans="1:15">
      <c r="A5">
        <v>2</v>
      </c>
      <c r="B5">
        <v>2</v>
      </c>
      <c r="C5" s="3554"/>
      <c r="E5">
        <v>16775</v>
      </c>
      <c r="G5" s="3500">
        <f>246+145+60+334</f>
        <v>785</v>
      </c>
      <c r="H5">
        <f>167+21+11</f>
        <v>199</v>
      </c>
      <c r="O5">
        <v>4081.9</v>
      </c>
    </row>
    <row r="6" spans="1:15">
      <c r="A6">
        <v>3</v>
      </c>
      <c r="B6">
        <v>3</v>
      </c>
      <c r="C6" s="3554">
        <v>70205</v>
      </c>
      <c r="G6" s="3500"/>
      <c r="H6">
        <f>45+1344+29</f>
        <v>1418</v>
      </c>
      <c r="O6">
        <v>2076.6</v>
      </c>
    </row>
    <row r="7" spans="1:15">
      <c r="A7">
        <v>4</v>
      </c>
      <c r="B7">
        <v>4</v>
      </c>
      <c r="C7" s="3554"/>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0" t="s">
        <v>3344</v>
      </c>
      <c r="C11">
        <f>SUM(C4:C10)</f>
        <v>99389</v>
      </c>
      <c r="D11">
        <f t="shared" ref="D11:H11" si="0">SUM(D4:D10)</f>
        <v>180419</v>
      </c>
      <c r="E11">
        <f t="shared" si="0"/>
        <v>103369</v>
      </c>
      <c r="F11">
        <f t="shared" si="0"/>
        <v>0</v>
      </c>
      <c r="G11">
        <f t="shared" si="0"/>
        <v>2771</v>
      </c>
      <c r="H11">
        <f t="shared" si="0"/>
        <v>8140</v>
      </c>
    </row>
    <row r="12" spans="1:15">
      <c r="B12" s="3500" t="s">
        <v>3462</v>
      </c>
      <c r="C12">
        <f>C11+D11+E11+G11</f>
        <v>385948</v>
      </c>
    </row>
    <row r="14" spans="1:15">
      <c r="A14" s="3500" t="s">
        <v>3382</v>
      </c>
    </row>
    <row r="15" spans="1:15">
      <c r="A15" s="3530" t="s">
        <v>3318</v>
      </c>
      <c r="B15" s="3500" t="s">
        <v>3387</v>
      </c>
      <c r="C15" s="3500" t="s">
        <v>3388</v>
      </c>
      <c r="D15" s="3500" t="s">
        <v>3389</v>
      </c>
      <c r="E15" s="3500" t="s">
        <v>3390</v>
      </c>
      <c r="F15" s="3531" t="s">
        <v>3391</v>
      </c>
    </row>
    <row r="16" spans="1:15">
      <c r="A16" s="3500" t="s">
        <v>3383</v>
      </c>
      <c r="B16" s="3556">
        <v>312</v>
      </c>
    </row>
    <row r="17" spans="1:12">
      <c r="A17" s="3500" t="s">
        <v>3384</v>
      </c>
      <c r="B17">
        <f>E5/4</f>
        <v>4193.75</v>
      </c>
      <c r="C17">
        <f>B17</f>
        <v>4193.75</v>
      </c>
      <c r="D17">
        <f>B17</f>
        <v>4193.75</v>
      </c>
      <c r="E17">
        <f>B17</f>
        <v>4193.75</v>
      </c>
    </row>
    <row r="18" spans="1:12">
      <c r="A18" s="3500" t="s">
        <v>3385</v>
      </c>
      <c r="B18">
        <f>E8/4</f>
        <v>14900.5</v>
      </c>
      <c r="C18">
        <f>B18</f>
        <v>14900.5</v>
      </c>
      <c r="D18">
        <f>B18</f>
        <v>14900.5</v>
      </c>
      <c r="E18">
        <f>B18</f>
        <v>14900.5</v>
      </c>
    </row>
    <row r="19" spans="1:12">
      <c r="A19" s="3500" t="s">
        <v>3386</v>
      </c>
      <c r="B19">
        <f>22651/2</f>
        <v>11325.5</v>
      </c>
      <c r="C19">
        <f>B19</f>
        <v>11325.5</v>
      </c>
    </row>
    <row r="20" spans="1:12">
      <c r="A20" s="3500" t="s">
        <v>3344</v>
      </c>
      <c r="B20">
        <f>SUM(B16:B19)</f>
        <v>30731.75</v>
      </c>
      <c r="C20">
        <f>SUM(C17:C19)</f>
        <v>30419.75</v>
      </c>
      <c r="D20">
        <f>SUM(D17:D18)</f>
        <v>19094.25</v>
      </c>
      <c r="E20">
        <f>SUM(E16:E19)</f>
        <v>19094.25</v>
      </c>
    </row>
    <row r="21" spans="1:12">
      <c r="A21" s="3500" t="s">
        <v>3392</v>
      </c>
      <c r="B21">
        <v>4029</v>
      </c>
      <c r="L21">
        <f ca="1">[2]结果表!$G$19</f>
        <v>11697</v>
      </c>
    </row>
    <row r="22" spans="1:12">
      <c r="A22" s="3500" t="s">
        <v>3393</v>
      </c>
      <c r="F22">
        <f>'数据-基础表'!M17</f>
        <v>0</v>
      </c>
      <c r="L22">
        <f ca="1">结果表!G19</f>
        <v>159137</v>
      </c>
    </row>
    <row r="23" spans="1:12">
      <c r="L23">
        <f ca="1">L21-L22</f>
        <v>-147440</v>
      </c>
    </row>
    <row r="24" spans="1:12">
      <c r="J24">
        <f>C4+E4</f>
        <v>29496</v>
      </c>
      <c r="K24">
        <v>3124</v>
      </c>
      <c r="L24">
        <f>K24*J24</f>
        <v>92145504</v>
      </c>
    </row>
    <row r="28" spans="1:12">
      <c r="B28">
        <f>99340/476451.2*32933.8</f>
        <v>6866.6921019403462</v>
      </c>
    </row>
    <row r="31" spans="1:12">
      <c r="A31" s="3500" t="s">
        <v>3475</v>
      </c>
      <c r="B31">
        <v>69347.5</v>
      </c>
    </row>
    <row r="32" spans="1:12">
      <c r="A32" s="3500" t="s">
        <v>3476</v>
      </c>
      <c r="B32">
        <f>B33+C4+E4</f>
        <v>538881</v>
      </c>
    </row>
    <row r="33" spans="1:2">
      <c r="A33" s="3500" t="s">
        <v>3477</v>
      </c>
      <c r="B33">
        <f>'数据-基础表'!B3</f>
        <v>509385</v>
      </c>
    </row>
    <row r="34" spans="1:2">
      <c r="A34" s="3500" t="s">
        <v>3478</v>
      </c>
      <c r="B34">
        <f>ROUND(B31*B33/B32,2)</f>
        <v>65551.72</v>
      </c>
    </row>
    <row r="35" spans="1:2">
      <c r="B35">
        <f>B31-B34</f>
        <v>3795.7799999999988</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I7" sqref="I7"/>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2" t="s">
        <v>203</v>
      </c>
      <c r="B2" s="3642"/>
      <c r="C2" s="3642"/>
      <c r="D2" s="1967" t="s">
        <v>204</v>
      </c>
      <c r="E2" s="106" t="s">
        <v>205</v>
      </c>
      <c r="F2" s="1976"/>
      <c r="G2" s="1191"/>
      <c r="H2" s="1192"/>
      <c r="I2" s="1193" t="s">
        <v>857</v>
      </c>
      <c r="J2" s="1976"/>
      <c r="K2" s="1976"/>
      <c r="L2" s="1976"/>
    </row>
    <row r="3" spans="1:16" ht="15.75" thickBot="1">
      <c r="A3" s="3643" t="s">
        <v>206</v>
      </c>
      <c r="B3" s="3643"/>
      <c r="C3" s="3643"/>
      <c r="D3" s="107">
        <f>'数据-基础表'!AY6</f>
        <v>69347.5</v>
      </c>
      <c r="E3" s="107">
        <f>'数据-基础表'!AZ5</f>
        <v>509385</v>
      </c>
      <c r="F3" s="1976"/>
      <c r="G3" s="278" t="s">
        <v>858</v>
      </c>
      <c r="H3" s="273" t="s">
        <v>859</v>
      </c>
      <c r="I3" s="1968">
        <f>ROUND('数据-基础表'!B3/'数据-基础表'!A3,2)</f>
        <v>7.35</v>
      </c>
      <c r="J3" s="1976"/>
      <c r="K3" s="1976"/>
      <c r="L3" s="1976"/>
    </row>
    <row r="4" spans="1:16" ht="15">
      <c r="A4" s="3644"/>
      <c r="B4" s="3645"/>
      <c r="C4" s="3646"/>
      <c r="D4" s="108" t="s">
        <v>204</v>
      </c>
      <c r="E4" s="109" t="s">
        <v>205</v>
      </c>
      <c r="F4" s="1976"/>
      <c r="G4" s="1194"/>
      <c r="H4" s="273" t="s">
        <v>860</v>
      </c>
      <c r="I4" s="1968">
        <f>ROUND(SUMIF('数据-基础表'!I9:AS9,"地上",'数据-基础表'!I5:AS5)/'数据-基础表'!A3,2)</f>
        <v>5.68</v>
      </c>
      <c r="J4" s="1976"/>
      <c r="K4" s="1976"/>
      <c r="L4" s="1976"/>
    </row>
    <row r="5" spans="1:16">
      <c r="A5" s="110" t="s">
        <v>207</v>
      </c>
      <c r="B5" s="3647" t="s">
        <v>230</v>
      </c>
      <c r="C5" s="3647"/>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7" t="s">
        <v>208</v>
      </c>
      <c r="C6" s="3647"/>
      <c r="D6" s="111">
        <f>ROUND($D$3*E6/$E$3,2)</f>
        <v>69347.5</v>
      </c>
      <c r="E6" s="112">
        <f>E3-E5</f>
        <v>509385</v>
      </c>
      <c r="F6" s="1976"/>
      <c r="G6" s="1194"/>
      <c r="H6" s="273" t="s">
        <v>860</v>
      </c>
      <c r="I6" s="1968">
        <f>ROUND(F31/D31,2)</f>
        <v>5.68</v>
      </c>
      <c r="J6" s="1976"/>
      <c r="K6" s="1976"/>
      <c r="L6" s="1976"/>
    </row>
    <row r="7" spans="1:16" ht="15">
      <c r="A7" s="3639"/>
      <c r="B7" s="3640"/>
      <c r="C7" s="3641"/>
      <c r="D7" s="108" t="s">
        <v>204</v>
      </c>
      <c r="E7" s="114" t="s">
        <v>231</v>
      </c>
      <c r="F7" s="1976"/>
      <c r="G7" s="1149" t="s">
        <v>1646</v>
      </c>
      <c r="H7" s="1150"/>
      <c r="I7" s="1838">
        <f>ROUND(面积!C12/'数据-汇总表'!D3,2)</f>
        <v>5.57</v>
      </c>
      <c r="J7" s="1976"/>
      <c r="K7" s="1976"/>
      <c r="L7" s="1976"/>
    </row>
    <row r="8" spans="1:16">
      <c r="A8" s="110" t="s">
        <v>209</v>
      </c>
      <c r="B8" s="115" t="s">
        <v>210</v>
      </c>
      <c r="C8" s="111" t="s">
        <v>211</v>
      </c>
      <c r="D8" s="111">
        <f t="shared" ref="D8:D15" si="0">ROUND($D$3*E8/$E$3,2)</f>
        <v>52165.59</v>
      </c>
      <c r="E8" s="116">
        <f>SUMIF('数据-基础表'!BB10:BK10,"地上",'数据-基础表'!BB5:BK5)</f>
        <v>383177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64863.909999999989</v>
      </c>
      <c r="E16" s="120">
        <f>SUM(E8:E15)</f>
        <v>476451.2</v>
      </c>
      <c r="F16" s="1976"/>
      <c r="G16" s="1978"/>
      <c r="H16" s="961" t="s">
        <v>219</v>
      </c>
      <c r="I16" s="962"/>
      <c r="J16" s="1976"/>
      <c r="K16" s="3633" t="s">
        <v>2570</v>
      </c>
      <c r="L16" s="3634"/>
      <c r="M16" s="3634"/>
      <c r="N16" s="3634"/>
      <c r="O16" s="3634"/>
      <c r="P16" s="3635"/>
    </row>
    <row r="17" spans="1:19" ht="15">
      <c r="A17" s="121" t="s">
        <v>216</v>
      </c>
      <c r="B17" s="122" t="s">
        <v>217</v>
      </c>
      <c r="C17" s="2290" t="s">
        <v>2314</v>
      </c>
      <c r="D17" s="108" t="s">
        <v>204</v>
      </c>
      <c r="E17" s="124" t="s">
        <v>205</v>
      </c>
      <c r="F17" s="125"/>
      <c r="G17" s="1358"/>
      <c r="H17" s="963" t="s">
        <v>218</v>
      </c>
      <c r="I17" s="964" t="s">
        <v>2313</v>
      </c>
      <c r="J17" s="1976"/>
      <c r="K17" s="3636" t="s">
        <v>2571</v>
      </c>
      <c r="L17" s="3637"/>
      <c r="M17" s="3638"/>
      <c r="N17" s="3636" t="s">
        <v>2572</v>
      </c>
      <c r="O17" s="3637"/>
      <c r="P17" s="3638"/>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0" t="s">
        <v>3206</v>
      </c>
      <c r="D19" s="111">
        <f t="shared" ref="D19:D26" si="1">ROUND($D$3*E19/$E$3,2)</f>
        <v>13524.11</v>
      </c>
      <c r="E19" s="134">
        <f t="shared" ref="E19:E26" si="2">SUM(F19:G19)</f>
        <v>99340</v>
      </c>
      <c r="F19" s="135">
        <f>'数据-基础表'!I5</f>
        <v>99340</v>
      </c>
      <c r="G19" s="1360"/>
      <c r="H19" s="967">
        <f>ROUND($D$3*I19/$E$3,2)</f>
        <v>934.83</v>
      </c>
      <c r="I19" s="116">
        <f>IF($I$17="自定义",P19,M19)</f>
        <v>6866.69</v>
      </c>
      <c r="J19" s="1976"/>
      <c r="K19" s="2624">
        <f t="shared" ref="K19:K26" si="3">ROUND(E$28*E19/E$27,2)</f>
        <v>6866.69</v>
      </c>
      <c r="L19" s="273">
        <f t="shared" ref="L19:L26" si="4">ROUND(IF(COUNTIF(C19,"*住宅*")&gt;0,E$29*E19/E$32,0),2)</f>
        <v>0</v>
      </c>
      <c r="M19" s="2625">
        <f>K19+L19</f>
        <v>6866.69</v>
      </c>
      <c r="N19" s="2626"/>
      <c r="O19" s="2627"/>
      <c r="P19" s="2628">
        <f>N19+O19</f>
        <v>0</v>
      </c>
      <c r="R19" s="273">
        <f t="shared" ref="R19:S26" si="5">D19+H19</f>
        <v>14458.94</v>
      </c>
      <c r="S19" s="2293">
        <f t="shared" si="5"/>
        <v>106206.69</v>
      </c>
    </row>
    <row r="20" spans="1:19">
      <c r="A20" s="138"/>
      <c r="B20" s="115" t="s">
        <v>226</v>
      </c>
      <c r="C20" s="3040" t="s">
        <v>3207</v>
      </c>
      <c r="D20" s="111">
        <f t="shared" si="1"/>
        <v>24562.18</v>
      </c>
      <c r="E20" s="134">
        <f t="shared" si="2"/>
        <v>180419</v>
      </c>
      <c r="F20" s="135">
        <f>'数据-基础表'!K5</f>
        <v>180419</v>
      </c>
      <c r="G20" s="1360"/>
      <c r="H20" s="967">
        <f t="shared" ref="H20:H26" si="6">ROUND($D$3*I20/$E$3,2)</f>
        <v>1697.82</v>
      </c>
      <c r="I20" s="116">
        <f t="shared" ref="I20:I26" si="7">IF($I$17="自定义",P20,M20)</f>
        <v>12471.13</v>
      </c>
      <c r="J20" s="1976"/>
      <c r="K20" s="2624">
        <f t="shared" si="3"/>
        <v>12471.13</v>
      </c>
      <c r="L20" s="273">
        <f t="shared" si="4"/>
        <v>0</v>
      </c>
      <c r="M20" s="2625">
        <f t="shared" ref="M20:M26" si="8">K20+L20</f>
        <v>12471.13</v>
      </c>
      <c r="N20" s="2626"/>
      <c r="O20" s="2627"/>
      <c r="P20" s="2628">
        <f t="shared" ref="P20:P26" si="9">N20+O20</f>
        <v>0</v>
      </c>
      <c r="R20" s="273">
        <f t="shared" si="5"/>
        <v>26260</v>
      </c>
      <c r="S20" s="2293">
        <f t="shared" si="5"/>
        <v>192890.13</v>
      </c>
    </row>
    <row r="21" spans="1:19">
      <c r="A21" s="138"/>
      <c r="B21" s="115" t="s">
        <v>226</v>
      </c>
      <c r="C21" s="3040" t="s">
        <v>3208</v>
      </c>
      <c r="D21" s="111">
        <f t="shared" si="1"/>
        <v>548.51</v>
      </c>
      <c r="E21" s="134">
        <f t="shared" si="2"/>
        <v>4029</v>
      </c>
      <c r="F21" s="135">
        <f>'数据-基础表'!S5</f>
        <v>4029</v>
      </c>
      <c r="G21" s="1360"/>
      <c r="H21" s="967">
        <f t="shared" si="6"/>
        <v>37.909999999999997</v>
      </c>
      <c r="I21" s="116">
        <f t="shared" si="7"/>
        <v>278.5</v>
      </c>
      <c r="J21" s="1976"/>
      <c r="K21" s="2624">
        <f t="shared" si="3"/>
        <v>278.5</v>
      </c>
      <c r="L21" s="273">
        <f t="shared" si="4"/>
        <v>0</v>
      </c>
      <c r="M21" s="2625">
        <f t="shared" si="8"/>
        <v>278.5</v>
      </c>
      <c r="N21" s="2626"/>
      <c r="O21" s="2627"/>
      <c r="P21" s="2628">
        <f t="shared" si="9"/>
        <v>0</v>
      </c>
      <c r="R21" s="273">
        <f t="shared" si="5"/>
        <v>586.41999999999996</v>
      </c>
      <c r="S21" s="2293">
        <f t="shared" si="5"/>
        <v>4307.5</v>
      </c>
    </row>
    <row r="22" spans="1:19">
      <c r="A22" s="138"/>
      <c r="B22" s="115" t="s">
        <v>226</v>
      </c>
      <c r="C22" s="3465" t="s">
        <v>3209</v>
      </c>
      <c r="D22" s="111">
        <f t="shared" si="1"/>
        <v>1980.02</v>
      </c>
      <c r="E22" s="134">
        <f t="shared" si="2"/>
        <v>14544</v>
      </c>
      <c r="F22" s="140"/>
      <c r="G22" s="1361">
        <f>'数据-基础表'!M5</f>
        <v>14544</v>
      </c>
      <c r="H22" s="967">
        <f t="shared" si="6"/>
        <v>136.87</v>
      </c>
      <c r="I22" s="116">
        <f t="shared" si="7"/>
        <v>1005.33</v>
      </c>
      <c r="J22" s="1976"/>
      <c r="K22" s="2624">
        <f t="shared" si="3"/>
        <v>1005.33</v>
      </c>
      <c r="L22" s="273">
        <f t="shared" si="4"/>
        <v>0</v>
      </c>
      <c r="M22" s="2625">
        <f t="shared" si="8"/>
        <v>1005.33</v>
      </c>
      <c r="N22" s="2626"/>
      <c r="O22" s="2627"/>
      <c r="P22" s="2628">
        <f t="shared" si="9"/>
        <v>0</v>
      </c>
      <c r="R22" s="273">
        <f t="shared" si="5"/>
        <v>2116.89</v>
      </c>
      <c r="S22" s="2293">
        <f t="shared" si="5"/>
        <v>15549.33</v>
      </c>
    </row>
    <row r="23" spans="1:19">
      <c r="A23" s="138"/>
      <c r="B23" s="115" t="s">
        <v>226</v>
      </c>
      <c r="C23" s="3465" t="s">
        <v>3210</v>
      </c>
      <c r="D23" s="111">
        <f>ROUND($D$3*E23/$E$3,2)</f>
        <v>10718.3</v>
      </c>
      <c r="E23" s="134">
        <f>SUM(F23:G23)</f>
        <v>78730.2</v>
      </c>
      <c r="F23" s="140"/>
      <c r="G23" s="1361">
        <f>'数据-基础表'!O5</f>
        <v>78730.2</v>
      </c>
      <c r="H23" s="967">
        <f>ROUND($D$3*I23/$E$3,2)</f>
        <v>740.88</v>
      </c>
      <c r="I23" s="116">
        <f t="shared" si="7"/>
        <v>5442.08</v>
      </c>
      <c r="J23" s="1976"/>
      <c r="K23" s="2624">
        <f t="shared" si="3"/>
        <v>5442.08</v>
      </c>
      <c r="L23" s="273">
        <f t="shared" si="4"/>
        <v>0</v>
      </c>
      <c r="M23" s="2625">
        <f t="shared" si="8"/>
        <v>5442.08</v>
      </c>
      <c r="N23" s="2626"/>
      <c r="O23" s="2627"/>
      <c r="P23" s="2628">
        <f t="shared" si="9"/>
        <v>0</v>
      </c>
      <c r="R23" s="273">
        <f t="shared" si="5"/>
        <v>11459.179999999998</v>
      </c>
      <c r="S23" s="2293">
        <f t="shared" si="5"/>
        <v>84172.28</v>
      </c>
    </row>
    <row r="24" spans="1:19">
      <c r="A24" s="138"/>
      <c r="B24" s="115" t="s">
        <v>226</v>
      </c>
      <c r="C24" s="3465" t="s">
        <v>3346</v>
      </c>
      <c r="D24" s="111">
        <f>ROUND($D$3*E24/$E$3,2)</f>
        <v>13530.78</v>
      </c>
      <c r="E24" s="134">
        <f>SUM(F24:G24)</f>
        <v>99389</v>
      </c>
      <c r="F24" s="140">
        <f>'数据-基础表'!Q5</f>
        <v>99389</v>
      </c>
      <c r="G24" s="1361"/>
      <c r="H24" s="967">
        <f>ROUND($D$3*I24/$E$3,2)</f>
        <v>935.29</v>
      </c>
      <c r="I24" s="116">
        <f t="shared" si="7"/>
        <v>6870.08</v>
      </c>
      <c r="J24" s="1976"/>
      <c r="K24" s="2624">
        <f t="shared" si="3"/>
        <v>6870.08</v>
      </c>
      <c r="L24" s="273">
        <f t="shared" si="4"/>
        <v>0</v>
      </c>
      <c r="M24" s="2625">
        <f t="shared" si="8"/>
        <v>6870.08</v>
      </c>
      <c r="N24" s="2626"/>
      <c r="O24" s="2627"/>
      <c r="P24" s="2628">
        <f t="shared" si="9"/>
        <v>0</v>
      </c>
      <c r="R24" s="273">
        <f t="shared" si="5"/>
        <v>14466.07</v>
      </c>
      <c r="S24" s="2293">
        <f t="shared" si="5"/>
        <v>106259.08</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15.75" thickBot="1">
      <c r="A27" s="138"/>
      <c r="B27" s="111"/>
      <c r="C27" s="127" t="s">
        <v>215</v>
      </c>
      <c r="D27" s="134">
        <f>SUM(D19:D26)</f>
        <v>64863.899999999994</v>
      </c>
      <c r="E27" s="143">
        <f>IF(SUM(E19:E26)='数据-基础表'!BA5,SUM(E19:E26),IF(F27="地上面积有误","面积有误","地下面积有误"))</f>
        <v>476451.2</v>
      </c>
      <c r="F27" s="134">
        <f>IF(SUM(F19:F26)=E8,SUM(F19:F26),"地上面积有误")</f>
        <v>383177</v>
      </c>
      <c r="G27" s="112">
        <f>SUM(G19:G26)</f>
        <v>93274.2</v>
      </c>
      <c r="H27" s="968">
        <f>SUM(H19:H26)</f>
        <v>4483.6000000000004</v>
      </c>
      <c r="I27" s="969">
        <f>SUM(I19:I26)</f>
        <v>32933.810000000005</v>
      </c>
      <c r="J27" s="1976"/>
      <c r="K27" s="2633">
        <f>SUM(K19:K26)</f>
        <v>32933.810000000005</v>
      </c>
      <c r="L27" s="2634">
        <f>SUM(L19:L26)</f>
        <v>0</v>
      </c>
      <c r="M27" s="2635">
        <f>SUM(M19:M26)</f>
        <v>32933.810000000005</v>
      </c>
      <c r="N27" s="2633">
        <f t="shared" ref="N27:O27" si="10">SUM(N19:N26)</f>
        <v>0</v>
      </c>
      <c r="O27" s="2634">
        <f t="shared" si="10"/>
        <v>0</v>
      </c>
      <c r="P27" s="2636">
        <f>SUM(P19:P26)</f>
        <v>0</v>
      </c>
      <c r="R27" s="2297">
        <f>IF(SUM(R19:R26)=$D$3,SUM(R19:R26),SUM(R19:R26)&amp;"误差"&amp;ROUND(SUM(R19:R26)-$D$3,2))</f>
        <v>69347.5</v>
      </c>
      <c r="S27" s="273" t="str">
        <f>IF(SUM(S19:S26)=$E$3,SUM(S19:S26),SUM(S19:S26)&amp;"误差"&amp;ROUND(SUM(S19:S26)-E3,2))</f>
        <v>509385.01误差0.01</v>
      </c>
    </row>
    <row r="28" spans="1:19">
      <c r="A28" s="138"/>
      <c r="B28" s="115" t="s">
        <v>227</v>
      </c>
      <c r="C28" s="136" t="s">
        <v>228</v>
      </c>
      <c r="D28" s="111">
        <f>ROUND($D$3*E28/$E$3,2)</f>
        <v>4483.6000000000004</v>
      </c>
      <c r="E28" s="134">
        <f>SUM(F28:G28)</f>
        <v>32933.800000000003</v>
      </c>
      <c r="F28" s="144">
        <f>'数据-基础表'!BQ5+'数据-基础表'!BS5</f>
        <v>10911</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4483.6000000000004</v>
      </c>
      <c r="E30" s="134">
        <f>SUM(E28:E29)</f>
        <v>32933.800000000003</v>
      </c>
      <c r="F30" s="134">
        <f>SUM(F28:F29)</f>
        <v>10911</v>
      </c>
      <c r="G30" s="112">
        <f>SUM(G28:G29)</f>
        <v>22022.800000000003</v>
      </c>
      <c r="H30" s="1976"/>
      <c r="I30" s="1976"/>
      <c r="J30" s="1976"/>
      <c r="K30" s="1976"/>
      <c r="L30" s="1976"/>
    </row>
    <row r="31" spans="1:19" ht="32.25" customHeight="1" thickBot="1">
      <c r="A31" s="1362"/>
      <c r="B31" s="1363" t="s">
        <v>229</v>
      </c>
      <c r="C31" s="2322" t="s">
        <v>2323</v>
      </c>
      <c r="D31" s="1364">
        <f>D27+D30</f>
        <v>69347.5</v>
      </c>
      <c r="E31" s="1364">
        <f>E27+E30</f>
        <v>509385</v>
      </c>
      <c r="F31" s="1365">
        <f>F27+F30</f>
        <v>394088</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40.5">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1">
        <v>0.05</v>
      </c>
      <c r="I6" s="3041">
        <v>5.5E-2</v>
      </c>
      <c r="J6" s="176">
        <v>8.5000000000000006E-2</v>
      </c>
      <c r="K6" s="179">
        <f>SUMIF('数据-汇总表'!C$19:C$33,'数据-取费表'!A6,'数据-汇总表'!E$19:E$33)</f>
        <v>99340</v>
      </c>
      <c r="L6" s="3042">
        <v>3000</v>
      </c>
      <c r="M6" s="177">
        <f t="shared" ref="M6:M14" si="0">ROUND(K6*L6/10000,0)</f>
        <v>29802</v>
      </c>
      <c r="N6" s="3043">
        <v>0</v>
      </c>
      <c r="O6" s="177">
        <f>IF($N$5="成新度","——",ROUND(M6*N6,0))</f>
        <v>0</v>
      </c>
      <c r="P6" s="178">
        <f>IF($N$5="成新度","——",M6-O6)</f>
        <v>29802</v>
      </c>
      <c r="Q6" s="3550">
        <v>0.25</v>
      </c>
      <c r="R6" s="179">
        <f>SUMIF('数据-汇总表'!C$19:C$33,A6,'数据-汇总表'!R$19:R$33)</f>
        <v>14458.94</v>
      </c>
      <c r="S6" s="132">
        <f>IF('数据-汇总表'!$I$17="按面积比例",SUMIF('数据-汇总表'!C$19:C$33,A6,'数据-汇总表'!K$19:K$33),SUMIF('数据-汇总表'!C$19:C$33,A6,'数据-汇总表'!N$19:N$33))</f>
        <v>6866.69</v>
      </c>
      <c r="T6" s="2226">
        <f>IF($T$4="按面积比例",IF(ISERROR(ROUND($M$14*S6/S$16,0)),"0",ROUND($M$14*S6/S$16,0)),"需自行计算录入")</f>
        <v>1511</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4">
        <v>0.02</v>
      </c>
      <c r="AN6" s="2408" t="s">
        <v>3314</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1">
        <v>0.05</v>
      </c>
      <c r="I7" s="3041">
        <v>5.5E-2</v>
      </c>
      <c r="J7" s="176">
        <v>8.5000000000000006E-2</v>
      </c>
      <c r="K7" s="179">
        <f>SUMIF('数据-汇总表'!C$19:C$33,'数据-取费表'!A7,'数据-汇总表'!E$19:E$33)</f>
        <v>180419</v>
      </c>
      <c r="L7" s="3042">
        <v>3200</v>
      </c>
      <c r="M7" s="177">
        <f t="shared" si="0"/>
        <v>57734</v>
      </c>
      <c r="N7" s="3043">
        <v>0</v>
      </c>
      <c r="O7" s="177">
        <f t="shared" ref="O7:O14" si="3">IF($N$5="成新度","——",ROUND(M7*N7,0))</f>
        <v>0</v>
      </c>
      <c r="P7" s="178">
        <f t="shared" ref="P7:P14" si="4">IF($N$5="成新度","——",M7-O7)</f>
        <v>57734</v>
      </c>
      <c r="Q7" s="3550">
        <v>0.2</v>
      </c>
      <c r="R7" s="179">
        <f>SUMIF('数据-汇总表'!C$19:C$33,A7,'数据-汇总表'!R$19:R$33)</f>
        <v>26260</v>
      </c>
      <c r="S7" s="132">
        <f>IF('数据-汇总表'!$I$17="按面积比例",SUMIF('数据-汇总表'!C$19:C$33,A7,'数据-汇总表'!K$19:K$33),SUMIF('数据-汇总表'!C$19:C$33,A7,'数据-汇总表'!N$19:N$33))</f>
        <v>12471.13</v>
      </c>
      <c r="T7" s="2226">
        <f t="shared" ref="T7:T13" si="5">IF($T$4="按面积比例",IF(ISERROR(ROUND($M$14*S7/S$16,0)),"0",ROUND($M$14*S7/S$16,0)),"需自行计算录入")</f>
        <v>2743</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3315</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1">
        <v>0.05</v>
      </c>
      <c r="I8" s="3041">
        <v>5.5E-2</v>
      </c>
      <c r="J8" s="176">
        <v>8.5000000000000006E-2</v>
      </c>
      <c r="K8" s="179">
        <f>SUMIF('数据-汇总表'!C$19:C$33,'数据-取费表'!A8,'数据-汇总表'!E$19:E$33)</f>
        <v>4029</v>
      </c>
      <c r="L8" s="3042">
        <v>3000</v>
      </c>
      <c r="M8" s="177">
        <f>ROUND(K8*L8/10000,0)</f>
        <v>1209</v>
      </c>
      <c r="N8" s="3043">
        <v>0</v>
      </c>
      <c r="O8" s="177">
        <f t="shared" si="3"/>
        <v>0</v>
      </c>
      <c r="P8" s="178">
        <f t="shared" si="4"/>
        <v>1209</v>
      </c>
      <c r="Q8" s="3550">
        <v>0.2</v>
      </c>
      <c r="R8" s="179">
        <f>SUMIF('数据-汇总表'!C$19:C$33,A8,'数据-汇总表'!R$19:R$33)</f>
        <v>586.41999999999996</v>
      </c>
      <c r="S8" s="132">
        <f>IF('数据-汇总表'!$I$17="按面积比例",SUMIF('数据-汇总表'!C$19:C$33,A8,'数据-汇总表'!K$19:K$33),SUMIF('数据-汇总表'!C$19:C$33,A8,'数据-汇总表'!N$19:N$33))</f>
        <v>278.5</v>
      </c>
      <c r="T8" s="2226">
        <f t="shared" si="5"/>
        <v>61</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2116.89</v>
      </c>
      <c r="S9" s="132">
        <f>IF('数据-汇总表'!$I$17="按面积比例",SUMIF('数据-汇总表'!C$19:C$33,A9,'数据-汇总表'!K$19:K$33),SUMIF('数据-汇总表'!C$19:C$33,A9,'数据-汇总表'!N$19:N$33))</f>
        <v>1005.33</v>
      </c>
      <c r="T9" s="2226">
        <f t="shared" si="5"/>
        <v>221</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c r="A10" s="2294" t="str">
        <f>'数据-汇总表'!C23</f>
        <v>地下车库</v>
      </c>
      <c r="B10" s="2329" t="str">
        <f t="shared" si="1"/>
        <v>经营性</v>
      </c>
      <c r="C10" s="173" t="s">
        <v>3204</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11459.179999999998</v>
      </c>
      <c r="S10" s="132">
        <f>IF('数据-汇总表'!$I$17="按面积比例",SUMIF('数据-汇总表'!C$19:C$33,A10,'数据-汇总表'!K$19:K$33),SUMIF('数据-汇总表'!C$19:C$33,A10,'数据-汇总表'!N$19:N$33))</f>
        <v>5442.08</v>
      </c>
      <c r="T10" s="2226">
        <f t="shared" si="5"/>
        <v>1197</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3300</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99389</v>
      </c>
      <c r="L11" s="193">
        <v>3800</v>
      </c>
      <c r="M11" s="177">
        <f t="shared" si="0"/>
        <v>37768</v>
      </c>
      <c r="N11" s="194">
        <v>0</v>
      </c>
      <c r="O11" s="177">
        <f t="shared" si="3"/>
        <v>0</v>
      </c>
      <c r="P11" s="178">
        <f t="shared" si="4"/>
        <v>37768</v>
      </c>
      <c r="Q11" s="192">
        <v>0.2</v>
      </c>
      <c r="R11" s="179">
        <f>SUMIF('数据-汇总表'!C$19:C$33,A11,'数据-汇总表'!R$19:R$33)</f>
        <v>14466.07</v>
      </c>
      <c r="S11" s="132">
        <f>IF('数据-汇总表'!$I$17="按面积比例",SUMIF('数据-汇总表'!C$19:C$33,A11,'数据-汇总表'!K$19:K$33),SUMIF('数据-汇总表'!C$19:C$33,A11,'数据-汇总表'!N$19:N$33))</f>
        <v>6870.08</v>
      </c>
      <c r="T11" s="2226">
        <f t="shared" si="5"/>
        <v>1511</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32933.800000000003</v>
      </c>
      <c r="L14" s="193">
        <v>2200</v>
      </c>
      <c r="M14" s="177">
        <f t="shared" si="0"/>
        <v>7245</v>
      </c>
      <c r="N14" s="194">
        <v>0</v>
      </c>
      <c r="O14" s="177">
        <f t="shared" si="3"/>
        <v>0</v>
      </c>
      <c r="P14" s="178">
        <f t="shared" si="4"/>
        <v>7245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509385</v>
      </c>
      <c r="L16" s="206">
        <f>ROUND(M16*10000/SUM(K6:K14),0)</f>
        <v>3046</v>
      </c>
      <c r="M16" s="206">
        <f>SUM(M6:M14)</f>
        <v>155151</v>
      </c>
      <c r="N16" s="207">
        <f>ROUND(SUMPRODUCT(M6:M14,N6:N14)/M16,3)</f>
        <v>0</v>
      </c>
      <c r="O16" s="206">
        <f>SUM(O6:O14)</f>
        <v>0</v>
      </c>
      <c r="P16" s="206">
        <f>SUM(P6:P14)</f>
        <v>155151</v>
      </c>
      <c r="Q16" s="208">
        <f>ROUND(SUMPRODUCT(Q6:Q13,K6:K13)/SUMPRODUCT((Q6:Q13&gt;0)*(K6:K13)),2)</f>
        <v>0.19</v>
      </c>
      <c r="R16" s="2303">
        <f>SUM(R6:R13)</f>
        <v>69347.5</v>
      </c>
      <c r="S16" s="209">
        <f>SUM(S6:S13)</f>
        <v>32933.810000000005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553">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4">
        <f ca="1">'剩余法-待开发'!C22</f>
        <v>5349</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5">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551">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552">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89"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0"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0"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1" t="s">
        <v>2908</v>
      </c>
      <c r="D53" s="3092"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4" t="s">
        <v>2910</v>
      </c>
      <c r="B54" s="186"/>
      <c r="C54" s="1986">
        <v>30</v>
      </c>
      <c r="D54" s="3093"/>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4" t="s">
        <v>2911</v>
      </c>
      <c r="B55" s="186">
        <v>14</v>
      </c>
      <c r="C55" s="1986">
        <v>24</v>
      </c>
      <c r="D55" s="3093"/>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4" t="s">
        <v>2912</v>
      </c>
      <c r="B56" s="186"/>
      <c r="C56" s="1986">
        <v>18</v>
      </c>
      <c r="D56" s="3093"/>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4" t="s">
        <v>2913</v>
      </c>
      <c r="B57" s="186"/>
      <c r="C57" s="1986">
        <v>12</v>
      </c>
      <c r="D57" s="3093"/>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4" t="s">
        <v>2914</v>
      </c>
      <c r="B58" s="186"/>
      <c r="C58" s="1986">
        <v>3</v>
      </c>
      <c r="D58" s="3093"/>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4" t="s">
        <v>2915</v>
      </c>
      <c r="B59" s="186"/>
      <c r="C59" s="1986">
        <v>1.5</v>
      </c>
      <c r="D59" s="3093"/>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4"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4"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4"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5"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8" t="s">
        <v>1664</v>
      </c>
      <c r="B1" s="3649"/>
      <c r="C1" s="3649"/>
      <c r="D1" s="3649"/>
      <c r="E1" s="3649"/>
      <c r="F1" s="3649"/>
      <c r="G1" s="3649"/>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3" t="s">
        <v>3456</v>
      </c>
      <c r="D3" s="2001"/>
      <c r="E3" s="1222" t="s">
        <v>1667</v>
      </c>
      <c r="F3" s="1223" t="s">
        <v>1655</v>
      </c>
      <c r="G3" s="3097" t="s">
        <v>2924</v>
      </c>
      <c r="H3" s="2000"/>
      <c r="I3" s="2000"/>
      <c r="J3" s="2000"/>
      <c r="K3" s="2000"/>
      <c r="L3" s="2000"/>
      <c r="M3" s="2000"/>
      <c r="N3" s="2000"/>
      <c r="O3" s="2000"/>
      <c r="P3" s="2000"/>
      <c r="Q3" s="2000"/>
      <c r="R3" s="2000"/>
    </row>
    <row r="4" spans="1:18" ht="54">
      <c r="A4" s="1222"/>
      <c r="B4" s="1224" t="s">
        <v>1668</v>
      </c>
      <c r="C4" s="3514" t="s">
        <v>3455</v>
      </c>
      <c r="D4" s="2001"/>
      <c r="E4" s="1225"/>
      <c r="F4" s="1226" t="s">
        <v>1669</v>
      </c>
      <c r="G4" s="3096" t="s">
        <v>2921</v>
      </c>
      <c r="H4" s="2000"/>
      <c r="I4" s="2000"/>
      <c r="J4" s="2000"/>
      <c r="K4" s="2000"/>
      <c r="L4" s="2000"/>
      <c r="M4" s="2000"/>
      <c r="N4" s="2000"/>
      <c r="O4" s="2000"/>
      <c r="P4" s="2000"/>
      <c r="Q4" s="2000"/>
      <c r="R4" s="2000"/>
    </row>
    <row r="5" spans="1:18" ht="54">
      <c r="A5" s="1222"/>
      <c r="B5" s="1224" t="s">
        <v>1670</v>
      </c>
      <c r="C5" s="3514" t="s">
        <v>3470</v>
      </c>
      <c r="D5" s="2001"/>
      <c r="E5" s="1225"/>
      <c r="F5" s="1224" t="s">
        <v>2550</v>
      </c>
      <c r="G5" s="3096" t="s">
        <v>2922</v>
      </c>
      <c r="H5" s="2000"/>
      <c r="I5" s="2000"/>
      <c r="J5" s="2000"/>
      <c r="K5" s="2000"/>
      <c r="L5" s="2000"/>
      <c r="M5" s="2000"/>
      <c r="N5" s="2000"/>
      <c r="O5" s="2000"/>
      <c r="P5" s="2000"/>
      <c r="Q5" s="2000"/>
      <c r="R5" s="2000"/>
    </row>
    <row r="6" spans="1:18" ht="67.5">
      <c r="A6" s="1222"/>
      <c r="B6" s="1224" t="s">
        <v>1656</v>
      </c>
      <c r="C6" s="3515" t="s">
        <v>3347</v>
      </c>
      <c r="D6" s="2001"/>
      <c r="E6" s="1225"/>
      <c r="F6" s="1224" t="s">
        <v>2551</v>
      </c>
      <c r="G6" s="3096" t="s">
        <v>2920</v>
      </c>
      <c r="H6" s="2000"/>
      <c r="I6" s="2000"/>
      <c r="J6" s="2000"/>
      <c r="K6" s="2000"/>
      <c r="L6" s="2000"/>
      <c r="M6" s="2000"/>
      <c r="N6" s="2000"/>
      <c r="O6" s="2000"/>
      <c r="P6" s="2000"/>
      <c r="Q6" s="2000"/>
      <c r="R6" s="2000"/>
    </row>
    <row r="7" spans="1:18" ht="68.25" thickBot="1">
      <c r="A7" s="1222"/>
      <c r="B7" s="1224" t="s">
        <v>2550</v>
      </c>
      <c r="C7" s="3515" t="s">
        <v>3354</v>
      </c>
      <c r="D7" s="2002"/>
      <c r="E7" s="1227"/>
      <c r="F7" s="1228" t="s">
        <v>1671</v>
      </c>
      <c r="G7" s="3098" t="s">
        <v>2923</v>
      </c>
      <c r="H7" s="2000"/>
      <c r="I7" s="2000"/>
      <c r="J7" s="2000"/>
      <c r="K7" s="2000"/>
      <c r="L7" s="2000"/>
      <c r="M7" s="2000"/>
      <c r="N7" s="2000"/>
      <c r="O7" s="2000"/>
      <c r="P7" s="2000"/>
      <c r="Q7" s="2000"/>
      <c r="R7" s="2000"/>
    </row>
    <row r="8" spans="1:18" ht="27">
      <c r="A8" s="1222"/>
      <c r="B8" s="1224" t="s">
        <v>2551</v>
      </c>
      <c r="C8" s="3515" t="s">
        <v>3348</v>
      </c>
      <c r="D8" s="2002"/>
      <c r="E8" s="2002"/>
      <c r="F8" s="1545"/>
      <c r="G8" s="1545"/>
      <c r="H8" s="2000"/>
      <c r="I8" s="2000"/>
      <c r="J8" s="2000"/>
      <c r="K8" s="2000"/>
      <c r="L8" s="2000"/>
      <c r="M8" s="2000"/>
      <c r="N8" s="2000"/>
      <c r="O8" s="2000"/>
      <c r="P8" s="2000"/>
      <c r="Q8" s="2000"/>
      <c r="R8" s="2000"/>
    </row>
    <row r="9" spans="1:18" ht="67.5">
      <c r="A9" s="1222"/>
      <c r="B9" s="1224" t="s">
        <v>1657</v>
      </c>
      <c r="C9" s="3514" t="s">
        <v>3430</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6" t="s">
        <v>3431</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099"/>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099" t="s">
        <v>3296</v>
      </c>
      <c r="E23" s="2603"/>
      <c r="F23" s="1241" t="s">
        <v>1676</v>
      </c>
      <c r="G23" s="3100"/>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509385</v>
      </c>
      <c r="C1" s="3061"/>
      <c r="D1" s="3061"/>
      <c r="E1" s="3061"/>
      <c r="F1" s="3061"/>
    </row>
    <row r="2" spans="1:9" ht="16.5">
      <c r="A2" s="3060" t="s">
        <v>2849</v>
      </c>
      <c r="B2" s="3060">
        <f>SUM(C14:C23)</f>
        <v>69347.5</v>
      </c>
      <c r="C2" s="3061"/>
      <c r="D2" s="3061"/>
      <c r="E2" s="3061"/>
      <c r="F2" s="3061"/>
    </row>
    <row r="3" spans="1:9" ht="16.5">
      <c r="A3" s="3060" t="s">
        <v>2850</v>
      </c>
      <c r="B3" s="3062">
        <f>项目基本情况!D3</f>
        <v>43223</v>
      </c>
      <c r="C3" s="3061"/>
      <c r="D3" s="3061"/>
      <c r="E3" s="3061"/>
      <c r="F3" s="3061"/>
    </row>
    <row r="4" spans="1:9" ht="33">
      <c r="A4" s="3060" t="s">
        <v>2851</v>
      </c>
      <c r="B4" s="3060" t="s">
        <v>2852</v>
      </c>
      <c r="C4" s="3060" t="s">
        <v>2853</v>
      </c>
      <c r="D4" s="3060" t="s">
        <v>2854</v>
      </c>
      <c r="E4" s="3061"/>
      <c r="F4" s="3061"/>
    </row>
    <row r="5" spans="1:9" ht="16.5">
      <c r="A5" s="3060" t="s">
        <v>2855</v>
      </c>
      <c r="B5" s="3060">
        <f ca="1">SUM(D14:D23)</f>
        <v>159137</v>
      </c>
      <c r="C5" s="3060">
        <f ca="1">ROUND(B5*10000/$B$1,0)</f>
        <v>3124</v>
      </c>
      <c r="D5" s="3060">
        <f ca="1">ROUND(B5*10000/$B$2,0)</f>
        <v>22948</v>
      </c>
      <c r="E5" s="3061"/>
      <c r="F5" s="3061"/>
    </row>
    <row r="6" spans="1:9" ht="16.5">
      <c r="A6" s="3060" t="s">
        <v>2856</v>
      </c>
      <c r="B6" s="3060">
        <f>SUM(G14:G23)</f>
        <v>0</v>
      </c>
      <c r="C6" s="3060">
        <f t="shared" ref="C6:C8" si="0">ROUND(B6*10000/$B$1,0)</f>
        <v>0</v>
      </c>
      <c r="D6" s="3060">
        <f t="shared" ref="D6:D8" si="1">ROUND(B6*10000/$B$2,0)</f>
        <v>0</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509385</v>
      </c>
      <c r="C14" s="3064">
        <f>结果表!K38</f>
        <v>69347.5</v>
      </c>
      <c r="D14" s="3064">
        <f ca="1">结果表!C42</f>
        <v>159137</v>
      </c>
      <c r="E14" s="3064">
        <f ca="1">ROUND(D14*10000/B14,0)</f>
        <v>3124</v>
      </c>
      <c r="F14" s="3064">
        <f ca="1">ROUND(D14*10000/C14,0)</f>
        <v>22948</v>
      </c>
      <c r="G14" s="3064" t="str">
        <f>结果表!C44</f>
        <v>——</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32" sqref="D32"/>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3215</v>
      </c>
      <c r="E1" s="1797" t="s">
        <v>2058</v>
      </c>
      <c r="F1" s="1799" t="s">
        <v>3214</v>
      </c>
      <c r="G1" s="309"/>
      <c r="H1" s="309"/>
      <c r="I1" s="309"/>
      <c r="J1" s="2021"/>
      <c r="K1" s="2021"/>
      <c r="L1" s="2021"/>
      <c r="M1" s="2021"/>
      <c r="N1" s="2021"/>
      <c r="O1" s="2021"/>
      <c r="P1" s="2021"/>
      <c r="Q1" s="2021"/>
      <c r="R1" s="2021"/>
      <c r="S1" s="2021"/>
      <c r="T1" s="2021"/>
      <c r="U1" s="2021"/>
      <c r="V1" s="2021"/>
    </row>
    <row r="2" spans="1:22" ht="21.75" customHeight="1" thickBot="1">
      <c r="A2" s="3686" t="str">
        <f>项目基本情况!K2</f>
        <v>出让国有建设用地使用权</v>
      </c>
      <c r="B2" s="3687"/>
      <c r="C2" s="3688"/>
      <c r="D2" s="3688"/>
      <c r="E2" s="3688"/>
      <c r="F2" s="3688"/>
      <c r="G2" s="3687"/>
      <c r="H2" s="3687"/>
      <c r="I2" s="3689"/>
      <c r="J2" s="2022"/>
      <c r="K2" s="2021"/>
      <c r="L2" s="2021"/>
      <c r="M2" s="2021"/>
      <c r="N2" s="2021"/>
      <c r="O2" s="2021"/>
      <c r="P2" s="2021"/>
      <c r="Q2" s="2021"/>
      <c r="R2" s="2021"/>
      <c r="S2" s="2021"/>
      <c r="T2" s="2021"/>
      <c r="U2" s="2021"/>
      <c r="V2" s="2021"/>
    </row>
    <row r="3" spans="1:22" ht="14.25">
      <c r="A3" s="3679" t="s">
        <v>298</v>
      </c>
      <c r="B3" s="3680"/>
      <c r="C3" s="3680"/>
      <c r="D3" s="3680"/>
      <c r="E3" s="3680"/>
      <c r="F3" s="3680"/>
      <c r="G3" s="3680"/>
      <c r="H3" s="3680"/>
      <c r="I3" s="3680"/>
      <c r="J3" s="2022"/>
      <c r="K3" s="2021"/>
      <c r="L3" s="2021"/>
      <c r="M3" s="2021"/>
      <c r="N3" s="2021"/>
      <c r="O3" s="2021"/>
      <c r="P3" s="2021"/>
      <c r="Q3" s="2021"/>
      <c r="R3" s="2021"/>
      <c r="S3" s="2021"/>
      <c r="T3" s="2021"/>
      <c r="U3" s="2021"/>
      <c r="V3" s="2021"/>
    </row>
    <row r="4" spans="1:22" ht="14.25">
      <c r="A4" s="256" t="s">
        <v>299</v>
      </c>
      <c r="B4" s="257" t="s">
        <v>300</v>
      </c>
      <c r="C4" s="258" t="s">
        <v>3298</v>
      </c>
      <c r="D4" s="258" t="s">
        <v>3213</v>
      </c>
      <c r="E4" s="3651" t="s">
        <v>301</v>
      </c>
      <c r="F4" s="3652"/>
      <c r="G4" s="3652"/>
      <c r="H4" s="3652"/>
      <c r="I4" s="3681"/>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50" t="s">
        <v>302</v>
      </c>
      <c r="B5" s="3676">
        <v>25</v>
      </c>
      <c r="C5" s="3674"/>
      <c r="D5" s="3678"/>
      <c r="E5" s="259" t="s">
        <v>303</v>
      </c>
      <c r="F5" s="260"/>
      <c r="G5" s="260"/>
      <c r="H5" s="260"/>
      <c r="I5" s="261"/>
      <c r="J5" s="2022"/>
      <c r="K5" s="2021"/>
      <c r="L5" s="2021"/>
      <c r="M5" s="2021"/>
      <c r="N5" s="2021"/>
      <c r="O5" s="2021"/>
      <c r="P5" s="2021"/>
      <c r="Q5" s="2021"/>
      <c r="R5" s="2021"/>
      <c r="S5" s="2021"/>
      <c r="T5" s="2021"/>
      <c r="U5" s="2021"/>
      <c r="V5" s="2021"/>
    </row>
    <row r="6" spans="1:22" ht="14.25">
      <c r="A6" s="3650"/>
      <c r="B6" s="3676"/>
      <c r="C6" s="3677"/>
      <c r="D6" s="3678"/>
      <c r="E6" s="259" t="s">
        <v>304</v>
      </c>
      <c r="F6" s="260"/>
      <c r="G6" s="260"/>
      <c r="H6" s="260"/>
      <c r="I6" s="261"/>
      <c r="J6" s="2022"/>
      <c r="K6" s="2021"/>
      <c r="L6" s="2021"/>
      <c r="M6" s="2021"/>
      <c r="N6" s="2021"/>
      <c r="O6" s="2021"/>
      <c r="P6" s="2021"/>
      <c r="Q6" s="2021"/>
      <c r="R6" s="2021"/>
      <c r="S6" s="2021"/>
      <c r="T6" s="2021"/>
      <c r="U6" s="2021"/>
      <c r="V6" s="2021"/>
    </row>
    <row r="7" spans="1:22" ht="14.25">
      <c r="A7" s="3650"/>
      <c r="B7" s="3676"/>
      <c r="C7" s="3675"/>
      <c r="D7" s="3678"/>
      <c r="E7" s="259" t="s">
        <v>305</v>
      </c>
      <c r="F7" s="260"/>
      <c r="G7" s="260"/>
      <c r="H7" s="260"/>
      <c r="I7" s="261"/>
      <c r="J7" s="2022"/>
      <c r="K7" s="2021"/>
      <c r="L7" s="2021"/>
      <c r="M7" s="2021"/>
      <c r="N7" s="2021"/>
      <c r="O7" s="2021"/>
      <c r="P7" s="2021"/>
      <c r="Q7" s="2021"/>
      <c r="R7" s="2021"/>
      <c r="S7" s="2021"/>
      <c r="T7" s="2021"/>
      <c r="U7" s="2021"/>
      <c r="V7" s="2021"/>
    </row>
    <row r="8" spans="1:22" ht="14.25">
      <c r="A8" s="3650" t="s">
        <v>306</v>
      </c>
      <c r="B8" s="3676">
        <v>15</v>
      </c>
      <c r="C8" s="3674"/>
      <c r="D8" s="3678"/>
      <c r="E8" s="259" t="s">
        <v>307</v>
      </c>
      <c r="F8" s="260"/>
      <c r="G8" s="260"/>
      <c r="H8" s="260"/>
      <c r="I8" s="261"/>
      <c r="J8" s="2022"/>
      <c r="K8" s="2021"/>
      <c r="L8" s="2021"/>
      <c r="M8" s="2021"/>
      <c r="N8" s="2021"/>
      <c r="O8" s="2021"/>
      <c r="P8" s="2021"/>
      <c r="Q8" s="2021"/>
      <c r="R8" s="2021"/>
      <c r="S8" s="2021"/>
      <c r="T8" s="2021"/>
      <c r="U8" s="2021"/>
      <c r="V8" s="2021"/>
    </row>
    <row r="9" spans="1:22" ht="14.25">
      <c r="A9" s="3650"/>
      <c r="B9" s="3676"/>
      <c r="C9" s="3675"/>
      <c r="D9" s="3678"/>
      <c r="E9" s="259" t="s">
        <v>308</v>
      </c>
      <c r="F9" s="260"/>
      <c r="G9" s="260"/>
      <c r="H9" s="260"/>
      <c r="I9" s="261"/>
      <c r="J9" s="2022"/>
      <c r="K9" s="2021"/>
      <c r="L9" s="2021"/>
      <c r="M9" s="2021"/>
      <c r="N9" s="2021"/>
      <c r="O9" s="2021"/>
      <c r="P9" s="2021"/>
      <c r="Q9" s="2021"/>
      <c r="R9" s="2021"/>
      <c r="S9" s="2021"/>
      <c r="T9" s="2021"/>
      <c r="U9" s="2021"/>
      <c r="V9" s="2021"/>
    </row>
    <row r="10" spans="1:22" ht="14.25">
      <c r="A10" s="3650" t="s">
        <v>309</v>
      </c>
      <c r="B10" s="3676">
        <v>15</v>
      </c>
      <c r="C10" s="3674"/>
      <c r="D10" s="3678"/>
      <c r="E10" s="259" t="s">
        <v>310</v>
      </c>
      <c r="F10" s="260"/>
      <c r="G10" s="260"/>
      <c r="H10" s="260"/>
      <c r="I10" s="261"/>
      <c r="J10" s="2022"/>
      <c r="K10" s="2021"/>
      <c r="L10" s="2021"/>
      <c r="M10" s="2021"/>
      <c r="N10" s="2021"/>
      <c r="O10" s="2021"/>
      <c r="P10" s="2021"/>
      <c r="Q10" s="2021"/>
      <c r="R10" s="2021"/>
      <c r="S10" s="2021"/>
      <c r="T10" s="2021"/>
      <c r="U10" s="2021"/>
      <c r="V10" s="2021"/>
    </row>
    <row r="11" spans="1:22" ht="14.25">
      <c r="A11" s="3650"/>
      <c r="B11" s="3676"/>
      <c r="C11" s="3675"/>
      <c r="D11" s="3678"/>
      <c r="E11" s="259" t="s">
        <v>311</v>
      </c>
      <c r="F11" s="260"/>
      <c r="G11" s="260"/>
      <c r="H11" s="260"/>
      <c r="I11" s="261"/>
      <c r="J11" s="2022"/>
      <c r="K11" s="2021"/>
      <c r="L11" s="2021"/>
      <c r="M11" s="2021"/>
      <c r="N11" s="2021"/>
      <c r="O11" s="2021"/>
      <c r="P11" s="2021"/>
      <c r="Q11" s="2021"/>
      <c r="R11" s="2021"/>
      <c r="S11" s="2021"/>
      <c r="T11" s="2021"/>
      <c r="U11" s="2021"/>
      <c r="V11" s="2021"/>
    </row>
    <row r="12" spans="1:22" ht="14.25">
      <c r="A12" s="3650" t="s">
        <v>312</v>
      </c>
      <c r="B12" s="3676">
        <v>15</v>
      </c>
      <c r="C12" s="3674"/>
      <c r="D12" s="3678"/>
      <c r="E12" s="259" t="s">
        <v>313</v>
      </c>
      <c r="F12" s="260"/>
      <c r="G12" s="260"/>
      <c r="H12" s="260"/>
      <c r="I12" s="261"/>
      <c r="J12" s="2022"/>
      <c r="K12" s="2021"/>
      <c r="L12" s="2021"/>
      <c r="M12" s="2021"/>
      <c r="N12" s="2021"/>
      <c r="O12" s="2021"/>
      <c r="P12" s="2021"/>
      <c r="Q12" s="2021"/>
      <c r="R12" s="2021"/>
      <c r="S12" s="2021"/>
      <c r="T12" s="2021"/>
      <c r="U12" s="2021"/>
      <c r="V12" s="2021"/>
    </row>
    <row r="13" spans="1:22" ht="14.25">
      <c r="A13" s="3650"/>
      <c r="B13" s="3676"/>
      <c r="C13" s="3675"/>
      <c r="D13" s="3678"/>
      <c r="E13" s="259" t="s">
        <v>314</v>
      </c>
      <c r="F13" s="260"/>
      <c r="G13" s="260"/>
      <c r="H13" s="260"/>
      <c r="I13" s="261"/>
      <c r="J13" s="2022"/>
      <c r="K13" s="2021"/>
      <c r="L13" s="2021"/>
      <c r="M13" s="2021"/>
      <c r="N13" s="2021"/>
      <c r="O13" s="2021"/>
      <c r="P13" s="2021"/>
      <c r="Q13" s="2021"/>
      <c r="R13" s="2021"/>
      <c r="S13" s="2021"/>
      <c r="T13" s="2021"/>
      <c r="U13" s="2021"/>
      <c r="V13" s="2021"/>
    </row>
    <row r="14" spans="1:22" ht="14.25">
      <c r="A14" s="3650" t="s">
        <v>315</v>
      </c>
      <c r="B14" s="3676">
        <v>30</v>
      </c>
      <c r="C14" s="3674">
        <v>6</v>
      </c>
      <c r="D14" s="3678">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650"/>
      <c r="B15" s="3676"/>
      <c r="C15" s="3677"/>
      <c r="D15" s="3678"/>
      <c r="E15" s="259" t="s">
        <v>317</v>
      </c>
      <c r="F15" s="260"/>
      <c r="G15" s="260"/>
      <c r="H15" s="260"/>
      <c r="I15" s="261"/>
      <c r="J15" s="2022"/>
      <c r="K15" s="2021"/>
      <c r="L15" s="2021"/>
      <c r="M15" s="2021"/>
      <c r="N15" s="2021"/>
      <c r="O15" s="2021"/>
      <c r="P15" s="2021"/>
      <c r="Q15" s="2021"/>
      <c r="R15" s="2021"/>
      <c r="S15" s="2021"/>
      <c r="T15" s="2021"/>
      <c r="U15" s="2021"/>
      <c r="V15" s="2021"/>
    </row>
    <row r="16" spans="1:22" ht="14.25">
      <c r="A16" s="3650"/>
      <c r="B16" s="3676"/>
      <c r="C16" s="3675"/>
      <c r="D16" s="3678"/>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87403</v>
      </c>
      <c r="D19" s="269">
        <f ca="1">SUMIF(INDIRECT("'"&amp;D4&amp;"'"&amp;"!A:A"),结果表!B19,INDIRECT("'"&amp;D4&amp;"'"&amp;"!B:B"))</f>
        <v>266739</v>
      </c>
      <c r="E19" s="266" t="s">
        <v>323</v>
      </c>
      <c r="F19" s="267" t="s">
        <v>322</v>
      </c>
      <c r="G19" s="270">
        <f ca="1">ROUND(C19*$C$18+D19*$D$18,0)</f>
        <v>159137</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1716</v>
      </c>
      <c r="D20" s="275">
        <f ca="1">SUMIF(INDIRECT("'"&amp;D4&amp;"'"&amp;"!A:A"),结果表!B20,INDIRECT("'"&amp;D4&amp;"'"&amp;"!B:B"))</f>
        <v>5236</v>
      </c>
      <c r="E20" s="272"/>
      <c r="F20" s="273" t="s">
        <v>325</v>
      </c>
      <c r="G20" s="276">
        <f ca="1">ROUND(C20*$C$18+D20*$D$18,0)</f>
        <v>3124</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12604</v>
      </c>
      <c r="D21" s="151">
        <f ca="1">SUMIF(INDIRECT("'"&amp;D4&amp;"'"&amp;"!A:A"),结果表!B21,INDIRECT("'"&amp;D4&amp;"'"&amp;"!B:B"))</f>
        <v>38464</v>
      </c>
      <c r="E21" s="272"/>
      <c r="F21" s="278" t="s">
        <v>327</v>
      </c>
      <c r="G21" s="280">
        <f ca="1">ROUND(C21*$C$18+D21*$D$18,0)</f>
        <v>22948</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2.0518288845920623</v>
      </c>
      <c r="E22" s="282"/>
      <c r="F22" s="283"/>
      <c r="G22" s="284">
        <f ca="1">ROUND(G19/('数据-汇总表'!D3/666.67),0)</f>
        <v>1530</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56"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657"/>
      <c r="B25" s="1314" t="s">
        <v>331</v>
      </c>
      <c r="C25" s="288">
        <f>IF(B30=0,0,C30)</f>
        <v>0</v>
      </c>
      <c r="D25" s="289"/>
      <c r="E25" s="309"/>
      <c r="F25" s="309"/>
      <c r="G25" s="309"/>
      <c r="H25" s="309"/>
      <c r="I25" s="309"/>
      <c r="J25" s="2021"/>
      <c r="K25" s="1248" t="str">
        <f ca="1">项目基本情况!B16&amp;"国有建设用地使用权价格："&amp;O38&amp;"万元"</f>
        <v>出让国有建设用地使用权价格：159137万元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大写金额：人民币壹拾伍亿玖仟壹佰叁拾柒万元整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4038.1082397840078</v>
      </c>
      <c r="E27" s="309"/>
      <c r="F27" s="309"/>
      <c r="G27" s="309"/>
      <c r="H27" s="309"/>
      <c r="I27" s="309"/>
      <c r="J27" s="2021"/>
      <c r="K27" s="1251" t="str">
        <f ca="1">"单位面积地价："&amp;M38&amp;"元/平方米"</f>
        <v>单位面积地价：22948元/平方米</v>
      </c>
      <c r="L27" s="1245"/>
      <c r="M27" s="1245"/>
      <c r="N27" s="1245"/>
      <c r="O27" s="1244"/>
      <c r="P27" s="2021"/>
      <c r="Q27" s="2021"/>
      <c r="R27" s="2021"/>
      <c r="S27" s="2021"/>
      <c r="T27" s="2021"/>
      <c r="U27" s="2021"/>
      <c r="V27" s="2021"/>
    </row>
    <row r="28" spans="1:26" ht="18.75" customHeight="1">
      <c r="A28" s="291"/>
      <c r="B28" s="292">
        <f>156000/'数据-汇总表'!D3*10000</f>
        <v>22495.403583402429</v>
      </c>
      <c r="C28" s="292"/>
      <c r="D28" s="293"/>
      <c r="E28" s="309"/>
      <c r="F28" s="309"/>
      <c r="G28" s="309"/>
      <c r="H28" s="309"/>
      <c r="I28" s="309"/>
      <c r="J28" s="2021"/>
      <c r="K28" s="1251" t="str">
        <f ca="1">"楼面地价："&amp;N38&amp;"元/平方米"</f>
        <v>楼面地价：3124元/平方米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8" t="s">
        <v>336</v>
      </c>
      <c r="B30" s="307"/>
      <c r="C30" s="307"/>
      <c r="D30" s="308"/>
      <c r="E30" s="3149"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159137</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3124</v>
      </c>
      <c r="D33" s="1377" t="s">
        <v>1690</v>
      </c>
      <c r="E33" s="3656"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22948</v>
      </c>
      <c r="D34" s="1379" t="s">
        <v>1690</v>
      </c>
      <c r="E34" s="3697"/>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1530</v>
      </c>
      <c r="D35" s="1382" t="s">
        <v>1692</v>
      </c>
      <c r="E35" s="3698"/>
      <c r="F35" s="299" t="s">
        <v>342</v>
      </c>
      <c r="G35" s="975"/>
      <c r="H35" s="974" t="s">
        <v>343</v>
      </c>
      <c r="I35" s="309"/>
      <c r="J35" s="2021"/>
      <c r="K35" s="3671" t="s">
        <v>350</v>
      </c>
      <c r="L35" s="3671" t="s">
        <v>351</v>
      </c>
      <c r="M35" s="1257" t="s">
        <v>352</v>
      </c>
      <c r="N35" s="3671" t="s">
        <v>353</v>
      </c>
      <c r="O35" s="3671" t="s">
        <v>354</v>
      </c>
      <c r="P35" s="2021"/>
      <c r="V35" s="2021"/>
    </row>
    <row r="36" spans="1:26" ht="16.5" customHeight="1">
      <c r="A36" s="301" t="s">
        <v>344</v>
      </c>
      <c r="B36" s="302" t="s">
        <v>333</v>
      </c>
      <c r="C36" s="303" t="s">
        <v>345</v>
      </c>
      <c r="D36" s="303" t="s">
        <v>346</v>
      </c>
      <c r="E36" s="304" t="s">
        <v>347</v>
      </c>
      <c r="F36" s="309"/>
      <c r="G36" s="309"/>
      <c r="H36" s="309"/>
      <c r="I36" s="309"/>
      <c r="J36" s="2023"/>
      <c r="K36" s="3672"/>
      <c r="L36" s="3672"/>
      <c r="M36" s="1259" t="s">
        <v>355</v>
      </c>
      <c r="N36" s="3672"/>
      <c r="O36" s="3672"/>
      <c r="P36" s="2021"/>
      <c r="V36" s="2021"/>
    </row>
    <row r="37" spans="1:26" ht="16.5" customHeight="1" thickBot="1">
      <c r="A37" s="1253" t="s">
        <v>348</v>
      </c>
      <c r="B37" s="305"/>
      <c r="C37" s="292"/>
      <c r="D37" s="292"/>
      <c r="E37" s="293"/>
      <c r="F37" s="309"/>
      <c r="G37" s="309"/>
      <c r="H37" s="309"/>
      <c r="I37" s="309"/>
      <c r="J37" s="2023"/>
      <c r="K37" s="3673"/>
      <c r="L37" s="3673"/>
      <c r="M37" s="1260"/>
      <c r="N37" s="3673"/>
      <c r="O37" s="3673"/>
      <c r="P37" s="2021"/>
      <c r="V37" s="2021"/>
    </row>
    <row r="38" spans="1:26" ht="16.5" customHeight="1" thickBot="1">
      <c r="A38" s="1253" t="s">
        <v>349</v>
      </c>
      <c r="B38" s="305"/>
      <c r="C38" s="292"/>
      <c r="D38" s="292"/>
      <c r="E38" s="293"/>
      <c r="F38" s="309"/>
      <c r="G38" s="309"/>
      <c r="H38" s="309"/>
      <c r="I38" s="309"/>
      <c r="J38" s="2023"/>
      <c r="K38" s="1261">
        <f>'数据-汇总表'!D3</f>
        <v>69347.5</v>
      </c>
      <c r="L38" s="1262">
        <f>'数据-汇总表'!E3</f>
        <v>509385</v>
      </c>
      <c r="M38" s="1262">
        <f ca="1">C34</f>
        <v>22948</v>
      </c>
      <c r="N38" s="1262">
        <f ca="1">C33</f>
        <v>3124</v>
      </c>
      <c r="O38" s="1263">
        <f ca="1">C32</f>
        <v>159137</v>
      </c>
      <c r="P38" s="2021"/>
      <c r="V38" s="2021"/>
    </row>
    <row r="39" spans="1:26" ht="16.5" customHeight="1" thickBot="1">
      <c r="A39" s="1258"/>
      <c r="B39" s="306"/>
      <c r="C39" s="307"/>
      <c r="D39" s="307"/>
      <c r="E39" s="308"/>
      <c r="F39" s="309"/>
      <c r="G39" s="309"/>
      <c r="H39" s="309"/>
      <c r="I39" s="309"/>
      <c r="J39" s="2023"/>
      <c r="K39" s="3716" t="str">
        <f>MID(A44,3,LEN(A44)-2)</f>
        <v/>
      </c>
      <c r="L39" s="3717"/>
      <c r="M39" s="3717"/>
      <c r="N39" s="3718"/>
      <c r="O39" s="1384" t="str">
        <f>C44</f>
        <v>——</v>
      </c>
      <c r="P39" s="2021"/>
      <c r="V39" s="2021"/>
    </row>
    <row r="40" spans="1:26" ht="19.5" thickBot="1">
      <c r="A40" s="104" t="s">
        <v>873</v>
      </c>
      <c r="B40" s="309"/>
      <c r="C40" s="309"/>
      <c r="D40" s="309"/>
      <c r="E40" s="309"/>
      <c r="F40" s="309"/>
      <c r="G40" s="309"/>
      <c r="H40" s="309"/>
      <c r="I40" s="309"/>
      <c r="J40" s="2023"/>
      <c r="K40" s="3716" t="str">
        <f t="shared" ref="K40:K41" si="0">MID(A45,3,LEN(A45)-2)</f>
        <v/>
      </c>
      <c r="L40" s="3717"/>
      <c r="M40" s="3717"/>
      <c r="N40" s="3718"/>
      <c r="O40" s="1384" t="str">
        <f>C45</f>
        <v>——</v>
      </c>
      <c r="P40" s="2021"/>
      <c r="V40" s="2021"/>
    </row>
    <row r="41" spans="1:26" ht="16.5" thickBot="1">
      <c r="A41" s="310" t="s">
        <v>356</v>
      </c>
      <c r="B41" s="311"/>
      <c r="C41" s="312" t="s">
        <v>357</v>
      </c>
      <c r="D41" s="313" t="s">
        <v>358</v>
      </c>
      <c r="E41" s="313" t="s">
        <v>359</v>
      </c>
      <c r="F41" s="314" t="s">
        <v>360</v>
      </c>
      <c r="G41" s="309"/>
      <c r="H41" s="309"/>
      <c r="I41" s="309"/>
      <c r="J41" s="2023"/>
      <c r="K41" s="3716" t="str">
        <f t="shared" si="0"/>
        <v/>
      </c>
      <c r="L41" s="3717"/>
      <c r="M41" s="3717"/>
      <c r="N41" s="3718"/>
      <c r="O41" s="1384" t="str">
        <f>C46</f>
        <v>——</v>
      </c>
      <c r="P41" s="2021"/>
      <c r="V41" s="2021"/>
    </row>
    <row r="42" spans="1:26" ht="29.25">
      <c r="A42" s="3658" t="s">
        <v>2068</v>
      </c>
      <c r="B42" s="3659"/>
      <c r="C42" s="262">
        <f ca="1">C32</f>
        <v>159137</v>
      </c>
      <c r="D42" s="315">
        <f ca="1">C33</f>
        <v>3124</v>
      </c>
      <c r="E42" s="315">
        <f ca="1">C34</f>
        <v>22948</v>
      </c>
      <c r="F42" s="316">
        <f ca="1">C35</f>
        <v>1530</v>
      </c>
      <c r="G42" s="309"/>
      <c r="H42" s="309"/>
      <c r="I42" s="317"/>
      <c r="J42" s="2023"/>
      <c r="K42" s="1264" t="s">
        <v>361</v>
      </c>
      <c r="L42" s="2040" t="s">
        <v>362</v>
      </c>
      <c r="M42" s="1265" t="s">
        <v>363</v>
      </c>
      <c r="N42" s="2041" t="s">
        <v>364</v>
      </c>
      <c r="O42" s="2042" t="s">
        <v>365</v>
      </c>
      <c r="P42" s="2021"/>
      <c r="V42" s="2021"/>
    </row>
    <row r="43" spans="1:26" ht="30">
      <c r="A43" s="3669" t="s">
        <v>2734</v>
      </c>
      <c r="B43" s="3670"/>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87403</v>
      </c>
      <c r="M43" s="1268">
        <f>C18</f>
        <v>0.6</v>
      </c>
      <c r="N43" s="1269">
        <f ca="1">IF(N42="测算结果/万元",G19,G20)</f>
        <v>159137</v>
      </c>
      <c r="O43" s="1270">
        <f ca="1">IF(O42="最终结果/万元",C32,C33)</f>
        <v>159137</v>
      </c>
      <c r="P43" s="2021"/>
      <c r="V43" s="2021"/>
    </row>
    <row r="44" spans="1:26" ht="30.75" thickBot="1">
      <c r="A44" s="3658" t="str">
        <f>IF(OR(项目基本情况!E8="抵押价格",项目基本情况!E8="已注销及未注销"),"3.抵押价格","——")</f>
        <v>——</v>
      </c>
      <c r="B44" s="3659"/>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266739</v>
      </c>
      <c r="M44" s="1273">
        <f>D18</f>
        <v>0.4</v>
      </c>
      <c r="N44" s="1274"/>
      <c r="O44" s="1275"/>
      <c r="P44" s="2021"/>
      <c r="V44" s="2021"/>
    </row>
    <row r="45" spans="1:26" ht="15">
      <c r="A45" s="3664" t="str">
        <f>IF(项目基本情况!E8="已注销及未注销","4.抵押担保权已注销时的抵押价格",IF(项目基本情况!E8="已注销","3.抵押担保权已注销时的抵押价格","——"))</f>
        <v>——</v>
      </c>
      <c r="B45" s="3665"/>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660" t="str">
        <f>IF(项目基本情况!E9="抵押净值",IF(A45="——","4.抵押净值","5.抵押净值"),"——")</f>
        <v>——</v>
      </c>
      <c r="B46" s="3661"/>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705" t="s">
        <v>374</v>
      </c>
      <c r="B63" s="3706"/>
      <c r="C63" s="3707"/>
      <c r="D63" s="339">
        <f ca="1">ROUND(C42*F63,0)</f>
        <v>95482</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666" t="s">
        <v>378</v>
      </c>
      <c r="B64" s="3667"/>
      <c r="C64" s="3667"/>
      <c r="D64" s="3667"/>
      <c r="E64" s="3667"/>
      <c r="F64" s="3667"/>
      <c r="G64" s="3668"/>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662" t="s">
        <v>386</v>
      </c>
      <c r="B66" s="3663"/>
      <c r="C66" s="3663"/>
      <c r="D66" s="259">
        <f ca="1">IF(H66="情况1",0,IF(H66="情况2",D70,IF(H66="情况3",D71,IF(H66="情况4",D72))))</f>
        <v>5092</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720" t="s">
        <v>385</v>
      </c>
      <c r="M66" s="3721"/>
      <c r="N66" s="2475"/>
      <c r="O66" s="2476"/>
      <c r="P66" s="2477"/>
      <c r="Q66" s="2021"/>
      <c r="R66" s="2021"/>
      <c r="S66" s="2021"/>
      <c r="T66" s="2021"/>
      <c r="U66" s="2021"/>
      <c r="V66" s="2021"/>
    </row>
    <row r="67" spans="1:22" ht="25.5" customHeight="1">
      <c r="A67" s="350" t="s">
        <v>390</v>
      </c>
      <c r="B67" s="3653" t="s">
        <v>391</v>
      </c>
      <c r="C67" s="3653"/>
      <c r="D67" s="351">
        <v>0</v>
      </c>
      <c r="E67" s="41" t="s">
        <v>392</v>
      </c>
      <c r="F67" s="62" t="s">
        <v>21</v>
      </c>
      <c r="G67" s="3708"/>
      <c r="H67" s="309"/>
      <c r="I67" s="1285"/>
      <c r="J67" s="2028"/>
      <c r="K67" s="1969">
        <v>2</v>
      </c>
      <c r="L67" s="3719" t="s">
        <v>389</v>
      </c>
      <c r="M67" s="3719"/>
      <c r="N67" s="1318">
        <f>'数据-取费表'!B2</f>
        <v>43223</v>
      </c>
      <c r="O67" s="1318"/>
      <c r="P67" s="1318"/>
      <c r="Q67" s="2021"/>
      <c r="R67" s="2021"/>
      <c r="S67" s="2021"/>
      <c r="T67" s="2021"/>
      <c r="U67" s="2021"/>
      <c r="V67" s="2021"/>
    </row>
    <row r="68" spans="1:22" ht="25.5" customHeight="1">
      <c r="A68" s="352"/>
      <c r="B68" s="3653" t="s">
        <v>394</v>
      </c>
      <c r="C68" s="3653"/>
      <c r="D68" s="353"/>
      <c r="E68" s="77"/>
      <c r="F68" s="354"/>
      <c r="G68" s="3709"/>
      <c r="H68" s="309"/>
      <c r="I68" s="1285"/>
      <c r="J68" s="2028"/>
      <c r="K68" s="1969">
        <v>3</v>
      </c>
      <c r="L68" s="3719" t="s">
        <v>393</v>
      </c>
      <c r="M68" s="3719"/>
      <c r="N68" s="1286">
        <f ca="1">C42</f>
        <v>159137</v>
      </c>
      <c r="O68" s="1286"/>
      <c r="P68" s="1286"/>
      <c r="Q68" s="2021"/>
      <c r="R68" s="2021"/>
      <c r="S68" s="2021"/>
      <c r="T68" s="2021"/>
      <c r="U68" s="2021"/>
      <c r="V68" s="2021"/>
    </row>
    <row r="69" spans="1:22" ht="12" customHeight="1">
      <c r="A69" s="355"/>
      <c r="B69" s="3653" t="s">
        <v>395</v>
      </c>
      <c r="C69" s="3653"/>
      <c r="D69" s="356"/>
      <c r="E69" s="73"/>
      <c r="F69" s="354"/>
      <c r="G69" s="3710"/>
      <c r="H69" s="309"/>
      <c r="I69" s="1285"/>
      <c r="J69" s="2028"/>
      <c r="K69" s="1287">
        <v>4</v>
      </c>
      <c r="L69" s="3724" t="s">
        <v>2887</v>
      </c>
      <c r="M69" s="3725"/>
      <c r="N69" s="1288" t="str">
        <f>C44</f>
        <v>——</v>
      </c>
      <c r="O69" s="1288"/>
      <c r="P69" s="1288"/>
      <c r="Q69" s="2021"/>
      <c r="R69" s="2021"/>
      <c r="S69" s="2021"/>
      <c r="T69" s="2021"/>
      <c r="U69" s="2021"/>
      <c r="V69" s="2021"/>
    </row>
    <row r="70" spans="1:22" ht="24" customHeight="1">
      <c r="A70" s="357" t="s">
        <v>396</v>
      </c>
      <c r="B70" s="3653" t="s">
        <v>397</v>
      </c>
      <c r="C70" s="3653"/>
      <c r="D70" s="356">
        <f ca="1">ROUND(D63*'数据-取费表'!B41/(1+'数据-取费表'!C42),0)</f>
        <v>5092</v>
      </c>
      <c r="E70" s="17" t="s">
        <v>398</v>
      </c>
      <c r="F70" s="358">
        <f>'数据-取费表'!B41</f>
        <v>5.6000000000000001E-2</v>
      </c>
      <c r="G70" s="359"/>
      <c r="H70" s="309"/>
      <c r="I70" s="1285"/>
      <c r="J70" s="2028"/>
      <c r="K70" s="3077"/>
      <c r="L70" s="3078"/>
      <c r="M70" s="3078"/>
      <c r="N70" s="3079" t="s">
        <v>2892</v>
      </c>
      <c r="O70" s="3078"/>
      <c r="P70" s="3080"/>
      <c r="Q70" s="2021"/>
      <c r="R70" s="2021"/>
      <c r="S70" s="2021"/>
      <c r="T70" s="2021"/>
      <c r="U70" s="2021"/>
      <c r="V70" s="2021"/>
    </row>
    <row r="71" spans="1:22" ht="12" customHeight="1">
      <c r="A71" s="357" t="s">
        <v>404</v>
      </c>
      <c r="B71" s="3654" t="s">
        <v>405</v>
      </c>
      <c r="C71" s="3655"/>
      <c r="D71" s="356">
        <f ca="1">ROUND(D63*'数据-取费表'!B41/(1+'数据-取费表'!C42),0)</f>
        <v>5092</v>
      </c>
      <c r="E71" s="17" t="s">
        <v>398</v>
      </c>
      <c r="F71" s="358">
        <f>'数据-取费表'!B41</f>
        <v>5.6000000000000001E-2</v>
      </c>
      <c r="G71" s="359"/>
      <c r="H71" s="309"/>
      <c r="I71" s="1285"/>
      <c r="J71" s="2028"/>
      <c r="K71" s="3076" t="s">
        <v>399</v>
      </c>
      <c r="L71" s="3726" t="s">
        <v>400</v>
      </c>
      <c r="M71" s="3726"/>
      <c r="N71" s="3076" t="s">
        <v>401</v>
      </c>
      <c r="O71" s="3076" t="s">
        <v>402</v>
      </c>
      <c r="P71" s="3076" t="s">
        <v>403</v>
      </c>
      <c r="Q71" s="2021"/>
      <c r="R71" s="2021"/>
      <c r="S71" s="2021"/>
      <c r="T71" s="2021"/>
      <c r="U71" s="2021"/>
      <c r="V71" s="2021"/>
    </row>
    <row r="72" spans="1:22" ht="12" customHeight="1">
      <c r="A72" s="357" t="s">
        <v>407</v>
      </c>
      <c r="B72" s="3654" t="s">
        <v>408</v>
      </c>
      <c r="C72" s="3655"/>
      <c r="D72" s="356">
        <f ca="1">C86</f>
        <v>4980</v>
      </c>
      <c r="E72" s="73" t="s">
        <v>409</v>
      </c>
      <c r="F72" s="358">
        <f>'数据-取费表'!B41</f>
        <v>5.6000000000000001E-2</v>
      </c>
      <c r="G72" s="359"/>
      <c r="H72" s="1291"/>
      <c r="I72" s="1285"/>
      <c r="J72" s="2028"/>
      <c r="K72" s="1969">
        <v>1</v>
      </c>
      <c r="L72" s="3701" t="s">
        <v>406</v>
      </c>
      <c r="M72" s="3701"/>
      <c r="N72" s="1289">
        <f ca="1">D66</f>
        <v>5092</v>
      </c>
      <c r="O72" s="1852" t="str">
        <f>E66</f>
        <v>销售额×税（费）率</v>
      </c>
      <c r="P72" s="1290">
        <f>F66</f>
        <v>5.6000000000000001E-2</v>
      </c>
      <c r="Q72" s="2021"/>
      <c r="R72" s="2021"/>
      <c r="S72" s="2021"/>
      <c r="T72" s="2021"/>
      <c r="U72" s="2021"/>
      <c r="V72" s="2021"/>
    </row>
    <row r="73" spans="1:22" ht="24" customHeight="1">
      <c r="A73" s="3695" t="s">
        <v>411</v>
      </c>
      <c r="B73" s="3663"/>
      <c r="C73" s="3663"/>
      <c r="D73" s="360">
        <f>IF(H73="个人住宅",0,ROUND(D63*I73,0))</f>
        <v>0</v>
      </c>
      <c r="E73" s="17" t="s">
        <v>412</v>
      </c>
      <c r="F73" s="358" t="str">
        <f>IF(H73="正常",I73,"免征")</f>
        <v>免征</v>
      </c>
      <c r="G73" s="359"/>
      <c r="H73" s="191" t="s">
        <v>2458</v>
      </c>
      <c r="I73" s="358">
        <f>'数据-取费表'!B49</f>
        <v>5.0000000000000001E-4</v>
      </c>
      <c r="J73" s="2028"/>
      <c r="K73" s="1969">
        <v>2</v>
      </c>
      <c r="L73" s="3701" t="s">
        <v>410</v>
      </c>
      <c r="M73" s="3701"/>
      <c r="N73" s="1289">
        <f t="shared" ref="N73:P74" si="1">D73</f>
        <v>0</v>
      </c>
      <c r="O73" s="1852" t="str">
        <f t="shared" si="1"/>
        <v>销售额×税（费）率</v>
      </c>
      <c r="P73" s="1290" t="str">
        <f t="shared" si="1"/>
        <v>免征</v>
      </c>
      <c r="Q73" s="2021"/>
      <c r="R73" s="2021"/>
      <c r="S73" s="2021"/>
      <c r="T73" s="2021"/>
      <c r="U73" s="2021"/>
      <c r="V73" s="2021"/>
    </row>
    <row r="74" spans="1:22" ht="24.75">
      <c r="A74" s="3695" t="s">
        <v>415</v>
      </c>
      <c r="B74" s="3663"/>
      <c r="C74" s="3663"/>
      <c r="D74" s="360">
        <f ca="1">IF(H74="个人住宅",D75,D76)</f>
        <v>53387</v>
      </c>
      <c r="E74" s="17" t="s">
        <v>416</v>
      </c>
      <c r="F74" s="358" t="str">
        <f>IF(H74="正常",F76,"免征")</f>
        <v>——</v>
      </c>
      <c r="G74" s="976" t="s">
        <v>417</v>
      </c>
      <c r="H74" s="361" t="s">
        <v>413</v>
      </c>
      <c r="I74" s="42"/>
      <c r="J74" s="2028"/>
      <c r="K74" s="1969">
        <v>3</v>
      </c>
      <c r="L74" s="3701" t="s">
        <v>414</v>
      </c>
      <c r="M74" s="3701"/>
      <c r="N74" s="1289">
        <f t="shared" ca="1" si="1"/>
        <v>53387</v>
      </c>
      <c r="O74" s="1852" t="str">
        <f t="shared" si="1"/>
        <v>增值额×税（费）率</v>
      </c>
      <c r="P74" s="1292" t="str">
        <f t="shared" si="1"/>
        <v>——</v>
      </c>
      <c r="Q74" s="2021"/>
      <c r="R74" s="2021"/>
      <c r="S74" s="2021"/>
      <c r="T74" s="2021"/>
      <c r="U74" s="2021"/>
      <c r="V74" s="2021"/>
    </row>
    <row r="75" spans="1:22" ht="24">
      <c r="A75" s="357" t="s">
        <v>418</v>
      </c>
      <c r="B75" s="3651" t="s">
        <v>419</v>
      </c>
      <c r="C75" s="3681"/>
      <c r="D75" s="362">
        <v>0</v>
      </c>
      <c r="E75" s="41" t="s">
        <v>420</v>
      </c>
      <c r="F75" s="363"/>
      <c r="G75" s="359"/>
      <c r="H75" s="42"/>
      <c r="I75" s="42"/>
      <c r="J75" s="2028"/>
      <c r="K75" s="3069">
        <f>IF(H77="非个人房产","",4)</f>
        <v>4</v>
      </c>
      <c r="L75" s="3701" t="str">
        <f>IF(H77="非个人房产","——","个人所得税")</f>
        <v>个人所得税</v>
      </c>
      <c r="M75" s="3701"/>
      <c r="N75" s="1293">
        <f ca="1">D77</f>
        <v>955</v>
      </c>
      <c r="O75" s="1865" t="str">
        <f>E77</f>
        <v>销售额×税（费）率</v>
      </c>
      <c r="P75" s="1294">
        <f>F77</f>
        <v>0.01</v>
      </c>
      <c r="Q75" s="2021"/>
      <c r="R75" s="2021"/>
      <c r="S75" s="2021"/>
      <c r="T75" s="2021"/>
      <c r="U75" s="2021"/>
      <c r="V75" s="2021"/>
    </row>
    <row r="76" spans="1:22" ht="24.75">
      <c r="A76" s="357" t="s">
        <v>396</v>
      </c>
      <c r="B76" s="3651" t="s">
        <v>422</v>
      </c>
      <c r="C76" s="3652"/>
      <c r="D76" s="360">
        <f ca="1">IF(H76="转让取得",C99,C115)</f>
        <v>53387</v>
      </c>
      <c r="E76" s="17" t="s">
        <v>423</v>
      </c>
      <c r="F76" s="53" t="s">
        <v>21</v>
      </c>
      <c r="G76" s="359"/>
      <c r="H76" s="361" t="s">
        <v>424</v>
      </c>
      <c r="I76" s="42"/>
      <c r="J76" s="2028"/>
      <c r="K76" s="3069" t="str">
        <f>IF(项目基本情况!K6="上海银行",IF(K75="",4,K75+1),"")</f>
        <v/>
      </c>
      <c r="L76" s="3712" t="str">
        <f>IF(项目基本情况!K6="上海银行","其他处置费用","")</f>
        <v/>
      </c>
      <c r="M76" s="3713"/>
      <c r="N76" s="1289" t="str">
        <f>IF(项目基本情况!K6="上海银行",N89,"")</f>
        <v/>
      </c>
      <c r="O76" s="3714" t="str">
        <f>IF(项目基本情况!K6="上海银行","包含处置中涉及的律师、诉讼、拍卖、评估等费用","")</f>
        <v/>
      </c>
      <c r="P76" s="3715"/>
      <c r="Q76" s="2021"/>
      <c r="R76" s="2021"/>
      <c r="S76" s="2021"/>
      <c r="T76" s="2021"/>
      <c r="U76" s="2021"/>
      <c r="V76" s="2021"/>
    </row>
    <row r="77" spans="1:22" ht="26.25" thickBot="1">
      <c r="A77" s="3703" t="s">
        <v>426</v>
      </c>
      <c r="B77" s="3704"/>
      <c r="C77" s="3704"/>
      <c r="D77" s="364">
        <f ca="1">IF(H77="非个人房产","——",IF(H77="个人住宅",0,ROUND(D63*I77,0)))</f>
        <v>955</v>
      </c>
      <c r="E77" s="365" t="str">
        <f>IF(H77="非个人房产","——","销售额×税（费）率")</f>
        <v>销售额×税（费）率</v>
      </c>
      <c r="F77" s="366">
        <f>IF(H77="非个人房产","——",IF(H77="个人住宅","免征",I77))</f>
        <v>0.01</v>
      </c>
      <c r="G77" s="977" t="s">
        <v>417</v>
      </c>
      <c r="H77" s="361" t="s">
        <v>2888</v>
      </c>
      <c r="I77" s="367">
        <v>0.01</v>
      </c>
      <c r="J77" s="2028"/>
      <c r="K77" s="3702">
        <f>IF(AND(K75="",K76=""),4,IF(项目基本情况!K6="上海银行",K76+1,K75+1))</f>
        <v>5</v>
      </c>
      <c r="L77" s="3701" t="s">
        <v>2889</v>
      </c>
      <c r="M77" s="3075" t="s">
        <v>421</v>
      </c>
      <c r="N77" s="1295"/>
      <c r="O77" s="1296">
        <f ca="1">SUMIF(N72:N76,"&lt;9e307")</f>
        <v>59434</v>
      </c>
      <c r="P77" s="1297"/>
      <c r="Q77" s="3073" t="e">
        <f ca="1">O77/N69</f>
        <v>#VALUE!</v>
      </c>
      <c r="R77" s="2021"/>
      <c r="S77" s="2021"/>
      <c r="T77" s="2021"/>
      <c r="U77" s="2021"/>
      <c r="V77" s="2021"/>
    </row>
    <row r="78" spans="1:22" ht="12" customHeight="1">
      <c r="A78" s="1298"/>
      <c r="B78" s="309"/>
      <c r="C78" s="309"/>
      <c r="D78" s="309"/>
      <c r="E78" s="42"/>
      <c r="F78" s="42"/>
      <c r="G78" s="42"/>
      <c r="H78" s="996"/>
      <c r="I78" s="309"/>
      <c r="J78" s="2028"/>
      <c r="K78" s="3702"/>
      <c r="L78" s="3701"/>
      <c r="M78" s="3075" t="s">
        <v>425</v>
      </c>
      <c r="N78" s="1295"/>
      <c r="O78" s="1296" t="str">
        <f ca="1">NUMBERSTRING(INT(O77*10000),2)&amp;"元整"</f>
        <v>伍亿玖仟肆佰叁拾肆万元整</v>
      </c>
      <c r="P78" s="1297"/>
      <c r="Q78" s="2021"/>
      <c r="R78" s="2021"/>
      <c r="S78" s="2021"/>
      <c r="T78" s="2021"/>
      <c r="U78" s="2021"/>
      <c r="V78" s="2021"/>
    </row>
    <row r="79" spans="1:22" ht="13.5" thickBot="1">
      <c r="A79" s="3696" t="s">
        <v>427</v>
      </c>
      <c r="B79" s="3696"/>
      <c r="C79" s="3696"/>
      <c r="D79" s="3696"/>
      <c r="E79" s="3696"/>
      <c r="F79" s="42"/>
      <c r="G79" s="42"/>
      <c r="H79" s="996"/>
      <c r="I79" s="309"/>
      <c r="J79" s="2028"/>
      <c r="K79" s="3722">
        <f>K77+1</f>
        <v>6</v>
      </c>
      <c r="L79" s="3701" t="s">
        <v>2890</v>
      </c>
      <c r="M79" s="3075" t="s">
        <v>421</v>
      </c>
      <c r="N79" s="1295"/>
      <c r="O79" s="1296" t="e">
        <f ca="1">N69-O77</f>
        <v>#VALUE!</v>
      </c>
      <c r="P79" s="1297"/>
      <c r="Q79" s="2021"/>
      <c r="R79" s="2021"/>
      <c r="S79" s="2021"/>
      <c r="T79" s="2021"/>
      <c r="U79" s="2021"/>
      <c r="V79" s="2021"/>
    </row>
    <row r="80" spans="1:22" ht="12.75">
      <c r="A80" s="3691" t="s">
        <v>428</v>
      </c>
      <c r="B80" s="3692"/>
      <c r="C80" s="987"/>
      <c r="D80" s="987" t="s">
        <v>429</v>
      </c>
      <c r="E80" s="368" t="s">
        <v>430</v>
      </c>
      <c r="F80" s="42"/>
      <c r="G80" s="42"/>
      <c r="H80" s="996"/>
      <c r="I80" s="309"/>
      <c r="J80" s="2021"/>
      <c r="K80" s="3723"/>
      <c r="L80" s="3701"/>
      <c r="M80" s="3075"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90935</v>
      </c>
      <c r="D81" s="371"/>
      <c r="E81" s="372"/>
      <c r="F81" s="42"/>
      <c r="G81" s="42"/>
      <c r="H81" s="996"/>
      <c r="I81" s="309"/>
      <c r="J81" s="2021"/>
      <c r="K81" s="3069">
        <f>K79+1</f>
        <v>7</v>
      </c>
      <c r="L81" s="3699" t="s">
        <v>2891</v>
      </c>
      <c r="M81" s="3700"/>
      <c r="N81" s="1299"/>
      <c r="O81" s="1300" t="e">
        <f ca="1">ROUND(O79*10000/'数据-汇总表'!E3,0)</f>
        <v>#VALUE!</v>
      </c>
      <c r="P81" s="1301"/>
      <c r="Q81" s="2021"/>
      <c r="R81" s="2021"/>
      <c r="S81" s="2021"/>
      <c r="T81" s="2021"/>
      <c r="U81" s="2021"/>
      <c r="V81" s="2021"/>
    </row>
    <row r="82" spans="1:26" ht="13.5" thickTop="1">
      <c r="A82" s="373" t="s">
        <v>1823</v>
      </c>
      <c r="B82" s="374" t="s">
        <v>432</v>
      </c>
      <c r="C82" s="375">
        <f ca="1">D63</f>
        <v>95482</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711" t="s">
        <v>2878</v>
      </c>
      <c r="L83" s="3081" t="s">
        <v>2879</v>
      </c>
      <c r="M83" s="3071" t="e">
        <f>IF(N69&gt;10000,N69*0.5%,IF(AND(N69&gt;1000,N69&lt;=10000),N69*1%,IF(AND(N69&gt;100,N69&lt;=1000),N69*3%,IF(AND(N69&gt;10,N69&lt;=100),N69*5%,N69*8%))))</f>
        <v>#VALUE!</v>
      </c>
      <c r="N83" s="53" t="e">
        <f>ROUND(M83,1)</f>
        <v>#VALUE!</v>
      </c>
      <c r="O83" s="3074"/>
      <c r="P83" s="2021"/>
      <c r="Q83" s="2021"/>
      <c r="R83" s="2021"/>
      <c r="S83" s="2021"/>
      <c r="T83" s="2021"/>
      <c r="U83" s="2021"/>
      <c r="V83" s="2021"/>
    </row>
    <row r="84" spans="1:26" ht="12.75">
      <c r="A84" s="379" t="s">
        <v>1825</v>
      </c>
      <c r="B84" s="380" t="s">
        <v>434</v>
      </c>
      <c r="C84" s="381">
        <v>2000</v>
      </c>
      <c r="D84" s="382" t="s">
        <v>19</v>
      </c>
      <c r="E84" s="3113" t="s">
        <v>2942</v>
      </c>
      <c r="F84" s="42"/>
      <c r="G84" s="42"/>
      <c r="H84" s="996"/>
      <c r="I84" s="309"/>
      <c r="J84" s="2021"/>
      <c r="K84" s="3711"/>
      <c r="L84" s="3081" t="s">
        <v>2880</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88935</v>
      </c>
      <c r="D85" s="376" t="s">
        <v>19</v>
      </c>
      <c r="E85" s="377"/>
      <c r="F85" s="42"/>
      <c r="G85" s="42"/>
      <c r="H85" s="996"/>
      <c r="I85" s="309"/>
      <c r="J85" s="2021"/>
      <c r="K85" s="3711"/>
      <c r="L85" s="3081" t="s">
        <v>2882</v>
      </c>
      <c r="M85" s="3071"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4980</v>
      </c>
      <c r="D86" s="387">
        <f>'数据-取费表'!B41</f>
        <v>5.6000000000000001E-2</v>
      </c>
      <c r="E86" s="388"/>
      <c r="F86" s="42"/>
      <c r="G86" s="42"/>
      <c r="H86" s="996"/>
      <c r="I86" s="309"/>
      <c r="J86" s="2021"/>
      <c r="K86" s="3711"/>
      <c r="L86" s="3081" t="s">
        <v>2883</v>
      </c>
      <c r="M86" s="3071"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711"/>
      <c r="L87" s="3081" t="s">
        <v>2885</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9"/>
      <c r="Q87" s="2021"/>
      <c r="R87" s="2021"/>
      <c r="S87" s="2021"/>
      <c r="T87" s="2021"/>
      <c r="U87" s="2021"/>
      <c r="V87" s="2021"/>
      <c r="W87" s="290"/>
      <c r="X87" s="290"/>
      <c r="Y87" s="290"/>
      <c r="Z87" s="290"/>
    </row>
    <row r="88" spans="1:26" s="1307" customFormat="1" ht="15" thickBot="1">
      <c r="A88" s="3693" t="s">
        <v>437</v>
      </c>
      <c r="B88" s="3694"/>
      <c r="C88" s="3694"/>
      <c r="D88" s="3694"/>
      <c r="E88" s="3694"/>
      <c r="F88" s="3694"/>
      <c r="G88" s="3694"/>
      <c r="H88" s="3694"/>
      <c r="I88" s="1308"/>
      <c r="J88" s="2029"/>
      <c r="K88" s="3711"/>
      <c r="L88" s="3081" t="s">
        <v>2886</v>
      </c>
      <c r="M88" s="3071" t="e">
        <f>IF(N69&gt;10000,N69*0.5%,IF(AND(N69&gt;5000,N69&lt;=10000),N69*1%,IF(AND(N69&gt;1000,N69&lt;=5000),N69*2%,IF(AND(N69&gt;200,N69&lt;=1000),N69*3%,N69*5%))))</f>
        <v>#VALUE!</v>
      </c>
      <c r="N88" s="53" t="e">
        <f>ROUND(M88,1)</f>
        <v>#VALUE!</v>
      </c>
      <c r="O88" s="3074"/>
      <c r="P88" s="11"/>
      <c r="Q88" s="2026"/>
      <c r="R88" s="2026"/>
      <c r="S88" s="2026"/>
      <c r="T88" s="2026"/>
      <c r="U88" s="2026"/>
      <c r="V88" s="2026"/>
      <c r="W88" s="2030"/>
      <c r="X88" s="2030"/>
      <c r="Y88" s="2030"/>
      <c r="Z88" s="2030"/>
    </row>
    <row r="89" spans="1:26" s="1307" customFormat="1" ht="14.25">
      <c r="A89" s="3691" t="s">
        <v>428</v>
      </c>
      <c r="B89" s="3692"/>
      <c r="C89" s="987"/>
      <c r="D89" s="987" t="s">
        <v>429</v>
      </c>
      <c r="E89" s="389" t="s">
        <v>438</v>
      </c>
      <c r="F89" s="390"/>
      <c r="G89" s="390"/>
      <c r="H89" s="391"/>
      <c r="I89" s="1309"/>
      <c r="J89" s="2031"/>
      <c r="K89" s="3711"/>
      <c r="L89" s="3081" t="s">
        <v>27</v>
      </c>
      <c r="M89" s="3072"/>
      <c r="N89" s="53" t="e">
        <f>ROUND(SUM(N83:N88),0)</f>
        <v>#VALUE!</v>
      </c>
      <c r="O89" s="3082"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90935</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3107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654" t="s">
        <v>447</v>
      </c>
      <c r="F94" s="3653"/>
      <c r="G94" s="3653"/>
      <c r="H94" s="3690"/>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546</v>
      </c>
      <c r="D96" s="404">
        <f>'数据-取费表'!B43</f>
        <v>6.000000000000001E-3</v>
      </c>
      <c r="E96" s="3682" t="s">
        <v>2430</v>
      </c>
      <c r="F96" s="3683"/>
      <c r="G96" s="3683"/>
      <c r="H96" s="3684"/>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87828</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28.267782426778243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51609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693" t="s">
        <v>454</v>
      </c>
      <c r="B101" s="3694"/>
      <c r="C101" s="3694"/>
      <c r="D101" s="3694"/>
      <c r="E101" s="3694"/>
      <c r="F101" s="3694"/>
      <c r="G101" s="3694"/>
      <c r="H101" s="3694"/>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91" t="s">
        <v>428</v>
      </c>
      <c r="B102" s="3692"/>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90935</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1236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85" t="s">
        <v>462</v>
      </c>
      <c r="F109" s="3683"/>
      <c r="G109" s="3683"/>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85" t="s">
        <v>464</v>
      </c>
      <c r="F110" s="3683"/>
      <c r="G110" s="3683"/>
      <c r="H110" s="3684"/>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546</v>
      </c>
      <c r="D111" s="404">
        <f>'数据-取费表'!B43</f>
        <v>6.000000000000001E-3</v>
      </c>
      <c r="E111" s="3682" t="s">
        <v>2430</v>
      </c>
      <c r="F111" s="3683"/>
      <c r="G111" s="3683"/>
      <c r="H111" s="3684"/>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85" t="s">
        <v>2455</v>
      </c>
      <c r="F112" s="3683"/>
      <c r="G112" s="3683"/>
      <c r="H112" s="3684"/>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89699</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72.572006472491907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53387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69347.5平方米。根据《建设工程规划许可证》[]、《出让合同》[]，估价对象规划建筑面积为509385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根据《国有土地使用证》[]，估价对象（分摊）出让国有建设用地使用权面积为69347.5平方米。根据《建设工程规划许可证》[]、《出让合同》[]，估价对象规划建筑面积为509385平方米。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69347.5</v>
      </c>
    </row>
    <row r="44" spans="1:2">
      <c r="A44" s="2895" t="s">
        <v>2744</v>
      </c>
      <c r="B44" s="2896" t="str">
        <f>'预评函-2'!O3</f>
        <v>规划建筑面积/㎡</v>
      </c>
    </row>
    <row r="45" spans="1:2">
      <c r="A45" s="2895" t="s">
        <v>2726</v>
      </c>
      <c r="B45" s="2896">
        <f>'预评函-2'!O5</f>
        <v>509385</v>
      </c>
    </row>
    <row r="46" spans="1:2">
      <c r="A46" s="2895" t="s">
        <v>2727</v>
      </c>
      <c r="B46" s="2896">
        <f ca="1">'预评函-2'!P5</f>
        <v>22948</v>
      </c>
    </row>
    <row r="47" spans="1:2">
      <c r="A47" s="2895" t="s">
        <v>2728</v>
      </c>
      <c r="B47" s="2896">
        <f ca="1">'预评函-2'!Q5</f>
        <v>3124</v>
      </c>
    </row>
    <row r="48" spans="1:2">
      <c r="A48" s="2895" t="s">
        <v>2729</v>
      </c>
      <c r="B48" s="2896">
        <f ca="1">'预评函-2'!R5</f>
        <v>159137</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155151</v>
      </c>
      <c r="D13" s="449"/>
      <c r="E13" s="363"/>
      <c r="F13" s="450"/>
      <c r="G13" s="442"/>
      <c r="H13" s="445"/>
      <c r="I13" s="445"/>
      <c r="J13" s="445"/>
      <c r="K13" s="446"/>
    </row>
    <row r="14" spans="1:41" s="2109" customFormat="1" ht="13.5" customHeight="1">
      <c r="A14" s="1625" t="s">
        <v>1848</v>
      </c>
      <c r="B14" s="447" t="s">
        <v>480</v>
      </c>
      <c r="C14" s="53">
        <f ca="1">ROUND(C13*F14,0)</f>
        <v>4655</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10188</v>
      </c>
      <c r="D16" s="449">
        <f ca="1">IF(B1="",'数据-汇总表'!E3,INDIRECT("'数据-取费表'!K"&amp;$K$1)+INDIRECT("'数据-取费表'!S"&amp;$K$1))</f>
        <v>509385</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2327</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172321</v>
      </c>
      <c r="D18" s="459"/>
      <c r="E18" s="460"/>
      <c r="F18" s="460"/>
      <c r="G18" s="1320" t="s">
        <v>2434</v>
      </c>
      <c r="H18" s="445"/>
      <c r="I18" s="445"/>
      <c r="J18" s="445"/>
      <c r="K18" s="446"/>
    </row>
    <row r="19" spans="1:14" s="2112" customFormat="1" ht="13.5" customHeight="1">
      <c r="A19" s="1626" t="s">
        <v>1853</v>
      </c>
      <c r="B19" s="457" t="s">
        <v>493</v>
      </c>
      <c r="C19" s="458">
        <f ca="1">ROUND(C18*F19,0)</f>
        <v>5170</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5">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15016</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15016</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7" t="s">
        <v>2836</v>
      </c>
      <c r="C24" s="476">
        <f ca="1">C25</f>
        <v>33723</v>
      </c>
      <c r="D24" s="487">
        <f ca="1">C26</f>
        <v>5.7000000000000002E-3</v>
      </c>
      <c r="E24" s="467" t="s">
        <v>508</v>
      </c>
      <c r="F24" s="477">
        <f ca="1">IF(B1="",'数据-取费表'!Q16,INDIRECT("'数据-取费表'!q"&amp;$K$1))</f>
        <v>0.19</v>
      </c>
      <c r="G24" s="442"/>
      <c r="H24" s="445"/>
      <c r="I24" s="445"/>
      <c r="J24" s="445"/>
      <c r="K24" s="446"/>
    </row>
    <row r="25" spans="1:14" s="2113" customFormat="1" ht="13.5" customHeight="1">
      <c r="A25" s="1625" t="s">
        <v>1847</v>
      </c>
      <c r="B25" s="1321" t="s">
        <v>2438</v>
      </c>
      <c r="C25" s="488">
        <f ca="1">ROUND((C18+C19)*F24,0)</f>
        <v>33723</v>
      </c>
      <c r="D25" s="470"/>
      <c r="E25" s="471"/>
      <c r="F25" s="478"/>
      <c r="G25" s="1319" t="s">
        <v>2435</v>
      </c>
      <c r="H25" s="455"/>
      <c r="I25" s="455"/>
      <c r="J25" s="455"/>
      <c r="K25" s="456"/>
    </row>
    <row r="26" spans="1:14" s="2113" customFormat="1" ht="13.5" customHeight="1">
      <c r="A26" s="1625" t="s">
        <v>1848</v>
      </c>
      <c r="B26" s="1321" t="s">
        <v>510</v>
      </c>
      <c r="C26" s="489">
        <f ca="1">ROUND(F20*F24,4)</f>
        <v>5.7000000000000002E-3</v>
      </c>
      <c r="D26" s="470"/>
      <c r="E26" s="479"/>
      <c r="F26" s="478"/>
      <c r="G26" s="1319" t="s">
        <v>511</v>
      </c>
      <c r="H26" s="455"/>
      <c r="I26" s="455"/>
      <c r="J26" s="455"/>
      <c r="K26" s="456"/>
    </row>
    <row r="27" spans="1:14" s="2113" customFormat="1" ht="13.5" customHeight="1">
      <c r="A27" s="1629" t="s">
        <v>1866</v>
      </c>
      <c r="B27" s="457" t="s">
        <v>512</v>
      </c>
      <c r="C27" s="3046">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249015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70" zoomScaleNormal="95" zoomScaleSheetLayoutView="70" workbookViewId="0">
      <selection activeCell="M51" sqref="M51"/>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87403</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1716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12604</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36" t="s">
        <v>523</v>
      </c>
      <c r="D6" s="3737"/>
      <c r="E6" s="3736" t="s">
        <v>524</v>
      </c>
      <c r="F6" s="3737"/>
      <c r="G6" s="3736" t="s">
        <v>525</v>
      </c>
      <c r="H6" s="3737"/>
      <c r="I6" s="3736" t="s">
        <v>526</v>
      </c>
      <c r="J6" s="3737"/>
      <c r="K6" s="512" t="s">
        <v>527</v>
      </c>
      <c r="L6" s="2126"/>
      <c r="M6" s="2125"/>
      <c r="N6" s="2125"/>
      <c r="O6" s="2127"/>
      <c r="P6" s="3738" t="s">
        <v>528</v>
      </c>
      <c r="Q6" s="3739"/>
      <c r="R6" s="3744" t="s">
        <v>524</v>
      </c>
      <c r="S6" s="3745"/>
      <c r="T6" s="3744" t="s">
        <v>525</v>
      </c>
      <c r="U6" s="3745"/>
      <c r="V6" s="3731" t="s">
        <v>526</v>
      </c>
      <c r="W6" s="3731"/>
      <c r="X6" s="1559"/>
      <c r="Y6" s="3744" t="s">
        <v>528</v>
      </c>
      <c r="Z6" s="3745"/>
      <c r="AA6" s="3733" t="s">
        <v>524</v>
      </c>
      <c r="AB6" s="3734" t="s">
        <v>525</v>
      </c>
      <c r="AC6" s="3733" t="s">
        <v>526</v>
      </c>
    </row>
    <row r="7" spans="1:30" ht="20.25">
      <c r="A7" s="513"/>
      <c r="B7" s="514"/>
      <c r="C7" s="3752" t="s">
        <v>2929</v>
      </c>
      <c r="D7" s="3753"/>
      <c r="E7" s="3752" t="str">
        <f>土地案例!A7</f>
        <v>XDG-2016-28号地块</v>
      </c>
      <c r="F7" s="3753"/>
      <c r="G7" s="3752" t="str">
        <f>土地案例!A19</f>
        <v>XDG-2017-49号地块</v>
      </c>
      <c r="H7" s="3753"/>
      <c r="I7" s="3752" t="str">
        <f>土地案例!A26</f>
        <v>XDG-2017-4号地块</v>
      </c>
      <c r="J7" s="3753"/>
      <c r="K7" s="512"/>
      <c r="L7" s="2126"/>
      <c r="M7" s="2125"/>
      <c r="N7" s="2125"/>
      <c r="O7" s="2127"/>
      <c r="P7" s="3740"/>
      <c r="Q7" s="3741"/>
      <c r="R7" s="3746"/>
      <c r="S7" s="3747"/>
      <c r="T7" s="3746"/>
      <c r="U7" s="3747"/>
      <c r="V7" s="3731"/>
      <c r="W7" s="3731"/>
      <c r="X7" s="1559"/>
      <c r="Y7" s="3746"/>
      <c r="Z7" s="3747"/>
      <c r="AA7" s="3734"/>
      <c r="AB7" s="3734"/>
      <c r="AC7" s="3734"/>
    </row>
    <row r="8" spans="1:30" ht="21" thickBot="1">
      <c r="A8" s="513"/>
      <c r="B8" s="514"/>
      <c r="C8" s="3754" t="s">
        <v>2933</v>
      </c>
      <c r="D8" s="3755"/>
      <c r="E8" s="3754" t="s">
        <v>2933</v>
      </c>
      <c r="F8" s="3755"/>
      <c r="G8" s="3750" t="s">
        <v>2933</v>
      </c>
      <c r="H8" s="3751"/>
      <c r="I8" s="3750" t="s">
        <v>2933</v>
      </c>
      <c r="J8" s="3751"/>
      <c r="K8" s="512" t="s">
        <v>529</v>
      </c>
      <c r="L8" s="2126"/>
      <c r="M8" s="2125"/>
      <c r="N8" s="2125"/>
      <c r="O8" s="2127"/>
      <c r="P8" s="3742"/>
      <c r="Q8" s="3743"/>
      <c r="R8" s="3746"/>
      <c r="S8" s="3747"/>
      <c r="T8" s="3748"/>
      <c r="U8" s="3749"/>
      <c r="V8" s="3731"/>
      <c r="W8" s="3731"/>
      <c r="X8" s="1559"/>
      <c r="Y8" s="3748"/>
      <c r="Z8" s="3749"/>
      <c r="AA8" s="3735"/>
      <c r="AB8" s="3735"/>
      <c r="AC8" s="3735"/>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61" t="s">
        <v>531</v>
      </c>
      <c r="Q9" s="3763"/>
      <c r="R9" s="1560" t="s">
        <v>8</v>
      </c>
      <c r="S9" s="1561">
        <f t="shared" ref="S9:S17" si="0">F9</f>
        <v>97.199999999999989</v>
      </c>
      <c r="T9" s="1560" t="s">
        <v>8</v>
      </c>
      <c r="U9" s="1561">
        <f t="shared" ref="U9:U17" si="1">H9</f>
        <v>99.3</v>
      </c>
      <c r="V9" s="1560" t="s">
        <v>8</v>
      </c>
      <c r="W9" s="1561">
        <f t="shared" ref="W9:W17" si="2">J9</f>
        <v>97.899999999999991</v>
      </c>
      <c r="X9" s="1562"/>
      <c r="Y9" s="3761" t="s">
        <v>531</v>
      </c>
      <c r="Z9" s="3762"/>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8"/>
      <c r="M10" s="2125"/>
      <c r="N10" s="2125"/>
      <c r="O10" s="2129"/>
      <c r="P10" s="3761" t="s">
        <v>534</v>
      </c>
      <c r="Q10" s="3762"/>
      <c r="R10" s="1560" t="s">
        <v>8</v>
      </c>
      <c r="S10" s="1561">
        <f t="shared" si="0"/>
        <v>100</v>
      </c>
      <c r="T10" s="1560" t="s">
        <v>8</v>
      </c>
      <c r="U10" s="1561">
        <f t="shared" si="1"/>
        <v>100</v>
      </c>
      <c r="V10" s="1560" t="s">
        <v>8</v>
      </c>
      <c r="W10" s="1561">
        <f t="shared" si="2"/>
        <v>100</v>
      </c>
      <c r="X10" s="1562"/>
      <c r="Y10" s="3761" t="s">
        <v>534</v>
      </c>
      <c r="Z10" s="3762"/>
      <c r="AA10" s="1563">
        <f t="shared" ref="AA10:AA47" si="3">D10/F10</f>
        <v>1</v>
      </c>
      <c r="AB10" s="1563">
        <f t="shared" ref="AB10:AB47" si="4">D10/H10</f>
        <v>1</v>
      </c>
      <c r="AC10" s="1563">
        <f t="shared" ref="AC10:AC47" si="5">D10/J10</f>
        <v>1</v>
      </c>
    </row>
    <row r="11" spans="1:30" s="1213" customFormat="1" ht="20.25">
      <c r="A11" s="2931"/>
      <c r="B11" s="2938" t="s">
        <v>2760</v>
      </c>
      <c r="C11" s="3489" t="s">
        <v>3303</v>
      </c>
      <c r="D11" s="252">
        <v>100</v>
      </c>
      <c r="E11" s="3490" t="s">
        <v>3304</v>
      </c>
      <c r="F11" s="252">
        <f>SUMIF(77:77,E11,78:78)-SUMIF(77:77,C11,78:78)+100</f>
        <v>100</v>
      </c>
      <c r="G11" s="3490" t="s">
        <v>3303</v>
      </c>
      <c r="H11" s="252">
        <f>SUMIF(77:77,G11,78:78)-SUMIF(77:77,C11,78:78)+100</f>
        <v>100</v>
      </c>
      <c r="I11" s="3490" t="s">
        <v>3303</v>
      </c>
      <c r="J11" s="252">
        <f>SUMIF(77:77,I11,78:78)-SUMIF(77:77,C11,78:78)+100</f>
        <v>100</v>
      </c>
      <c r="K11" s="522"/>
      <c r="L11" s="2128"/>
      <c r="M11" s="2125"/>
      <c r="N11" s="2125"/>
      <c r="O11" s="2130"/>
      <c r="P11" s="3730" t="s">
        <v>536</v>
      </c>
      <c r="Q11" s="1144" t="str">
        <f t="shared" ref="Q11:Q17" si="6">B11</f>
        <v>用途</v>
      </c>
      <c r="R11" s="1560" t="s">
        <v>8</v>
      </c>
      <c r="S11" s="1561">
        <f t="shared" si="0"/>
        <v>100</v>
      </c>
      <c r="T11" s="1560" t="s">
        <v>8</v>
      </c>
      <c r="U11" s="1561">
        <f t="shared" si="1"/>
        <v>100</v>
      </c>
      <c r="V11" s="1560" t="s">
        <v>8</v>
      </c>
      <c r="W11" s="1561">
        <f t="shared" si="2"/>
        <v>100</v>
      </c>
      <c r="X11" s="1562"/>
      <c r="Y11" s="3676" t="s">
        <v>537</v>
      </c>
      <c r="Z11" s="1143" t="str">
        <f t="shared" ref="Z11:Z17" si="7">Q11</f>
        <v>用途</v>
      </c>
      <c r="AA11" s="1563">
        <f t="shared" si="3"/>
        <v>1</v>
      </c>
      <c r="AB11" s="1563">
        <f t="shared" si="4"/>
        <v>1</v>
      </c>
      <c r="AC11" s="1563">
        <f t="shared" si="5"/>
        <v>1</v>
      </c>
    </row>
    <row r="12" spans="1:30" s="1331" customFormat="1" ht="27">
      <c r="A12" s="2932"/>
      <c r="B12" s="2937" t="s">
        <v>2761</v>
      </c>
      <c r="C12" s="903" t="s">
        <v>3407</v>
      </c>
      <c r="D12" s="253">
        <v>100</v>
      </c>
      <c r="E12" s="527" t="s">
        <v>3408</v>
      </c>
      <c r="F12" s="253">
        <f>ROUND(100/'数据-取费表'!G16,0)</f>
        <v>104</v>
      </c>
      <c r="G12" s="528" t="s">
        <v>3408</v>
      </c>
      <c r="H12" s="253">
        <f>ROUND(100/'数据-取费表'!G16,0)</f>
        <v>104</v>
      </c>
      <c r="I12" s="528" t="s">
        <v>3409</v>
      </c>
      <c r="J12" s="253">
        <f>ROUND(100/'数据-取费表'!G16,0)</f>
        <v>104</v>
      </c>
      <c r="K12" s="529"/>
      <c r="L12" s="2131"/>
      <c r="M12" s="2125"/>
      <c r="N12" s="2125"/>
      <c r="O12" s="2132"/>
      <c r="P12" s="3730"/>
      <c r="Q12" s="1144" t="str">
        <f t="shared" si="6"/>
        <v>土地使用年限（年）</v>
      </c>
      <c r="R12" s="1560" t="s">
        <v>8</v>
      </c>
      <c r="S12" s="1561">
        <f t="shared" si="0"/>
        <v>104</v>
      </c>
      <c r="T12" s="1560" t="s">
        <v>8</v>
      </c>
      <c r="U12" s="1561">
        <f t="shared" si="1"/>
        <v>104</v>
      </c>
      <c r="V12" s="1560" t="s">
        <v>8</v>
      </c>
      <c r="W12" s="1561">
        <f t="shared" si="2"/>
        <v>104</v>
      </c>
      <c r="X12" s="1562"/>
      <c r="Y12" s="3676"/>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5.57</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30"/>
      <c r="Q13" s="1144" t="str">
        <f t="shared" si="6"/>
        <v>容积率</v>
      </c>
      <c r="R13" s="1560" t="s">
        <v>8</v>
      </c>
      <c r="S13" s="1561">
        <f t="shared" si="0"/>
        <v>108</v>
      </c>
      <c r="T13" s="1560" t="s">
        <v>8</v>
      </c>
      <c r="U13" s="1561">
        <f t="shared" si="1"/>
        <v>106</v>
      </c>
      <c r="V13" s="1560" t="s">
        <v>8</v>
      </c>
      <c r="W13" s="1561">
        <f t="shared" si="2"/>
        <v>106</v>
      </c>
      <c r="X13" s="1562"/>
      <c r="Y13" s="3676"/>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30"/>
      <c r="Q14" s="1144" t="str">
        <f t="shared" si="6"/>
        <v>配建</v>
      </c>
      <c r="R14" s="1560" t="s">
        <v>8</v>
      </c>
      <c r="S14" s="1561">
        <f t="shared" si="0"/>
        <v>100</v>
      </c>
      <c r="T14" s="1560" t="s">
        <v>8</v>
      </c>
      <c r="U14" s="1561">
        <f t="shared" si="1"/>
        <v>100</v>
      </c>
      <c r="V14" s="1560" t="s">
        <v>8</v>
      </c>
      <c r="W14" s="1561">
        <f t="shared" si="2"/>
        <v>100</v>
      </c>
      <c r="X14" s="1562"/>
      <c r="Y14" s="3676"/>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30"/>
      <c r="Q15" s="1144">
        <f t="shared" si="6"/>
        <v>111</v>
      </c>
      <c r="R15" s="1560" t="s">
        <v>8</v>
      </c>
      <c r="S15" s="1561">
        <f t="shared" si="0"/>
        <v>100</v>
      </c>
      <c r="T15" s="1560" t="s">
        <v>8</v>
      </c>
      <c r="U15" s="1561">
        <f t="shared" si="1"/>
        <v>100</v>
      </c>
      <c r="V15" s="1560" t="s">
        <v>8</v>
      </c>
      <c r="W15" s="1561">
        <f t="shared" si="2"/>
        <v>100</v>
      </c>
      <c r="X15" s="1562"/>
      <c r="Y15" s="3676"/>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30"/>
      <c r="Q16" s="1144">
        <f t="shared" si="6"/>
        <v>111</v>
      </c>
      <c r="R16" s="1560" t="s">
        <v>8</v>
      </c>
      <c r="S16" s="1561">
        <f t="shared" si="0"/>
        <v>100</v>
      </c>
      <c r="T16" s="1560" t="s">
        <v>8</v>
      </c>
      <c r="U16" s="1561">
        <f t="shared" si="1"/>
        <v>100</v>
      </c>
      <c r="V16" s="1560" t="s">
        <v>8</v>
      </c>
      <c r="W16" s="1561">
        <f t="shared" si="2"/>
        <v>100</v>
      </c>
      <c r="X16" s="1562"/>
      <c r="Y16" s="3676"/>
      <c r="Z16" s="1143">
        <f t="shared" si="7"/>
        <v>111</v>
      </c>
      <c r="AA16" s="1563">
        <f>D16/F16</f>
        <v>1</v>
      </c>
      <c r="AB16" s="1563">
        <f>D16/H16</f>
        <v>1</v>
      </c>
      <c r="AC16" s="1563">
        <f>D16/J16</f>
        <v>1</v>
      </c>
    </row>
    <row r="17" spans="1:29" ht="99.75" hidden="1">
      <c r="A17" s="2927" t="s">
        <v>2758</v>
      </c>
      <c r="B17" s="3541" t="s">
        <v>295</v>
      </c>
      <c r="C17" s="546" t="str">
        <f>估价对象房地状况!C15</f>
        <v>估价对象位于太湖商圈，周边办公楼项目较多（无锡金融中心等），入驻率较高，办公集聚程度较好</v>
      </c>
      <c r="D17" s="549">
        <v>100</v>
      </c>
      <c r="E17" s="3522" t="s">
        <v>3427</v>
      </c>
      <c r="F17" s="547">
        <f>SUMIF(90:90,E18,91:91)-SUMIF(90:90,C18,91:91)+100</f>
        <v>100</v>
      </c>
      <c r="G17" s="3521" t="s">
        <v>3428</v>
      </c>
      <c r="H17" s="547">
        <f>SUMIF(90:90,G18,91:91)-SUMIF(90:90,C18,91:91)+100</f>
        <v>100</v>
      </c>
      <c r="I17" s="3522" t="s">
        <v>3429</v>
      </c>
      <c r="J17" s="547">
        <f>SUMIF(90:90,I18,91:91)-SUMIF(90:90,C18,91:91)+100</f>
        <v>100</v>
      </c>
      <c r="K17" s="533">
        <v>2</v>
      </c>
      <c r="L17" s="2135"/>
      <c r="M17" s="2125"/>
      <c r="N17" s="2125"/>
      <c r="O17" s="2134"/>
      <c r="P17" s="3764" t="s">
        <v>541</v>
      </c>
      <c r="Q17" s="1564" t="str">
        <f t="shared" si="6"/>
        <v>居住社区成熟度</v>
      </c>
      <c r="R17" s="1565" t="s">
        <v>8</v>
      </c>
      <c r="S17" s="1566">
        <f t="shared" si="0"/>
        <v>100</v>
      </c>
      <c r="T17" s="1565" t="s">
        <v>8</v>
      </c>
      <c r="U17" s="1566">
        <f t="shared" si="1"/>
        <v>100</v>
      </c>
      <c r="V17" s="1565" t="s">
        <v>8</v>
      </c>
      <c r="W17" s="1566">
        <f t="shared" si="2"/>
        <v>100</v>
      </c>
      <c r="X17" s="1559"/>
      <c r="Y17" s="3764" t="s">
        <v>541</v>
      </c>
      <c r="Z17" s="1567" t="str">
        <f t="shared" si="7"/>
        <v>居住社区成熟度</v>
      </c>
      <c r="AA17" s="1568">
        <f t="shared" si="3"/>
        <v>1</v>
      </c>
      <c r="AB17" s="1568">
        <f t="shared" si="4"/>
        <v>1</v>
      </c>
      <c r="AC17" s="1568">
        <f t="shared" si="5"/>
        <v>1</v>
      </c>
    </row>
    <row r="18" spans="1:29" ht="20.25" hidden="1">
      <c r="A18" s="530"/>
      <c r="B18" s="551"/>
      <c r="C18" s="3491" t="s">
        <v>3305</v>
      </c>
      <c r="D18" s="555"/>
      <c r="E18" s="3492" t="s">
        <v>3305</v>
      </c>
      <c r="F18" s="553"/>
      <c r="G18" s="3493" t="s">
        <v>3306</v>
      </c>
      <c r="H18" s="557"/>
      <c r="I18" s="3492" t="s">
        <v>3288</v>
      </c>
      <c r="J18" s="553"/>
      <c r="K18" s="529"/>
      <c r="L18" s="2135"/>
      <c r="M18" s="2125"/>
      <c r="N18" s="2125"/>
      <c r="O18" s="2134"/>
      <c r="P18" s="3765"/>
      <c r="Q18" s="1564"/>
      <c r="R18" s="1565"/>
      <c r="S18" s="1566"/>
      <c r="T18" s="1565"/>
      <c r="U18" s="1566"/>
      <c r="V18" s="1565"/>
      <c r="W18" s="1566"/>
      <c r="X18" s="1559"/>
      <c r="Y18" s="3765"/>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6" t="s">
        <v>3432</v>
      </c>
      <c r="F19" s="557">
        <f>SUMIF(92:92,E20,93:93)-SUMIF(92:92,C20,93:93)+100</f>
        <v>98</v>
      </c>
      <c r="G19" s="3525" t="s">
        <v>3425</v>
      </c>
      <c r="H19" s="563">
        <f>SUMIF(92:92,G20,93:93)-SUMIF(92:92,C20,93:93)+100</f>
        <v>100</v>
      </c>
      <c r="I19" s="3526" t="s">
        <v>3432</v>
      </c>
      <c r="J19" s="563">
        <f>SUMIF(92:92,I20,93:93)-SUMIF(92:92,C20,93:93)+100</f>
        <v>98</v>
      </c>
      <c r="K19" s="533">
        <v>2</v>
      </c>
      <c r="L19" s="2135"/>
      <c r="M19" s="2125"/>
      <c r="N19" s="2125"/>
      <c r="O19" s="2134"/>
      <c r="P19" s="3765"/>
      <c r="Q19" s="1564" t="str">
        <f>B19</f>
        <v>商业繁华度</v>
      </c>
      <c r="R19" s="1565" t="s">
        <v>8</v>
      </c>
      <c r="S19" s="1566">
        <f>F19</f>
        <v>98</v>
      </c>
      <c r="T19" s="1565" t="s">
        <v>8</v>
      </c>
      <c r="U19" s="1566">
        <f>H19</f>
        <v>100</v>
      </c>
      <c r="V19" s="1565" t="s">
        <v>8</v>
      </c>
      <c r="W19" s="1566">
        <f>J19</f>
        <v>98</v>
      </c>
      <c r="X19" s="1559"/>
      <c r="Y19" s="3765"/>
      <c r="Z19" s="1567" t="str">
        <f>Q19</f>
        <v>商业繁华度</v>
      </c>
      <c r="AA19" s="1568">
        <f t="shared" si="3"/>
        <v>1.0204081632653061</v>
      </c>
      <c r="AB19" s="1568">
        <f t="shared" si="4"/>
        <v>1</v>
      </c>
      <c r="AC19" s="1568">
        <f t="shared" si="5"/>
        <v>1.0204081632653061</v>
      </c>
    </row>
    <row r="20" spans="1:29" ht="20.25">
      <c r="A20" s="530"/>
      <c r="B20" s="564"/>
      <c r="C20" s="3499" t="s">
        <v>3305</v>
      </c>
      <c r="D20" s="561"/>
      <c r="E20" s="566" t="s">
        <v>3287</v>
      </c>
      <c r="F20" s="557"/>
      <c r="G20" s="565" t="s">
        <v>3288</v>
      </c>
      <c r="H20" s="553"/>
      <c r="I20" s="566" t="s">
        <v>3287</v>
      </c>
      <c r="J20" s="553"/>
      <c r="K20" s="529"/>
      <c r="L20" s="2135"/>
      <c r="M20" s="2125"/>
      <c r="N20" s="2125"/>
      <c r="O20" s="2134"/>
      <c r="P20" s="3765"/>
      <c r="Q20" s="1564"/>
      <c r="R20" s="1565"/>
      <c r="S20" s="1566"/>
      <c r="T20" s="1565"/>
      <c r="U20" s="1566"/>
      <c r="V20" s="1565"/>
      <c r="W20" s="1566"/>
      <c r="X20" s="1559"/>
      <c r="Y20" s="3765"/>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4" t="s">
        <v>3433</v>
      </c>
      <c r="F21" s="563">
        <f>SUMIF(94:94,E22,95:95)-SUMIF(94:94,C22,95:95)+100</f>
        <v>100</v>
      </c>
      <c r="G21" s="3523" t="s">
        <v>3426</v>
      </c>
      <c r="H21" s="557">
        <f>SUMIF(94:94,G22,95:95)-SUMIF(94:94,C22,95:95)+100</f>
        <v>100</v>
      </c>
      <c r="I21" s="3524" t="s">
        <v>3472</v>
      </c>
      <c r="J21" s="557">
        <f>SUMIF(94:94,I22,95:95)-SUMIF(94:94,C22,95:95)+100</f>
        <v>100</v>
      </c>
      <c r="K21" s="533">
        <v>2</v>
      </c>
      <c r="L21" s="2135"/>
      <c r="M21" s="2125"/>
      <c r="N21" s="2125"/>
      <c r="O21" s="2134"/>
      <c r="P21" s="3765"/>
      <c r="Q21" s="1564" t="str">
        <f>B21</f>
        <v>办公集聚程度</v>
      </c>
      <c r="R21" s="1565" t="s">
        <v>8</v>
      </c>
      <c r="S21" s="1566">
        <f>F21</f>
        <v>100</v>
      </c>
      <c r="T21" s="1565" t="s">
        <v>8</v>
      </c>
      <c r="U21" s="1566">
        <f>H21</f>
        <v>100</v>
      </c>
      <c r="V21" s="1565" t="s">
        <v>8</v>
      </c>
      <c r="W21" s="1566">
        <f>J21</f>
        <v>100</v>
      </c>
      <c r="X21" s="1559"/>
      <c r="Y21" s="3765"/>
      <c r="Z21" s="1567" t="str">
        <f>Q21</f>
        <v>办公集聚程度</v>
      </c>
      <c r="AA21" s="1568">
        <f t="shared" si="3"/>
        <v>1</v>
      </c>
      <c r="AB21" s="1568">
        <f t="shared" si="4"/>
        <v>1</v>
      </c>
      <c r="AC21" s="1568">
        <f t="shared" si="5"/>
        <v>1</v>
      </c>
    </row>
    <row r="22" spans="1:29" ht="20.25">
      <c r="A22" s="530"/>
      <c r="B22" s="564"/>
      <c r="C22" s="3491" t="s">
        <v>3305</v>
      </c>
      <c r="D22" s="555"/>
      <c r="E22" s="3492" t="s">
        <v>3305</v>
      </c>
      <c r="F22" s="553"/>
      <c r="G22" s="3493" t="s">
        <v>3305</v>
      </c>
      <c r="H22" s="553"/>
      <c r="I22" s="3492" t="s">
        <v>3305</v>
      </c>
      <c r="J22" s="553"/>
      <c r="K22" s="529"/>
      <c r="L22" s="2135"/>
      <c r="M22" s="2125"/>
      <c r="N22" s="2125"/>
      <c r="O22" s="2134"/>
      <c r="P22" s="3765"/>
      <c r="Q22" s="1564"/>
      <c r="R22" s="1565"/>
      <c r="S22" s="1566"/>
      <c r="T22" s="1565"/>
      <c r="U22" s="1566"/>
      <c r="V22" s="1565"/>
      <c r="W22" s="1566"/>
      <c r="X22" s="1559"/>
      <c r="Y22" s="3765"/>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3434</v>
      </c>
      <c r="F23" s="563">
        <f>SUMIF(96:96,E24,97:97)-SUMIF(96:96,C24,97:97)+100</f>
        <v>100</v>
      </c>
      <c r="G23" s="560" t="s">
        <v>3435</v>
      </c>
      <c r="H23" s="557">
        <f>SUMIF(96:96,G24,97:97)-SUMIF(96:96,C24,97:97)+100</f>
        <v>100</v>
      </c>
      <c r="I23" s="562" t="s">
        <v>3436</v>
      </c>
      <c r="J23" s="557">
        <f>SUMIF(96:96,I24,97:97)-SUMIF(96:96,C24,97:97)+100</f>
        <v>100</v>
      </c>
      <c r="K23" s="533">
        <v>2</v>
      </c>
      <c r="L23" s="2135"/>
      <c r="M23" s="2125"/>
      <c r="N23" s="2125"/>
      <c r="O23" s="2134"/>
      <c r="P23" s="3765"/>
      <c r="Q23" s="1564" t="str">
        <f>B23</f>
        <v>交通便捷度</v>
      </c>
      <c r="R23" s="1565" t="s">
        <v>8</v>
      </c>
      <c r="S23" s="1566">
        <f>F23</f>
        <v>100</v>
      </c>
      <c r="T23" s="1565" t="s">
        <v>8</v>
      </c>
      <c r="U23" s="1566">
        <f>H23</f>
        <v>100</v>
      </c>
      <c r="V23" s="1565" t="s">
        <v>8</v>
      </c>
      <c r="W23" s="1566">
        <f>J23</f>
        <v>100</v>
      </c>
      <c r="X23" s="1559"/>
      <c r="Y23" s="3765"/>
      <c r="Z23" s="1567" t="str">
        <f>Q23</f>
        <v>交通便捷度</v>
      </c>
      <c r="AA23" s="1568">
        <f t="shared" si="3"/>
        <v>1</v>
      </c>
      <c r="AB23" s="1568">
        <f t="shared" si="4"/>
        <v>1</v>
      </c>
      <c r="AC23" s="1568">
        <f t="shared" si="5"/>
        <v>1</v>
      </c>
    </row>
    <row r="24" spans="1:29" ht="20.25">
      <c r="A24" s="530"/>
      <c r="B24" s="575"/>
      <c r="C24" s="3491" t="s">
        <v>3305</v>
      </c>
      <c r="D24" s="555"/>
      <c r="E24" s="3492" t="s">
        <v>3305</v>
      </c>
      <c r="F24" s="553"/>
      <c r="G24" s="3493" t="s">
        <v>3305</v>
      </c>
      <c r="H24" s="553"/>
      <c r="I24" s="3492" t="s">
        <v>3305</v>
      </c>
      <c r="J24" s="553"/>
      <c r="K24" s="529"/>
      <c r="L24" s="2135"/>
      <c r="M24" s="2125"/>
      <c r="N24" s="2125"/>
      <c r="O24" s="2134"/>
      <c r="P24" s="3765"/>
      <c r="Q24" s="1564"/>
      <c r="R24" s="1565"/>
      <c r="S24" s="1566"/>
      <c r="T24" s="1565"/>
      <c r="U24" s="1566"/>
      <c r="V24" s="1565"/>
      <c r="W24" s="1566"/>
      <c r="X24" s="1559"/>
      <c r="Y24" s="3765"/>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65"/>
      <c r="Q25" s="1564" t="str">
        <f t="shared" ref="Q25:Q39" si="8">B25</f>
        <v>区域土地利用方向</v>
      </c>
      <c r="R25" s="1565" t="s">
        <v>8</v>
      </c>
      <c r="S25" s="1566">
        <f>F25</f>
        <v>100</v>
      </c>
      <c r="T25" s="1565" t="s">
        <v>8</v>
      </c>
      <c r="U25" s="1566">
        <f>H25</f>
        <v>100</v>
      </c>
      <c r="V25" s="1565" t="s">
        <v>8</v>
      </c>
      <c r="W25" s="1566">
        <f>J25</f>
        <v>100</v>
      </c>
      <c r="X25" s="1559"/>
      <c r="Y25" s="3765"/>
      <c r="Z25" s="1567" t="str">
        <f>Q25</f>
        <v>区域土地利用方向</v>
      </c>
      <c r="AA25" s="1568">
        <f t="shared" si="3"/>
        <v>1</v>
      </c>
      <c r="AB25" s="1568">
        <f t="shared" si="4"/>
        <v>1</v>
      </c>
      <c r="AC25" s="1568">
        <f t="shared" si="5"/>
        <v>1</v>
      </c>
    </row>
    <row r="26" spans="1:29" ht="20.25">
      <c r="A26" s="513"/>
      <c r="B26" s="1000"/>
      <c r="C26" s="3491" t="s">
        <v>3305</v>
      </c>
      <c r="D26" s="555"/>
      <c r="E26" s="3492" t="s">
        <v>3305</v>
      </c>
      <c r="F26" s="553"/>
      <c r="G26" s="3493" t="s">
        <v>3305</v>
      </c>
      <c r="H26" s="553"/>
      <c r="I26" s="3492" t="s">
        <v>3305</v>
      </c>
      <c r="J26" s="553"/>
      <c r="K26" s="529"/>
      <c r="L26" s="2135"/>
      <c r="M26" s="2125"/>
      <c r="N26" s="2125"/>
      <c r="O26" s="2134"/>
      <c r="P26" s="3765"/>
      <c r="Q26" s="1564"/>
      <c r="R26" s="1565"/>
      <c r="S26" s="1566"/>
      <c r="T26" s="1565"/>
      <c r="U26" s="1566"/>
      <c r="V26" s="1565"/>
      <c r="W26" s="1566"/>
      <c r="X26" s="1559"/>
      <c r="Y26" s="3765"/>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6" t="s">
        <v>3437</v>
      </c>
      <c r="F27" s="557">
        <f>SUMIF(100:100,E28,101:101)-SUMIF(100:100,C28,101:101)+100</f>
        <v>100</v>
      </c>
      <c r="G27" s="3525" t="s">
        <v>3438</v>
      </c>
      <c r="H27" s="557">
        <f>SUMIF(100:100,G28,101:101)-SUMIF(100:100,C28,101:101)+100</f>
        <v>100</v>
      </c>
      <c r="I27" s="3526" t="s">
        <v>3439</v>
      </c>
      <c r="J27" s="557">
        <f>SUMIF(100:100,I28,101:101)-SUMIF(100:100,C28,101:101)+100</f>
        <v>100</v>
      </c>
      <c r="K27" s="533">
        <v>2</v>
      </c>
      <c r="L27" s="2135"/>
      <c r="M27" s="2125"/>
      <c r="N27" s="2125"/>
      <c r="O27" s="2134"/>
      <c r="P27" s="3765"/>
      <c r="Q27" s="1564" t="str">
        <f t="shared" si="8"/>
        <v>自然及人文环境状况</v>
      </c>
      <c r="R27" s="1565" t="s">
        <v>8</v>
      </c>
      <c r="S27" s="1566">
        <f>F27</f>
        <v>100</v>
      </c>
      <c r="T27" s="1565" t="s">
        <v>8</v>
      </c>
      <c r="U27" s="1566">
        <f>H27</f>
        <v>100</v>
      </c>
      <c r="V27" s="1565" t="s">
        <v>8</v>
      </c>
      <c r="W27" s="1566">
        <f>J27</f>
        <v>100</v>
      </c>
      <c r="X27" s="1559"/>
      <c r="Y27" s="3765"/>
      <c r="Z27" s="1567" t="str">
        <f>Q27</f>
        <v>自然及人文环境状况</v>
      </c>
      <c r="AA27" s="1568">
        <f t="shared" si="3"/>
        <v>1</v>
      </c>
      <c r="AB27" s="1568">
        <f t="shared" si="4"/>
        <v>1</v>
      </c>
      <c r="AC27" s="1568">
        <f t="shared" si="5"/>
        <v>1</v>
      </c>
    </row>
    <row r="28" spans="1:29" ht="20.25">
      <c r="A28" s="513"/>
      <c r="B28" s="564"/>
      <c r="C28" s="3491" t="s">
        <v>3287</v>
      </c>
      <c r="D28" s="555"/>
      <c r="E28" s="3498" t="s">
        <v>3311</v>
      </c>
      <c r="F28" s="553"/>
      <c r="G28" s="3491" t="s">
        <v>3287</v>
      </c>
      <c r="H28" s="553"/>
      <c r="I28" s="3498" t="s">
        <v>3287</v>
      </c>
      <c r="J28" s="553"/>
      <c r="K28" s="529"/>
      <c r="L28" s="2135"/>
      <c r="M28" s="2125"/>
      <c r="N28" s="2125"/>
      <c r="O28" s="2134"/>
      <c r="P28" s="3765"/>
      <c r="Q28" s="1564"/>
      <c r="R28" s="1565"/>
      <c r="S28" s="1566"/>
      <c r="T28" s="1565"/>
      <c r="U28" s="1566"/>
      <c r="V28" s="1565"/>
      <c r="W28" s="1566"/>
      <c r="X28" s="1559"/>
      <c r="Y28" s="3765"/>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6" t="s">
        <v>3440</v>
      </c>
      <c r="F29" s="557">
        <f>SUMIF(102:102,E30,103:103)-SUMIF(102:102,C30,103:103)+100</f>
        <v>100</v>
      </c>
      <c r="G29" s="3525" t="s">
        <v>3441</v>
      </c>
      <c r="H29" s="557">
        <f>SUMIF(102:102,G30,103:103)-SUMIF(102:102,C30,103:103)+100</f>
        <v>100</v>
      </c>
      <c r="I29" s="3526" t="s">
        <v>3442</v>
      </c>
      <c r="J29" s="557">
        <f>SUMIF(102:102,I30,103:103)-SUMIF(102:102,C30,103:103)+100</f>
        <v>100</v>
      </c>
      <c r="K29" s="533">
        <v>2</v>
      </c>
      <c r="L29" s="2128"/>
      <c r="M29" s="2125"/>
      <c r="N29" s="2125"/>
      <c r="O29" s="2130"/>
      <c r="P29" s="3765"/>
      <c r="Q29" s="1144" t="str">
        <f t="shared" si="8"/>
        <v>公共配套设施</v>
      </c>
      <c r="R29" s="1560" t="s">
        <v>8</v>
      </c>
      <c r="S29" s="1561">
        <f>F29</f>
        <v>100</v>
      </c>
      <c r="T29" s="1560" t="s">
        <v>8</v>
      </c>
      <c r="U29" s="1561">
        <f>H29</f>
        <v>100</v>
      </c>
      <c r="V29" s="1560" t="s">
        <v>8</v>
      </c>
      <c r="W29" s="1561">
        <f>J29</f>
        <v>100</v>
      </c>
      <c r="X29" s="1562"/>
      <c r="Y29" s="3765"/>
      <c r="Z29" s="1143" t="str">
        <f>Q29</f>
        <v>公共配套设施</v>
      </c>
      <c r="AA29" s="1568">
        <f>D29/F29</f>
        <v>1</v>
      </c>
      <c r="AB29" s="1568">
        <f>D29/H29</f>
        <v>1</v>
      </c>
      <c r="AC29" s="1568">
        <f>D29/J29</f>
        <v>1</v>
      </c>
    </row>
    <row r="30" spans="1:29" s="1213" customFormat="1" ht="20.25">
      <c r="A30" s="574"/>
      <c r="B30" s="564"/>
      <c r="C30" s="3496" t="s">
        <v>3305</v>
      </c>
      <c r="D30" s="555"/>
      <c r="E30" s="3498" t="s">
        <v>3305</v>
      </c>
      <c r="F30" s="553"/>
      <c r="G30" s="3491" t="s">
        <v>3306</v>
      </c>
      <c r="H30" s="553"/>
      <c r="I30" s="3498" t="s">
        <v>3305</v>
      </c>
      <c r="J30" s="553"/>
      <c r="K30" s="529"/>
      <c r="L30" s="2128"/>
      <c r="M30" s="2125"/>
      <c r="N30" s="2125"/>
      <c r="O30" s="2130"/>
      <c r="P30" s="3765"/>
      <c r="Q30" s="1144"/>
      <c r="R30" s="1560"/>
      <c r="S30" s="1561"/>
      <c r="T30" s="1560"/>
      <c r="U30" s="1561"/>
      <c r="V30" s="1560"/>
      <c r="W30" s="1561"/>
      <c r="X30" s="1562"/>
      <c r="Y30" s="3765"/>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65"/>
      <c r="Q31" s="2595" t="str">
        <f t="shared" ref="Q31" si="9">B31</f>
        <v>基础设施水平</v>
      </c>
      <c r="R31" s="1560" t="s">
        <v>8</v>
      </c>
      <c r="S31" s="1561">
        <f>F31</f>
        <v>100</v>
      </c>
      <c r="T31" s="1560" t="s">
        <v>8</v>
      </c>
      <c r="U31" s="1561">
        <f>H31</f>
        <v>100</v>
      </c>
      <c r="V31" s="1560" t="s">
        <v>8</v>
      </c>
      <c r="W31" s="1561">
        <f>J31</f>
        <v>100</v>
      </c>
      <c r="X31" s="1562"/>
      <c r="Y31" s="3765"/>
      <c r="Z31" s="2592" t="str">
        <f>Q31</f>
        <v>基础设施水平</v>
      </c>
      <c r="AA31" s="1568">
        <f>D31/F31</f>
        <v>1</v>
      </c>
      <c r="AB31" s="1568">
        <f>D31/H31</f>
        <v>1</v>
      </c>
      <c r="AC31" s="1568">
        <f>D31/J31</f>
        <v>1</v>
      </c>
    </row>
    <row r="32" spans="1:29" s="1213" customFormat="1" ht="20.25">
      <c r="A32" s="574"/>
      <c r="B32" s="564"/>
      <c r="C32" s="3496" t="s">
        <v>3310</v>
      </c>
      <c r="D32" s="555"/>
      <c r="E32" s="3497" t="s">
        <v>3310</v>
      </c>
      <c r="F32" s="553"/>
      <c r="G32" s="3496" t="s">
        <v>3310</v>
      </c>
      <c r="H32" s="553"/>
      <c r="I32" s="3496" t="s">
        <v>3310</v>
      </c>
      <c r="J32" s="553"/>
      <c r="K32" s="529"/>
      <c r="L32" s="2128"/>
      <c r="M32" s="2125"/>
      <c r="N32" s="2125"/>
      <c r="O32" s="2130"/>
      <c r="P32" s="3765"/>
      <c r="Q32" s="2595"/>
      <c r="R32" s="1560"/>
      <c r="S32" s="1561"/>
      <c r="T32" s="1560"/>
      <c r="U32" s="1561"/>
      <c r="V32" s="1560"/>
      <c r="W32" s="1561"/>
      <c r="X32" s="1562"/>
      <c r="Y32" s="3765"/>
      <c r="Z32" s="2592"/>
      <c r="AA32" s="1568">
        <v>1</v>
      </c>
      <c r="AB32" s="1568">
        <v>1</v>
      </c>
      <c r="AC32" s="1568">
        <v>1</v>
      </c>
    </row>
    <row r="33" spans="1:29" ht="20.25">
      <c r="A33" s="530"/>
      <c r="B33" s="564" t="s">
        <v>548</v>
      </c>
      <c r="C33" s="577" t="s">
        <v>3296</v>
      </c>
      <c r="D33" s="572">
        <v>100</v>
      </c>
      <c r="E33" s="580" t="s">
        <v>3297</v>
      </c>
      <c r="F33" s="538">
        <f>SUMIF(106:106,E33,107:107)-SUMIF(106:106,C33,107:107)+100</f>
        <v>98</v>
      </c>
      <c r="G33" s="577" t="s">
        <v>3297</v>
      </c>
      <c r="H33" s="538">
        <f>SUMIF(106:106,G33,107:107)-SUMIF(106:106,C33,107:107)+100</f>
        <v>98</v>
      </c>
      <c r="I33" s="577" t="s">
        <v>3297</v>
      </c>
      <c r="J33" s="538">
        <f>SUMIF(106:106,I33,107:107)-SUMIF(106:106,C33,107:107)+100</f>
        <v>98</v>
      </c>
      <c r="K33" s="533">
        <v>2</v>
      </c>
      <c r="L33" s="2135"/>
      <c r="M33" s="2125"/>
      <c r="N33" s="2125"/>
      <c r="O33" s="2134"/>
      <c r="P33" s="3765"/>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5"/>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65"/>
      <c r="Q34" s="1564" t="str">
        <f t="shared" si="8"/>
        <v>毗邻道路的类型与等级</v>
      </c>
      <c r="R34" s="1565" t="s">
        <v>8</v>
      </c>
      <c r="S34" s="1566">
        <f t="shared" si="10"/>
        <v>98</v>
      </c>
      <c r="T34" s="1565" t="s">
        <v>8</v>
      </c>
      <c r="U34" s="1566">
        <f t="shared" si="11"/>
        <v>100</v>
      </c>
      <c r="V34" s="1565" t="s">
        <v>8</v>
      </c>
      <c r="W34" s="1566">
        <f t="shared" si="12"/>
        <v>102</v>
      </c>
      <c r="X34" s="1559"/>
      <c r="Y34" s="3765"/>
      <c r="Z34" s="1567" t="str">
        <f t="shared" si="13"/>
        <v>毗邻道路的类型与等级</v>
      </c>
      <c r="AA34" s="1568">
        <f t="shared" si="3"/>
        <v>1.0204081632653061</v>
      </c>
      <c r="AB34" s="1568">
        <f t="shared" si="4"/>
        <v>1</v>
      </c>
      <c r="AC34" s="1568">
        <f t="shared" si="5"/>
        <v>0.98039215686274506</v>
      </c>
    </row>
    <row r="35" spans="1:29" ht="20.25">
      <c r="A35" s="530"/>
      <c r="B35" s="564"/>
      <c r="C35" s="3491" t="s">
        <v>3309</v>
      </c>
      <c r="D35" s="555"/>
      <c r="E35" s="573" t="s">
        <v>3292</v>
      </c>
      <c r="F35" s="553"/>
      <c r="G35" s="552" t="s">
        <v>3290</v>
      </c>
      <c r="H35" s="553"/>
      <c r="I35" s="573" t="s">
        <v>3289</v>
      </c>
      <c r="J35" s="553"/>
      <c r="K35" s="578"/>
      <c r="L35" s="2135"/>
      <c r="M35" s="2125"/>
      <c r="N35" s="2125"/>
      <c r="O35" s="2134"/>
      <c r="P35" s="3765"/>
      <c r="Q35" s="1564"/>
      <c r="R35" s="1565"/>
      <c r="S35" s="1566"/>
      <c r="T35" s="1565"/>
      <c r="U35" s="1566"/>
      <c r="V35" s="1565"/>
      <c r="W35" s="1566"/>
      <c r="X35" s="1559"/>
      <c r="Y35" s="3765"/>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65"/>
      <c r="Q36" s="1564" t="str">
        <f t="shared" si="8"/>
        <v>土地级别</v>
      </c>
      <c r="R36" s="1565" t="s">
        <v>8</v>
      </c>
      <c r="S36" s="1566">
        <f t="shared" si="10"/>
        <v>100</v>
      </c>
      <c r="T36" s="1565" t="s">
        <v>8</v>
      </c>
      <c r="U36" s="1566">
        <f t="shared" si="11"/>
        <v>100</v>
      </c>
      <c r="V36" s="1565" t="s">
        <v>8</v>
      </c>
      <c r="W36" s="1566">
        <f t="shared" si="12"/>
        <v>100</v>
      </c>
      <c r="X36" s="1559"/>
      <c r="Y36" s="3765"/>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65"/>
      <c r="Q37" s="1564">
        <f t="shared" si="8"/>
        <v>111</v>
      </c>
      <c r="R37" s="1565" t="s">
        <v>8</v>
      </c>
      <c r="S37" s="1566">
        <f t="shared" si="10"/>
        <v>100</v>
      </c>
      <c r="T37" s="1565" t="s">
        <v>8</v>
      </c>
      <c r="U37" s="1566">
        <f t="shared" si="11"/>
        <v>100</v>
      </c>
      <c r="V37" s="1565" t="s">
        <v>8</v>
      </c>
      <c r="W37" s="1566">
        <f t="shared" si="12"/>
        <v>100</v>
      </c>
      <c r="X37" s="1559"/>
      <c r="Y37" s="3765"/>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66" t="s">
        <v>551</v>
      </c>
      <c r="Q38" s="1564">
        <f t="shared" si="8"/>
        <v>111</v>
      </c>
      <c r="R38" s="1565" t="s">
        <v>8</v>
      </c>
      <c r="S38" s="1566">
        <f t="shared" si="10"/>
        <v>100</v>
      </c>
      <c r="T38" s="1565" t="s">
        <v>8</v>
      </c>
      <c r="U38" s="1566">
        <f t="shared" si="11"/>
        <v>100</v>
      </c>
      <c r="V38" s="1565" t="s">
        <v>8</v>
      </c>
      <c r="W38" s="1566">
        <f t="shared" si="12"/>
        <v>100</v>
      </c>
      <c r="X38" s="1559"/>
      <c r="Y38" s="3767"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67"/>
      <c r="Q39" s="1564">
        <f t="shared" si="8"/>
        <v>111</v>
      </c>
      <c r="R39" s="1569" t="s">
        <v>8</v>
      </c>
      <c r="S39" s="1570">
        <f t="shared" si="10"/>
        <v>100</v>
      </c>
      <c r="T39" s="1569" t="s">
        <v>8</v>
      </c>
      <c r="U39" s="1570">
        <f t="shared" si="11"/>
        <v>100</v>
      </c>
      <c r="V39" s="1569" t="s">
        <v>8</v>
      </c>
      <c r="W39" s="1570">
        <f t="shared" si="12"/>
        <v>100</v>
      </c>
      <c r="X39" s="1571"/>
      <c r="Y39" s="3767"/>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67"/>
      <c r="Q40" s="1564" t="str">
        <f>B40</f>
        <v>宗地面积</v>
      </c>
      <c r="R40" s="1565" t="s">
        <v>8</v>
      </c>
      <c r="S40" s="1566">
        <f t="shared" si="10"/>
        <v>98</v>
      </c>
      <c r="T40" s="1565" t="s">
        <v>8</v>
      </c>
      <c r="U40" s="1566">
        <f t="shared" si="11"/>
        <v>97</v>
      </c>
      <c r="V40" s="1565" t="s">
        <v>8</v>
      </c>
      <c r="W40" s="1566">
        <f t="shared" si="12"/>
        <v>98</v>
      </c>
      <c r="X40" s="1559"/>
      <c r="Y40" s="3767"/>
      <c r="Z40" s="1567" t="str">
        <f t="shared" si="13"/>
        <v>宗地面积</v>
      </c>
      <c r="AA40" s="1568">
        <f t="shared" si="3"/>
        <v>1.0204081632653061</v>
      </c>
      <c r="AB40" s="1568">
        <f t="shared" si="4"/>
        <v>1.0309278350515463</v>
      </c>
      <c r="AC40" s="1568">
        <f t="shared" si="5"/>
        <v>1.0204081632653061</v>
      </c>
    </row>
    <row r="41" spans="1:29" ht="20.25">
      <c r="A41" s="591"/>
      <c r="B41" s="525" t="s">
        <v>554</v>
      </c>
      <c r="C41" s="3547" t="s">
        <v>3308</v>
      </c>
      <c r="D41" s="538">
        <v>100</v>
      </c>
      <c r="E41" s="3494" t="s">
        <v>3308</v>
      </c>
      <c r="F41" s="538">
        <f>SUMIF(121:121,E41,122:122)-SUMIF(121:121,C41,122:122)+100</f>
        <v>100</v>
      </c>
      <c r="G41" s="3494" t="s">
        <v>3308</v>
      </c>
      <c r="H41" s="538">
        <f>SUMIF(121:121,G41,122:122)-SUMIF(121:121,C41,122:122)+100</f>
        <v>100</v>
      </c>
      <c r="I41" s="3494" t="s">
        <v>3308</v>
      </c>
      <c r="J41" s="538">
        <f>SUMIF(121:121,I41,122:122)-SUMIF(121:121,C41,122:122)+100</f>
        <v>100</v>
      </c>
      <c r="K41" s="581"/>
      <c r="L41" s="2135"/>
      <c r="M41" s="2125"/>
      <c r="N41" s="2125"/>
      <c r="O41" s="2134"/>
      <c r="P41" s="3767"/>
      <c r="Q41" s="1564" t="str">
        <f t="shared" ref="Q41:Q47" si="14">B41</f>
        <v>宗地形状</v>
      </c>
      <c r="R41" s="1565" t="s">
        <v>8</v>
      </c>
      <c r="S41" s="1566">
        <f t="shared" si="10"/>
        <v>100</v>
      </c>
      <c r="T41" s="1565" t="s">
        <v>8</v>
      </c>
      <c r="U41" s="1566">
        <f t="shared" si="11"/>
        <v>100</v>
      </c>
      <c r="V41" s="1565" t="s">
        <v>8</v>
      </c>
      <c r="W41" s="1566">
        <f t="shared" si="12"/>
        <v>100</v>
      </c>
      <c r="X41" s="1559"/>
      <c r="Y41" s="3767"/>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67"/>
      <c r="Q42" s="1564" t="str">
        <f t="shared" si="14"/>
        <v>临街宽度及深度</v>
      </c>
      <c r="R42" s="1565" t="s">
        <v>8</v>
      </c>
      <c r="S42" s="1566">
        <f t="shared" si="10"/>
        <v>100</v>
      </c>
      <c r="T42" s="1565" t="s">
        <v>8</v>
      </c>
      <c r="U42" s="1566">
        <f t="shared" si="11"/>
        <v>100</v>
      </c>
      <c r="V42" s="1565" t="s">
        <v>8</v>
      </c>
      <c r="W42" s="1566">
        <f t="shared" si="12"/>
        <v>100</v>
      </c>
      <c r="X42" s="1559"/>
      <c r="Y42" s="3767"/>
      <c r="Z42" s="1567" t="str">
        <f t="shared" si="13"/>
        <v>临街宽度及深度</v>
      </c>
      <c r="AA42" s="1568">
        <f t="shared" si="3"/>
        <v>1</v>
      </c>
      <c r="AB42" s="1568">
        <f t="shared" si="4"/>
        <v>1</v>
      </c>
      <c r="AC42" s="1568">
        <f t="shared" si="5"/>
        <v>1</v>
      </c>
    </row>
    <row r="43" spans="1:29" s="1213" customFormat="1" ht="20.25">
      <c r="A43" s="597"/>
      <c r="B43" s="1888" t="s">
        <v>2426</v>
      </c>
      <c r="C43" s="3495" t="s">
        <v>3307</v>
      </c>
      <c r="D43" s="253">
        <v>100</v>
      </c>
      <c r="E43" s="3495" t="s">
        <v>3307</v>
      </c>
      <c r="F43" s="538">
        <f>SUMIF(125:125,E43,126:126)-SUMIF(125:125,C43,126:126)+100</f>
        <v>100</v>
      </c>
      <c r="G43" s="3495" t="s">
        <v>3307</v>
      </c>
      <c r="H43" s="538">
        <f>SUMIF(125:125,G43,126:126)-SUMIF(125:125,C43,126:126)+100</f>
        <v>100</v>
      </c>
      <c r="I43" s="3495" t="s">
        <v>3307</v>
      </c>
      <c r="J43" s="538">
        <f>SUMIF(125:125,I43,126:126)-SUMIF(125:125,C43,126:126)+100</f>
        <v>100</v>
      </c>
      <c r="K43" s="581"/>
      <c r="L43" s="2128"/>
      <c r="M43" s="2125"/>
      <c r="N43" s="2125"/>
      <c r="O43" s="2130"/>
      <c r="P43" s="3767"/>
      <c r="Q43" s="1564" t="str">
        <f t="shared" si="14"/>
        <v>宗地开发程度</v>
      </c>
      <c r="R43" s="1560" t="s">
        <v>8</v>
      </c>
      <c r="S43" s="1561">
        <f t="shared" si="10"/>
        <v>100</v>
      </c>
      <c r="T43" s="1560" t="s">
        <v>8</v>
      </c>
      <c r="U43" s="1561">
        <f t="shared" si="11"/>
        <v>100</v>
      </c>
      <c r="V43" s="1560" t="s">
        <v>8</v>
      </c>
      <c r="W43" s="1561">
        <f t="shared" si="12"/>
        <v>100</v>
      </c>
      <c r="X43" s="1562"/>
      <c r="Y43" s="3767"/>
      <c r="Z43" s="1143" t="str">
        <f t="shared" si="13"/>
        <v>宗地开发程度</v>
      </c>
      <c r="AA43" s="1563">
        <f t="shared" si="3"/>
        <v>1</v>
      </c>
      <c r="AB43" s="1563">
        <f t="shared" si="4"/>
        <v>1</v>
      </c>
      <c r="AC43" s="1563">
        <f t="shared" si="5"/>
        <v>1</v>
      </c>
    </row>
    <row r="44" spans="1:29" ht="20.25">
      <c r="A44" s="591"/>
      <c r="B44" s="525" t="s">
        <v>556</v>
      </c>
      <c r="C44" s="3494" t="s">
        <v>3305</v>
      </c>
      <c r="D44" s="538">
        <v>100</v>
      </c>
      <c r="E44" s="3494" t="s">
        <v>3305</v>
      </c>
      <c r="F44" s="538">
        <f>SUMIF(127:127,E44,128:128)-SUMIF(127:127,C44,128:128)+100</f>
        <v>100</v>
      </c>
      <c r="G44" s="3494" t="s">
        <v>3306</v>
      </c>
      <c r="H44" s="538">
        <f>SUMIF(127:127,G44,128:128)-SUMIF(127:127,C44,128:128)+100</f>
        <v>100</v>
      </c>
      <c r="I44" s="3494" t="s">
        <v>3305</v>
      </c>
      <c r="J44" s="538">
        <f>SUMIF(127:127,I44,128:128)-SUMIF(127:127,C44,128:128)+100</f>
        <v>100</v>
      </c>
      <c r="K44" s="581"/>
      <c r="L44" s="2135"/>
      <c r="M44" s="2125"/>
      <c r="N44" s="2125"/>
      <c r="O44" s="2134"/>
      <c r="P44" s="3767" t="s">
        <v>551</v>
      </c>
      <c r="Q44" s="1564" t="str">
        <f t="shared" si="14"/>
        <v>工程地质条件</v>
      </c>
      <c r="R44" s="1565" t="s">
        <v>8</v>
      </c>
      <c r="S44" s="1566">
        <f t="shared" si="10"/>
        <v>100</v>
      </c>
      <c r="T44" s="1565" t="s">
        <v>8</v>
      </c>
      <c r="U44" s="1566">
        <f t="shared" si="11"/>
        <v>100</v>
      </c>
      <c r="V44" s="1565" t="s">
        <v>8</v>
      </c>
      <c r="W44" s="1566">
        <f t="shared" si="12"/>
        <v>100</v>
      </c>
      <c r="X44" s="1559"/>
      <c r="Y44" s="3767"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67"/>
      <c r="Q45" s="1564">
        <f t="shared" si="14"/>
        <v>111</v>
      </c>
      <c r="R45" s="1565" t="s">
        <v>8</v>
      </c>
      <c r="S45" s="1566">
        <f t="shared" si="10"/>
        <v>100</v>
      </c>
      <c r="T45" s="1565" t="s">
        <v>8</v>
      </c>
      <c r="U45" s="1566">
        <f t="shared" si="11"/>
        <v>100</v>
      </c>
      <c r="V45" s="1565" t="s">
        <v>8</v>
      </c>
      <c r="W45" s="1566">
        <f t="shared" si="12"/>
        <v>100</v>
      </c>
      <c r="X45" s="1559"/>
      <c r="Y45" s="3767"/>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67"/>
      <c r="Q46" s="1564">
        <f t="shared" si="14"/>
        <v>111</v>
      </c>
      <c r="R46" s="1565" t="s">
        <v>8</v>
      </c>
      <c r="S46" s="1566">
        <f t="shared" si="10"/>
        <v>100</v>
      </c>
      <c r="T46" s="1565" t="s">
        <v>8</v>
      </c>
      <c r="U46" s="1566">
        <f t="shared" si="11"/>
        <v>100</v>
      </c>
      <c r="V46" s="1565" t="s">
        <v>8</v>
      </c>
      <c r="W46" s="1566">
        <f t="shared" si="12"/>
        <v>100</v>
      </c>
      <c r="X46" s="1559"/>
      <c r="Y46" s="3767"/>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67"/>
      <c r="Q47" s="1564">
        <f t="shared" si="14"/>
        <v>111</v>
      </c>
      <c r="R47" s="1569" t="s">
        <v>8</v>
      </c>
      <c r="S47" s="1570">
        <f t="shared" si="10"/>
        <v>100</v>
      </c>
      <c r="T47" s="1569" t="s">
        <v>8</v>
      </c>
      <c r="U47" s="1570">
        <f t="shared" si="11"/>
        <v>100</v>
      </c>
      <c r="V47" s="1569" t="s">
        <v>8</v>
      </c>
      <c r="W47" s="1570">
        <f t="shared" si="12"/>
        <v>100</v>
      </c>
      <c r="X47" s="1571"/>
      <c r="Y47" s="3767"/>
      <c r="Z47" s="1572">
        <f t="shared" si="13"/>
        <v>111</v>
      </c>
      <c r="AA47" s="1568">
        <f t="shared" si="3"/>
        <v>1</v>
      </c>
      <c r="AB47" s="1568">
        <f t="shared" si="4"/>
        <v>1</v>
      </c>
      <c r="AC47" s="1568">
        <f t="shared" si="5"/>
        <v>1</v>
      </c>
    </row>
    <row r="48" spans="1:29" ht="20.25">
      <c r="A48" s="604" t="s">
        <v>557</v>
      </c>
      <c r="B48" s="605" t="s">
        <v>3286</v>
      </c>
      <c r="C48" s="606" t="s">
        <v>1</v>
      </c>
      <c r="D48" s="607"/>
      <c r="E48" s="3546">
        <v>2120</v>
      </c>
      <c r="F48" s="609"/>
      <c r="G48" s="610">
        <v>2598</v>
      </c>
      <c r="H48" s="611"/>
      <c r="I48" s="608">
        <v>2322</v>
      </c>
      <c r="J48" s="611"/>
      <c r="K48" s="1333"/>
      <c r="L48" s="2137"/>
      <c r="M48" s="2125"/>
      <c r="N48" s="2125"/>
      <c r="O48" s="2138"/>
      <c r="P48" s="3730" t="str">
        <f>A48</f>
        <v>成交单价</v>
      </c>
      <c r="Q48" s="3730"/>
      <c r="R48" s="3731">
        <f>E48</f>
        <v>2120</v>
      </c>
      <c r="S48" s="3731"/>
      <c r="T48" s="3731">
        <f>G48</f>
        <v>2598</v>
      </c>
      <c r="U48" s="3731"/>
      <c r="V48" s="3731">
        <f>I48</f>
        <v>2322</v>
      </c>
      <c r="W48" s="3731"/>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30" t="str">
        <f>A49</f>
        <v>比较价格（元/平方米）</v>
      </c>
      <c r="Q49" s="3730"/>
      <c r="R49" s="3732">
        <f>ROUND(PRODUCT(R48,AA9:AA47),0)</f>
        <v>2105</v>
      </c>
      <c r="S49" s="3732"/>
      <c r="T49" s="3732">
        <f>ROUND(PRODUCT(T48,AB9:AB47),0)</f>
        <v>2497</v>
      </c>
      <c r="U49" s="3732"/>
      <c r="V49" s="3732">
        <f>ROUND(PRODUCT(V48,AC9:AC47),0)</f>
        <v>2241</v>
      </c>
      <c r="W49" s="3732"/>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27" t="str">
        <f>A50</f>
        <v>估价对象XX用房的比较价格（楼面单价，元/平方米）</v>
      </c>
      <c r="Q50" s="3728"/>
      <c r="R50" s="3729">
        <f>ROUND(AVERAGE(R49:V49),0)</f>
        <v>2281</v>
      </c>
      <c r="S50" s="3729"/>
      <c r="T50" s="3729"/>
      <c r="U50" s="3729"/>
      <c r="V50" s="3729"/>
      <c r="W50" s="3729"/>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56" t="s">
        <v>2282</v>
      </c>
      <c r="H57" s="3757"/>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383177</v>
      </c>
      <c r="F58" s="633">
        <f t="shared" ref="F58:F67" si="15">ROUND(B58*E58/10000,0)</f>
        <v>87403</v>
      </c>
      <c r="G58" s="3758"/>
      <c r="H58" s="3759"/>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60"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60"/>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60"/>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60"/>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461907.20000000001</v>
      </c>
      <c r="F68" s="641">
        <f>IF(B48="楼面地价",SUM(F58:F67),ROUND(C50*E68/10000,0))</f>
        <v>87403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0">
        <f>C73-$C$74</f>
        <v>99.3</v>
      </c>
      <c r="E73" s="3480">
        <f t="shared" ref="E73:N73" si="20">D73-$C$74</f>
        <v>98.6</v>
      </c>
      <c r="F73" s="3480">
        <f t="shared" si="20"/>
        <v>97.899999999999991</v>
      </c>
      <c r="G73" s="3480">
        <f t="shared" si="20"/>
        <v>97.199999999999989</v>
      </c>
      <c r="H73" s="3480">
        <f t="shared" si="20"/>
        <v>96.499999999999986</v>
      </c>
      <c r="I73" s="3480">
        <f t="shared" si="20"/>
        <v>95.799999999999983</v>
      </c>
      <c r="J73" s="3480">
        <f t="shared" si="20"/>
        <v>95.09999999999998</v>
      </c>
      <c r="K73" s="3480">
        <f t="shared" si="20"/>
        <v>94.399999999999977</v>
      </c>
      <c r="L73" s="3480">
        <f t="shared" si="20"/>
        <v>93.699999999999974</v>
      </c>
      <c r="M73" s="3480">
        <f t="shared" si="20"/>
        <v>92.999999999999972</v>
      </c>
      <c r="N73" s="3480">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79">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1" t="s">
        <v>3294</v>
      </c>
      <c r="D108" s="3481" t="s">
        <v>3295</v>
      </c>
      <c r="E108" s="3481" t="s">
        <v>3291</v>
      </c>
      <c r="F108" s="3481" t="s">
        <v>3293</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I41" sqref="I41"/>
    </sheetView>
  </sheetViews>
  <sheetFormatPr defaultRowHeight="11.25"/>
  <cols>
    <col min="1" max="1" width="16" style="3469" customWidth="1"/>
    <col min="2" max="2" width="9" style="3469"/>
    <col min="3" max="3" width="12.25" style="3469" customWidth="1"/>
    <col min="4" max="13" width="9" style="3469"/>
    <col min="14" max="14" width="31.25" style="3469" customWidth="1"/>
    <col min="15" max="16384" width="9" style="3469"/>
  </cols>
  <sheetData>
    <row r="1" spans="1:15" ht="36" customHeight="1">
      <c r="A1" s="3768" t="s">
        <v>3259</v>
      </c>
      <c r="B1" s="3768"/>
      <c r="C1" s="3768"/>
      <c r="D1" s="3768"/>
      <c r="E1" s="3768"/>
      <c r="F1" s="3768"/>
      <c r="G1" s="3768"/>
      <c r="H1" s="3768"/>
      <c r="I1" s="3768"/>
      <c r="J1" s="3768"/>
      <c r="K1" s="3768"/>
      <c r="L1" s="3768"/>
      <c r="M1" s="3768"/>
      <c r="N1" s="3768"/>
    </row>
    <row r="2" spans="1:15" s="3466" customFormat="1" ht="51.75" customHeight="1">
      <c r="A2" s="3470" t="s">
        <v>3219</v>
      </c>
      <c r="B2" s="3470" t="s">
        <v>3220</v>
      </c>
      <c r="C2" s="3470" t="s">
        <v>3221</v>
      </c>
      <c r="D2" s="3470" t="s">
        <v>3222</v>
      </c>
      <c r="E2" s="3470" t="s">
        <v>3223</v>
      </c>
      <c r="F2" s="3470" t="s">
        <v>2033</v>
      </c>
      <c r="G2" s="3470" t="s">
        <v>3224</v>
      </c>
      <c r="H2" s="3470" t="s">
        <v>3225</v>
      </c>
      <c r="I2" s="3470" t="s">
        <v>3226</v>
      </c>
      <c r="J2" s="3470" t="s">
        <v>3260</v>
      </c>
      <c r="K2" s="3470" t="s">
        <v>3228</v>
      </c>
      <c r="L2" s="3470" t="s">
        <v>3258</v>
      </c>
      <c r="M2" s="3470" t="s">
        <v>3229</v>
      </c>
      <c r="N2" s="3470" t="s">
        <v>3230</v>
      </c>
    </row>
    <row r="3" spans="1:15" s="3468" customFormat="1" ht="24.95" customHeight="1">
      <c r="A3" s="3471" t="s">
        <v>3231</v>
      </c>
      <c r="B3" s="3471" t="s">
        <v>3232</v>
      </c>
      <c r="C3" s="3471" t="s">
        <v>3233</v>
      </c>
      <c r="D3" s="3471">
        <v>12958.9</v>
      </c>
      <c r="E3" s="3471">
        <v>19438.349999999999</v>
      </c>
      <c r="F3" s="3471">
        <f>ROUND(E3/D3,3)</f>
        <v>1.5</v>
      </c>
      <c r="G3" s="3471" t="s">
        <v>3234</v>
      </c>
      <c r="H3" s="3471" t="s">
        <v>3235</v>
      </c>
      <c r="I3" s="3471">
        <v>2750</v>
      </c>
      <c r="J3" s="3471">
        <v>2750</v>
      </c>
      <c r="K3" s="3471">
        <v>1414.73</v>
      </c>
      <c r="L3" s="3471">
        <f>ROUND(J3/D3*10000,0)</f>
        <v>2122</v>
      </c>
      <c r="M3" s="3471">
        <v>0</v>
      </c>
      <c r="N3" s="3471" t="s">
        <v>3236</v>
      </c>
    </row>
    <row r="4" spans="1:15" s="3468" customFormat="1" ht="24.95" hidden="1" customHeight="1">
      <c r="A4" s="3471" t="s">
        <v>3237</v>
      </c>
      <c r="B4" s="3471" t="s">
        <v>3232</v>
      </c>
      <c r="C4" s="3471" t="s">
        <v>3233</v>
      </c>
      <c r="D4" s="3471">
        <v>1291</v>
      </c>
      <c r="E4" s="3471">
        <v>322.75</v>
      </c>
      <c r="F4" s="3471">
        <f t="shared" ref="F4:F11" si="0">ROUND(E4/D4,3)</f>
        <v>0.25</v>
      </c>
      <c r="G4" s="3471" t="s">
        <v>3234</v>
      </c>
      <c r="H4" s="3471" t="s">
        <v>3238</v>
      </c>
      <c r="I4" s="3471">
        <v>600</v>
      </c>
      <c r="J4" s="3471">
        <v>600</v>
      </c>
      <c r="K4" s="3471">
        <v>18590.240000000002</v>
      </c>
      <c r="L4" s="3471">
        <f t="shared" ref="L4:L11" si="1">ROUND(J4/D4*10000,0)</f>
        <v>4648</v>
      </c>
      <c r="M4" s="3471">
        <v>0</v>
      </c>
      <c r="N4" s="3471" t="s">
        <v>3239</v>
      </c>
    </row>
    <row r="5" spans="1:15" s="3468" customFormat="1" ht="24.95" hidden="1" customHeight="1">
      <c r="A5" s="3471" t="s">
        <v>3240</v>
      </c>
      <c r="B5" s="3471" t="s">
        <v>3232</v>
      </c>
      <c r="C5" s="3471" t="s">
        <v>3233</v>
      </c>
      <c r="D5" s="3471">
        <v>14054.5</v>
      </c>
      <c r="E5" s="3471">
        <v>8432.7000000000007</v>
      </c>
      <c r="F5" s="3471">
        <f t="shared" si="0"/>
        <v>0.6</v>
      </c>
      <c r="G5" s="3471" t="s">
        <v>3234</v>
      </c>
      <c r="H5" s="3471" t="s">
        <v>3238</v>
      </c>
      <c r="I5" s="3471">
        <v>5200</v>
      </c>
      <c r="J5" s="3471">
        <v>5200</v>
      </c>
      <c r="K5" s="3471">
        <v>6166.47</v>
      </c>
      <c r="L5" s="3471">
        <f t="shared" si="1"/>
        <v>3700</v>
      </c>
      <c r="M5" s="3471">
        <v>0</v>
      </c>
      <c r="N5" s="3471" t="s">
        <v>3241</v>
      </c>
    </row>
    <row r="6" spans="1:15" s="3468" customFormat="1" ht="24.95" customHeight="1">
      <c r="A6" s="3471" t="s">
        <v>3242</v>
      </c>
      <c r="B6" s="3471" t="s">
        <v>3232</v>
      </c>
      <c r="C6" s="3471" t="s">
        <v>3233</v>
      </c>
      <c r="D6" s="3471">
        <v>11372.3</v>
      </c>
      <c r="E6" s="3471">
        <v>11372.3</v>
      </c>
      <c r="F6" s="3471">
        <f>ROUND(E6/D6,3)</f>
        <v>1</v>
      </c>
      <c r="G6" s="3471" t="s">
        <v>3234</v>
      </c>
      <c r="H6" s="3471" t="s">
        <v>3243</v>
      </c>
      <c r="I6" s="3471">
        <v>2850</v>
      </c>
      <c r="J6" s="3471">
        <v>6200</v>
      </c>
      <c r="K6" s="3471">
        <v>5451.84</v>
      </c>
      <c r="L6" s="3471">
        <f>ROUND(J6/D6*10000,0)</f>
        <v>5452</v>
      </c>
      <c r="M6" s="3471">
        <v>117.54</v>
      </c>
      <c r="N6" s="3471" t="s">
        <v>3261</v>
      </c>
    </row>
    <row r="7" spans="1:15" s="3475" customFormat="1" ht="24.95" customHeight="1">
      <c r="A7" s="3474" t="s">
        <v>3245</v>
      </c>
      <c r="B7" s="3474" t="s">
        <v>3232</v>
      </c>
      <c r="C7" s="3474" t="s">
        <v>3233</v>
      </c>
      <c r="D7" s="3474">
        <v>23581.5</v>
      </c>
      <c r="E7" s="3474">
        <v>28297.8</v>
      </c>
      <c r="F7" s="3474">
        <f>ROUND(E7/D7,3)</f>
        <v>1.2</v>
      </c>
      <c r="G7" s="3474" t="s">
        <v>3234</v>
      </c>
      <c r="H7" s="3474" t="s">
        <v>3246</v>
      </c>
      <c r="I7" s="3474">
        <v>6000</v>
      </c>
      <c r="J7" s="3474">
        <v>6000</v>
      </c>
      <c r="K7" s="3474">
        <v>2120.3000000000002</v>
      </c>
      <c r="L7" s="3474">
        <f t="shared" si="1"/>
        <v>2544</v>
      </c>
      <c r="M7" s="3474">
        <v>0</v>
      </c>
      <c r="N7" s="3474" t="s">
        <v>3244</v>
      </c>
    </row>
    <row r="8" spans="1:15" s="3468" customFormat="1" ht="24.95" hidden="1" customHeight="1">
      <c r="A8" s="3467" t="s">
        <v>3237</v>
      </c>
      <c r="B8" s="3467" t="s">
        <v>3232</v>
      </c>
      <c r="C8" s="3467" t="s">
        <v>3233</v>
      </c>
      <c r="D8" s="3467">
        <v>1288.8</v>
      </c>
      <c r="E8" s="3467">
        <v>322.2</v>
      </c>
      <c r="F8" s="3467">
        <f t="shared" si="0"/>
        <v>0.25</v>
      </c>
      <c r="G8" s="3467" t="s">
        <v>3234</v>
      </c>
      <c r="H8" s="3467" t="s">
        <v>3247</v>
      </c>
      <c r="I8" s="3467" t="s">
        <v>2822</v>
      </c>
      <c r="J8" s="3467">
        <v>4200</v>
      </c>
      <c r="K8" s="3467">
        <v>130353.82</v>
      </c>
      <c r="L8" s="3467">
        <f t="shared" si="1"/>
        <v>32588</v>
      </c>
      <c r="M8" s="3467" t="s">
        <v>2822</v>
      </c>
      <c r="N8" s="3467" t="s">
        <v>3239</v>
      </c>
    </row>
    <row r="9" spans="1:15" s="3468" customFormat="1" ht="24.95" hidden="1" customHeight="1">
      <c r="A9" s="3467" t="s">
        <v>3248</v>
      </c>
      <c r="B9" s="3467" t="s">
        <v>3232</v>
      </c>
      <c r="C9" s="3467" t="s">
        <v>3233</v>
      </c>
      <c r="D9" s="3467">
        <v>1982</v>
      </c>
      <c r="E9" s="3467">
        <v>495.5</v>
      </c>
      <c r="F9" s="3467">
        <f t="shared" si="0"/>
        <v>0.25</v>
      </c>
      <c r="G9" s="3467" t="s">
        <v>3234</v>
      </c>
      <c r="H9" s="3467" t="s">
        <v>3249</v>
      </c>
      <c r="I9" s="3467">
        <v>700</v>
      </c>
      <c r="J9" s="3467">
        <v>1560</v>
      </c>
      <c r="K9" s="3467">
        <v>31483.34</v>
      </c>
      <c r="L9" s="3467">
        <f t="shared" si="1"/>
        <v>7871</v>
      </c>
      <c r="M9" s="3467">
        <v>122.86</v>
      </c>
      <c r="N9" s="3467" t="s">
        <v>3250</v>
      </c>
    </row>
    <row r="10" spans="1:15" s="3468" customFormat="1" ht="24.95" hidden="1" customHeight="1">
      <c r="A10" s="3467" t="s">
        <v>3251</v>
      </c>
      <c r="B10" s="3467" t="s">
        <v>3232</v>
      </c>
      <c r="C10" s="3467" t="s">
        <v>3233</v>
      </c>
      <c r="D10" s="3467">
        <v>2093.5</v>
      </c>
      <c r="E10" s="3467">
        <v>418.7</v>
      </c>
      <c r="F10" s="3467">
        <f t="shared" si="0"/>
        <v>0.2</v>
      </c>
      <c r="G10" s="3467" t="s">
        <v>3234</v>
      </c>
      <c r="H10" s="3467" t="s">
        <v>3252</v>
      </c>
      <c r="I10" s="3467">
        <v>713</v>
      </c>
      <c r="J10" s="3467">
        <v>713</v>
      </c>
      <c r="K10" s="3467">
        <v>17028.900000000001</v>
      </c>
      <c r="L10" s="3467">
        <f t="shared" si="1"/>
        <v>3406</v>
      </c>
      <c r="M10" s="3467">
        <v>0</v>
      </c>
      <c r="N10" s="3467" t="s">
        <v>3253</v>
      </c>
    </row>
    <row r="11" spans="1:15" s="3468" customFormat="1" ht="24.95" hidden="1" customHeight="1">
      <c r="A11" s="3467" t="s">
        <v>3254</v>
      </c>
      <c r="B11" s="3467" t="s">
        <v>3232</v>
      </c>
      <c r="C11" s="3467" t="s">
        <v>3233</v>
      </c>
      <c r="D11" s="3467">
        <v>1808.8</v>
      </c>
      <c r="E11" s="3467">
        <v>542.64</v>
      </c>
      <c r="F11" s="3467">
        <f t="shared" si="0"/>
        <v>0.3</v>
      </c>
      <c r="G11" s="3467" t="s">
        <v>3234</v>
      </c>
      <c r="H11" s="3467" t="s">
        <v>3255</v>
      </c>
      <c r="I11" s="3467">
        <v>554</v>
      </c>
      <c r="J11" s="3467">
        <v>554</v>
      </c>
      <c r="K11" s="3467">
        <v>10209.35</v>
      </c>
      <c r="L11" s="3467">
        <f t="shared" si="1"/>
        <v>3063</v>
      </c>
      <c r="M11" s="3467">
        <v>0</v>
      </c>
      <c r="N11" s="3467" t="s">
        <v>3256</v>
      </c>
    </row>
    <row r="12" spans="1:15">
      <c r="L12" s="3467"/>
    </row>
    <row r="16" spans="1:15" s="2956" customFormat="1" ht="40.5">
      <c r="A16" s="3473" t="s">
        <v>3219</v>
      </c>
      <c r="B16" s="3473" t="s">
        <v>3220</v>
      </c>
      <c r="C16" s="3473" t="s">
        <v>3221</v>
      </c>
      <c r="D16" s="3473" t="s">
        <v>3222</v>
      </c>
      <c r="E16" s="3473" t="s">
        <v>3223</v>
      </c>
      <c r="F16" s="3473" t="s">
        <v>2033</v>
      </c>
      <c r="G16" s="3473" t="s">
        <v>3224</v>
      </c>
      <c r="H16" s="3473" t="s">
        <v>3225</v>
      </c>
      <c r="I16" s="3473" t="s">
        <v>3226</v>
      </c>
      <c r="J16" s="3473" t="s">
        <v>3227</v>
      </c>
      <c r="K16" s="3473" t="s">
        <v>3228</v>
      </c>
      <c r="L16" s="3473" t="s">
        <v>3257</v>
      </c>
      <c r="M16" s="3473" t="s">
        <v>3229</v>
      </c>
      <c r="N16" s="3473" t="s">
        <v>3230</v>
      </c>
      <c r="O16" s="3472"/>
    </row>
    <row r="17" spans="1:15" s="2956" customFormat="1" ht="27" hidden="1">
      <c r="A17" s="3473" t="s">
        <v>3262</v>
      </c>
      <c r="B17" s="3473" t="s">
        <v>3232</v>
      </c>
      <c r="C17" s="3473" t="s">
        <v>3233</v>
      </c>
      <c r="D17" s="3473">
        <v>28398.400000000001</v>
      </c>
      <c r="E17" s="3473">
        <v>22718.720000000001</v>
      </c>
      <c r="F17" s="3473">
        <f>E17/D17</f>
        <v>0.8</v>
      </c>
      <c r="G17" s="3470" t="s">
        <v>3234</v>
      </c>
      <c r="H17" s="3473" t="s">
        <v>3235</v>
      </c>
      <c r="I17" s="3473">
        <v>8850</v>
      </c>
      <c r="J17" s="3473">
        <v>8850</v>
      </c>
      <c r="K17" s="3473">
        <v>3895.46</v>
      </c>
      <c r="L17" s="3471">
        <f>ROUND(J17/D17*10000,0)</f>
        <v>3116</v>
      </c>
      <c r="M17" s="3473">
        <v>0</v>
      </c>
      <c r="N17" s="3473" t="s">
        <v>3263</v>
      </c>
      <c r="O17" s="3472"/>
    </row>
    <row r="18" spans="1:15" s="2956" customFormat="1" ht="27" hidden="1">
      <c r="A18" s="3473" t="s">
        <v>3264</v>
      </c>
      <c r="B18" s="3473" t="s">
        <v>3232</v>
      </c>
      <c r="C18" s="3473" t="s">
        <v>3233</v>
      </c>
      <c r="D18" s="3473">
        <v>30344.5</v>
      </c>
      <c r="E18" s="3473">
        <v>24275.599999999999</v>
      </c>
      <c r="F18" s="3473">
        <f t="shared" ref="F18:F28" si="2">E18/D18</f>
        <v>0.79999999999999993</v>
      </c>
      <c r="G18" s="3473" t="s">
        <v>3234</v>
      </c>
      <c r="H18" s="3473" t="s">
        <v>3235</v>
      </c>
      <c r="I18" s="3473">
        <v>9460</v>
      </c>
      <c r="J18" s="3473">
        <v>9460</v>
      </c>
      <c r="K18" s="3473">
        <v>3896.92</v>
      </c>
      <c r="L18" s="3471">
        <f t="shared" ref="L18:L28" si="3">ROUND(J18/D18*10000,0)</f>
        <v>3118</v>
      </c>
      <c r="M18" s="3473">
        <v>0</v>
      </c>
      <c r="N18" s="3473" t="s">
        <v>3263</v>
      </c>
      <c r="O18" s="3472"/>
    </row>
    <row r="19" spans="1:15" s="3478" customFormat="1" ht="27">
      <c r="A19" s="3476" t="s">
        <v>3265</v>
      </c>
      <c r="B19" s="3476" t="s">
        <v>3232</v>
      </c>
      <c r="C19" s="3476" t="s">
        <v>3233</v>
      </c>
      <c r="D19" s="3476">
        <v>17452.599999999999</v>
      </c>
      <c r="E19" s="3476">
        <v>34905.199999999997</v>
      </c>
      <c r="F19" s="3476">
        <f t="shared" si="2"/>
        <v>2</v>
      </c>
      <c r="G19" s="3476" t="s">
        <v>3234</v>
      </c>
      <c r="H19" s="3476" t="s">
        <v>3235</v>
      </c>
      <c r="I19" s="3476">
        <v>9070</v>
      </c>
      <c r="J19" s="3476">
        <v>9070</v>
      </c>
      <c r="K19" s="3476">
        <v>2598.46</v>
      </c>
      <c r="L19" s="3474">
        <f t="shared" si="3"/>
        <v>5197</v>
      </c>
      <c r="M19" s="3476">
        <v>0</v>
      </c>
      <c r="N19" s="3476" t="s">
        <v>3266</v>
      </c>
      <c r="O19" s="3477"/>
    </row>
    <row r="20" spans="1:15" s="2956" customFormat="1" ht="27" hidden="1">
      <c r="A20" s="3473" t="s">
        <v>3267</v>
      </c>
      <c r="B20" s="3473" t="s">
        <v>3232</v>
      </c>
      <c r="C20" s="3473" t="s">
        <v>3233</v>
      </c>
      <c r="D20" s="3473">
        <v>9594.6</v>
      </c>
      <c r="E20" s="3473">
        <v>7675.68</v>
      </c>
      <c r="F20" s="3473">
        <f t="shared" si="2"/>
        <v>0.8</v>
      </c>
      <c r="G20" s="3473" t="s">
        <v>3234</v>
      </c>
      <c r="H20" s="3473" t="s">
        <v>3235</v>
      </c>
      <c r="I20" s="3473">
        <v>2990</v>
      </c>
      <c r="J20" s="3473">
        <v>2990</v>
      </c>
      <c r="K20" s="3473">
        <v>3895.42</v>
      </c>
      <c r="L20" s="3471">
        <f t="shared" si="3"/>
        <v>3116</v>
      </c>
      <c r="M20" s="3473">
        <v>0</v>
      </c>
      <c r="N20" s="3473" t="s">
        <v>3263</v>
      </c>
      <c r="O20" s="3472"/>
    </row>
    <row r="21" spans="1:15" s="2956" customFormat="1" ht="27">
      <c r="A21" s="3473" t="s">
        <v>3268</v>
      </c>
      <c r="B21" s="3473" t="s">
        <v>3232</v>
      </c>
      <c r="C21" s="3473" t="s">
        <v>3233</v>
      </c>
      <c r="D21" s="3473">
        <v>114503.3</v>
      </c>
      <c r="E21" s="3473">
        <v>171754.95</v>
      </c>
      <c r="F21" s="3473">
        <f t="shared" si="2"/>
        <v>1.5</v>
      </c>
      <c r="G21" s="3473" t="s">
        <v>3234</v>
      </c>
      <c r="H21" s="3473" t="s">
        <v>3269</v>
      </c>
      <c r="I21" s="3473">
        <v>27300</v>
      </c>
      <c r="J21" s="3473">
        <v>27300</v>
      </c>
      <c r="K21" s="3473">
        <v>1589.47</v>
      </c>
      <c r="L21" s="3471">
        <f t="shared" si="3"/>
        <v>2384</v>
      </c>
      <c r="M21" s="3473">
        <v>0</v>
      </c>
      <c r="N21" s="3473" t="s">
        <v>3270</v>
      </c>
      <c r="O21" s="3472"/>
    </row>
    <row r="22" spans="1:15" s="2956" customFormat="1" ht="27">
      <c r="A22" s="3473" t="s">
        <v>3271</v>
      </c>
      <c r="B22" s="3473" t="s">
        <v>3232</v>
      </c>
      <c r="C22" s="3473" t="s">
        <v>3233</v>
      </c>
      <c r="D22" s="3473">
        <v>164991.9</v>
      </c>
      <c r="E22" s="3473">
        <v>230988.66</v>
      </c>
      <c r="F22" s="3473">
        <f t="shared" si="2"/>
        <v>1.4000000000000001</v>
      </c>
      <c r="G22" s="3473" t="s">
        <v>3234</v>
      </c>
      <c r="H22" s="3473" t="s">
        <v>3269</v>
      </c>
      <c r="I22" s="3473">
        <v>27700</v>
      </c>
      <c r="J22" s="3473">
        <v>27700</v>
      </c>
      <c r="K22" s="3473">
        <v>1199.19</v>
      </c>
      <c r="L22" s="3471">
        <f t="shared" si="3"/>
        <v>1679</v>
      </c>
      <c r="M22" s="3473">
        <v>0</v>
      </c>
      <c r="N22" s="3473" t="s">
        <v>3270</v>
      </c>
      <c r="O22" s="3472"/>
    </row>
    <row r="23" spans="1:15" s="2956" customFormat="1" ht="27">
      <c r="A23" s="3473" t="s">
        <v>3272</v>
      </c>
      <c r="B23" s="3473" t="s">
        <v>3232</v>
      </c>
      <c r="C23" s="3473" t="s">
        <v>3233</v>
      </c>
      <c r="D23" s="3473">
        <v>9263</v>
      </c>
      <c r="E23" s="3473">
        <v>11115.6</v>
      </c>
      <c r="F23" s="3473">
        <f t="shared" si="2"/>
        <v>1.2</v>
      </c>
      <c r="G23" s="3473" t="s">
        <v>3234</v>
      </c>
      <c r="H23" s="3473" t="s">
        <v>3273</v>
      </c>
      <c r="I23" s="3473">
        <v>2080</v>
      </c>
      <c r="J23" s="3473">
        <v>2080</v>
      </c>
      <c r="K23" s="3473">
        <v>1871.24</v>
      </c>
      <c r="L23" s="3471">
        <f t="shared" si="3"/>
        <v>2245</v>
      </c>
      <c r="M23" s="3473">
        <v>0</v>
      </c>
      <c r="N23" s="3473" t="s">
        <v>3274</v>
      </c>
      <c r="O23" s="3472"/>
    </row>
    <row r="24" spans="1:15" s="2956" customFormat="1" ht="27">
      <c r="A24" s="3473" t="s">
        <v>3275</v>
      </c>
      <c r="B24" s="3473" t="s">
        <v>3232</v>
      </c>
      <c r="C24" s="3473" t="s">
        <v>3233</v>
      </c>
      <c r="D24" s="3473">
        <v>8908.7000000000007</v>
      </c>
      <c r="E24" s="3473">
        <v>11581.31</v>
      </c>
      <c r="F24" s="3473">
        <f t="shared" si="2"/>
        <v>1.2999999999999998</v>
      </c>
      <c r="G24" s="3473" t="s">
        <v>3234</v>
      </c>
      <c r="H24" s="3473" t="s">
        <v>3276</v>
      </c>
      <c r="I24" s="3473">
        <v>1400</v>
      </c>
      <c r="J24" s="3473">
        <v>1400</v>
      </c>
      <c r="K24" s="3473">
        <v>1208.83</v>
      </c>
      <c r="L24" s="3471">
        <f t="shared" si="3"/>
        <v>1571</v>
      </c>
      <c r="M24" s="3473">
        <v>0</v>
      </c>
      <c r="N24" s="3473" t="s">
        <v>3270</v>
      </c>
      <c r="O24" s="3472"/>
    </row>
    <row r="25" spans="1:15" s="2956" customFormat="1" ht="27">
      <c r="A25" s="3473" t="s">
        <v>3277</v>
      </c>
      <c r="B25" s="3473" t="s">
        <v>3232</v>
      </c>
      <c r="C25" s="3473" t="s">
        <v>3233</v>
      </c>
      <c r="D25" s="3473">
        <v>64118</v>
      </c>
      <c r="E25" s="3473">
        <v>76941.600000000006</v>
      </c>
      <c r="F25" s="3473">
        <f t="shared" si="2"/>
        <v>1.2000000000000002</v>
      </c>
      <c r="G25" s="3473" t="s">
        <v>3234</v>
      </c>
      <c r="H25" s="3473" t="s">
        <v>3276</v>
      </c>
      <c r="I25" s="3473">
        <v>13500</v>
      </c>
      <c r="J25" s="3473">
        <v>13500</v>
      </c>
      <c r="K25" s="3473">
        <v>1754.57</v>
      </c>
      <c r="L25" s="3471">
        <f t="shared" si="3"/>
        <v>2105</v>
      </c>
      <c r="M25" s="3473">
        <v>0</v>
      </c>
      <c r="N25" s="3473" t="s">
        <v>3278</v>
      </c>
      <c r="O25" s="3472"/>
    </row>
    <row r="26" spans="1:15" s="3478" customFormat="1" ht="27">
      <c r="A26" s="3476" t="s">
        <v>3279</v>
      </c>
      <c r="B26" s="3476" t="s">
        <v>3232</v>
      </c>
      <c r="C26" s="3476" t="s">
        <v>3233</v>
      </c>
      <c r="D26" s="3476">
        <v>39629</v>
      </c>
      <c r="E26" s="3476">
        <v>99072.5</v>
      </c>
      <c r="F26" s="3476">
        <f t="shared" si="2"/>
        <v>2.5</v>
      </c>
      <c r="G26" s="3476" t="s">
        <v>3234</v>
      </c>
      <c r="H26" s="3476" t="s">
        <v>3243</v>
      </c>
      <c r="I26" s="3476">
        <v>23000</v>
      </c>
      <c r="J26" s="3476">
        <v>23000</v>
      </c>
      <c r="K26" s="3476">
        <v>2321.5300000000002</v>
      </c>
      <c r="L26" s="3474">
        <f t="shared" si="3"/>
        <v>5804</v>
      </c>
      <c r="M26" s="3476">
        <v>0</v>
      </c>
      <c r="N26" s="3476" t="s">
        <v>3280</v>
      </c>
      <c r="O26" s="3477"/>
    </row>
    <row r="27" spans="1:15" s="2956" customFormat="1" ht="27">
      <c r="A27" s="3473" t="s">
        <v>3281</v>
      </c>
      <c r="B27" s="3473" t="s">
        <v>3232</v>
      </c>
      <c r="C27" s="3473" t="s">
        <v>3233</v>
      </c>
      <c r="D27" s="3473">
        <v>248899.6</v>
      </c>
      <c r="E27" s="3473">
        <v>323569.5</v>
      </c>
      <c r="F27" s="3473">
        <f t="shared" si="2"/>
        <v>1.3000000803536846</v>
      </c>
      <c r="G27" s="3473" t="s">
        <v>3234</v>
      </c>
      <c r="H27" s="3473" t="s">
        <v>3243</v>
      </c>
      <c r="I27" s="3473">
        <v>137194</v>
      </c>
      <c r="J27" s="3473">
        <v>137194</v>
      </c>
      <c r="K27" s="3473">
        <v>4240.0200000000004</v>
      </c>
      <c r="L27" s="3471">
        <f t="shared" si="3"/>
        <v>5512</v>
      </c>
      <c r="M27" s="3473">
        <v>0</v>
      </c>
      <c r="N27" s="3473" t="s">
        <v>3282</v>
      </c>
      <c r="O27" s="3472"/>
    </row>
    <row r="28" spans="1:15" s="2956" customFormat="1" ht="27">
      <c r="A28" s="3473" t="s">
        <v>3283</v>
      </c>
      <c r="B28" s="3473" t="s">
        <v>3232</v>
      </c>
      <c r="C28" s="3473" t="s">
        <v>3233</v>
      </c>
      <c r="D28" s="3473">
        <v>98577.600000000006</v>
      </c>
      <c r="E28" s="3473">
        <v>128150.88</v>
      </c>
      <c r="F28" s="3473">
        <f t="shared" si="2"/>
        <v>1.3</v>
      </c>
      <c r="G28" s="3473" t="s">
        <v>3234</v>
      </c>
      <c r="H28" s="3473" t="s">
        <v>3246</v>
      </c>
      <c r="I28" s="3473">
        <v>16500</v>
      </c>
      <c r="J28" s="3473">
        <v>16500</v>
      </c>
      <c r="K28" s="3473">
        <v>1287.53</v>
      </c>
      <c r="L28" s="3471">
        <f t="shared" si="3"/>
        <v>1674</v>
      </c>
      <c r="M28" s="3473">
        <v>0</v>
      </c>
      <c r="N28" s="3473" t="s">
        <v>3284</v>
      </c>
      <c r="O28" s="3472"/>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36" t="s">
        <v>523</v>
      </c>
      <c r="D6" s="3737"/>
      <c r="E6" s="3771" t="s">
        <v>524</v>
      </c>
      <c r="F6" s="3772"/>
      <c r="G6" s="3736" t="s">
        <v>525</v>
      </c>
      <c r="H6" s="3737"/>
      <c r="I6" s="3736" t="s">
        <v>526</v>
      </c>
      <c r="J6" s="3737"/>
      <c r="K6" s="512" t="s">
        <v>527</v>
      </c>
      <c r="L6" s="2126"/>
      <c r="M6" s="2127"/>
      <c r="N6" s="2127"/>
      <c r="O6" s="2127"/>
      <c r="P6" s="3738" t="s">
        <v>528</v>
      </c>
      <c r="Q6" s="3739"/>
      <c r="R6" s="3744" t="s">
        <v>524</v>
      </c>
      <c r="S6" s="3745"/>
      <c r="T6" s="3744" t="s">
        <v>525</v>
      </c>
      <c r="U6" s="3745"/>
      <c r="V6" s="3731" t="s">
        <v>526</v>
      </c>
      <c r="W6" s="3731"/>
      <c r="X6" s="1559"/>
      <c r="Y6" s="3744" t="s">
        <v>528</v>
      </c>
      <c r="Z6" s="3745"/>
      <c r="AA6" s="3733" t="s">
        <v>524</v>
      </c>
      <c r="AB6" s="3734" t="s">
        <v>525</v>
      </c>
      <c r="AC6" s="3733" t="s">
        <v>526</v>
      </c>
    </row>
    <row r="7" spans="1:29" ht="15">
      <c r="A7" s="513"/>
      <c r="B7" s="514"/>
      <c r="C7" s="3752" t="s">
        <v>2929</v>
      </c>
      <c r="D7" s="3753"/>
      <c r="E7" s="3773" t="s">
        <v>2930</v>
      </c>
      <c r="F7" s="3774"/>
      <c r="G7" s="3752" t="s">
        <v>2931</v>
      </c>
      <c r="H7" s="3753"/>
      <c r="I7" s="3752" t="s">
        <v>2932</v>
      </c>
      <c r="J7" s="3753"/>
      <c r="K7" s="512"/>
      <c r="L7" s="2126"/>
      <c r="M7" s="2127"/>
      <c r="N7" s="2127"/>
      <c r="O7" s="2127"/>
      <c r="P7" s="3740"/>
      <c r="Q7" s="3741"/>
      <c r="R7" s="3746"/>
      <c r="S7" s="3747"/>
      <c r="T7" s="3746"/>
      <c r="U7" s="3747"/>
      <c r="V7" s="3731"/>
      <c r="W7" s="3731"/>
      <c r="X7" s="1559"/>
      <c r="Y7" s="3746"/>
      <c r="Z7" s="3747"/>
      <c r="AA7" s="3734"/>
      <c r="AB7" s="3734"/>
      <c r="AC7" s="3734"/>
    </row>
    <row r="8" spans="1:29" ht="15.75" thickBot="1">
      <c r="A8" s="515"/>
      <c r="B8" s="516"/>
      <c r="C8" s="3750" t="s">
        <v>2933</v>
      </c>
      <c r="D8" s="3751"/>
      <c r="E8" s="3769" t="s">
        <v>2933</v>
      </c>
      <c r="F8" s="3770"/>
      <c r="G8" s="3750" t="s">
        <v>2933</v>
      </c>
      <c r="H8" s="3751"/>
      <c r="I8" s="3750" t="s">
        <v>2933</v>
      </c>
      <c r="J8" s="3751"/>
      <c r="K8" s="512" t="s">
        <v>529</v>
      </c>
      <c r="L8" s="2126"/>
      <c r="M8" s="2127"/>
      <c r="N8" s="2127"/>
      <c r="O8" s="2127"/>
      <c r="P8" s="3742"/>
      <c r="Q8" s="3743"/>
      <c r="R8" s="3746"/>
      <c r="S8" s="3747"/>
      <c r="T8" s="3748"/>
      <c r="U8" s="3749"/>
      <c r="V8" s="3731"/>
      <c r="W8" s="3731"/>
      <c r="X8" s="1559"/>
      <c r="Y8" s="3748"/>
      <c r="Z8" s="3749"/>
      <c r="AA8" s="3735"/>
      <c r="AB8" s="3735"/>
      <c r="AC8" s="3735"/>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61" t="s">
        <v>531</v>
      </c>
      <c r="Q9" s="3763"/>
      <c r="R9" s="1560" t="s">
        <v>8</v>
      </c>
      <c r="S9" s="1561">
        <f t="shared" ref="S9:S17" si="0">F9</f>
        <v>0</v>
      </c>
      <c r="T9" s="1560" t="s">
        <v>8</v>
      </c>
      <c r="U9" s="1561">
        <f t="shared" ref="U9:U17" si="1">H9</f>
        <v>0</v>
      </c>
      <c r="V9" s="1560" t="s">
        <v>8</v>
      </c>
      <c r="W9" s="1561">
        <f t="shared" ref="W9:W17" si="2">J9</f>
        <v>0</v>
      </c>
      <c r="X9" s="1562"/>
      <c r="Y9" s="3761" t="s">
        <v>531</v>
      </c>
      <c r="Z9" s="3762"/>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61" t="s">
        <v>534</v>
      </c>
      <c r="Q10" s="3762"/>
      <c r="R10" s="1560" t="s">
        <v>8</v>
      </c>
      <c r="S10" s="1561">
        <f t="shared" si="0"/>
        <v>0</v>
      </c>
      <c r="T10" s="1560" t="s">
        <v>8</v>
      </c>
      <c r="U10" s="1561">
        <f t="shared" si="1"/>
        <v>0</v>
      </c>
      <c r="V10" s="1560" t="s">
        <v>8</v>
      </c>
      <c r="W10" s="1561">
        <f t="shared" si="2"/>
        <v>0</v>
      </c>
      <c r="X10" s="1562"/>
      <c r="Y10" s="3761" t="s">
        <v>534</v>
      </c>
      <c r="Z10" s="3762"/>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30" t="s">
        <v>536</v>
      </c>
      <c r="Q11" s="1144" t="str">
        <f t="shared" ref="Q11:Q17" si="6">B11</f>
        <v>用途</v>
      </c>
      <c r="R11" s="1560" t="s">
        <v>8</v>
      </c>
      <c r="S11" s="1561">
        <f t="shared" si="0"/>
        <v>100</v>
      </c>
      <c r="T11" s="1560" t="s">
        <v>8</v>
      </c>
      <c r="U11" s="1561">
        <f t="shared" si="1"/>
        <v>100</v>
      </c>
      <c r="V11" s="1560" t="s">
        <v>8</v>
      </c>
      <c r="W11" s="1561">
        <f t="shared" si="2"/>
        <v>100</v>
      </c>
      <c r="X11" s="1562"/>
      <c r="Y11" s="3676"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30"/>
      <c r="Q12" s="1144" t="str">
        <f t="shared" si="6"/>
        <v>土地使用年限（年）</v>
      </c>
      <c r="R12" s="1560" t="s">
        <v>8</v>
      </c>
      <c r="S12" s="1561">
        <f t="shared" si="0"/>
        <v>104</v>
      </c>
      <c r="T12" s="1560" t="s">
        <v>8</v>
      </c>
      <c r="U12" s="1561">
        <f t="shared" si="1"/>
        <v>104</v>
      </c>
      <c r="V12" s="1560" t="s">
        <v>8</v>
      </c>
      <c r="W12" s="1561">
        <f t="shared" si="2"/>
        <v>104</v>
      </c>
      <c r="X12" s="1562"/>
      <c r="Y12" s="3676"/>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30"/>
      <c r="Q13" s="1144" t="str">
        <f t="shared" si="6"/>
        <v>容积率</v>
      </c>
      <c r="R13" s="1560" t="s">
        <v>8</v>
      </c>
      <c r="S13" s="1561" t="e">
        <f t="shared" si="0"/>
        <v>#N/A</v>
      </c>
      <c r="T13" s="1560" t="s">
        <v>8</v>
      </c>
      <c r="U13" s="1561" t="e">
        <f t="shared" si="1"/>
        <v>#N/A</v>
      </c>
      <c r="V13" s="1560" t="s">
        <v>8</v>
      </c>
      <c r="W13" s="1561" t="e">
        <f t="shared" si="2"/>
        <v>#N/A</v>
      </c>
      <c r="X13" s="1562"/>
      <c r="Y13" s="3676"/>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30"/>
      <c r="Q15" s="1144">
        <f t="shared" si="6"/>
        <v>111</v>
      </c>
      <c r="R15" s="1560" t="s">
        <v>8</v>
      </c>
      <c r="S15" s="1561">
        <f t="shared" si="0"/>
        <v>100</v>
      </c>
      <c r="T15" s="1560" t="s">
        <v>8</v>
      </c>
      <c r="U15" s="1561">
        <f t="shared" si="1"/>
        <v>100</v>
      </c>
      <c r="V15" s="1560" t="s">
        <v>8</v>
      </c>
      <c r="W15" s="1561">
        <f t="shared" si="2"/>
        <v>100</v>
      </c>
      <c r="X15" s="1562"/>
      <c r="Y15" s="3676"/>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30"/>
      <c r="Q16" s="1144">
        <f t="shared" si="6"/>
        <v>111</v>
      </c>
      <c r="R16" s="1560" t="s">
        <v>8</v>
      </c>
      <c r="S16" s="1561">
        <f t="shared" si="0"/>
        <v>100</v>
      </c>
      <c r="T16" s="1560" t="s">
        <v>8</v>
      </c>
      <c r="U16" s="1561">
        <f t="shared" si="1"/>
        <v>100</v>
      </c>
      <c r="V16" s="1560" t="s">
        <v>8</v>
      </c>
      <c r="W16" s="1561">
        <f t="shared" si="2"/>
        <v>100</v>
      </c>
      <c r="X16" s="1562"/>
      <c r="Y16" s="3676"/>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64" t="s">
        <v>541</v>
      </c>
      <c r="Q17" s="1564" t="str">
        <f t="shared" si="6"/>
        <v>产业集聚程度</v>
      </c>
      <c r="R17" s="1565" t="s">
        <v>8</v>
      </c>
      <c r="S17" s="1566">
        <f t="shared" si="0"/>
        <v>100</v>
      </c>
      <c r="T17" s="1565" t="s">
        <v>8</v>
      </c>
      <c r="U17" s="1566">
        <f t="shared" si="1"/>
        <v>100</v>
      </c>
      <c r="V17" s="1565" t="s">
        <v>8</v>
      </c>
      <c r="W17" s="1566">
        <f t="shared" si="2"/>
        <v>100</v>
      </c>
      <c r="X17" s="1559"/>
      <c r="Y17" s="3764"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65"/>
      <c r="Q18" s="1564"/>
      <c r="R18" s="1565"/>
      <c r="S18" s="1566"/>
      <c r="T18" s="1565"/>
      <c r="U18" s="1566"/>
      <c r="V18" s="1565"/>
      <c r="W18" s="1566"/>
      <c r="X18" s="1559"/>
      <c r="Y18" s="3765"/>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65"/>
      <c r="Q19" s="1564" t="str">
        <f>B19</f>
        <v>交通便捷度</v>
      </c>
      <c r="R19" s="1565" t="s">
        <v>8</v>
      </c>
      <c r="S19" s="1566">
        <f>F19</f>
        <v>100</v>
      </c>
      <c r="T19" s="1565" t="s">
        <v>8</v>
      </c>
      <c r="U19" s="1566">
        <f>H19</f>
        <v>100</v>
      </c>
      <c r="V19" s="1565" t="s">
        <v>8</v>
      </c>
      <c r="W19" s="1566">
        <f>J19</f>
        <v>100</v>
      </c>
      <c r="X19" s="1559"/>
      <c r="Y19" s="3765"/>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65"/>
      <c r="Q20" s="1564"/>
      <c r="R20" s="1565"/>
      <c r="S20" s="1566"/>
      <c r="T20" s="1565"/>
      <c r="U20" s="1566"/>
      <c r="V20" s="1565"/>
      <c r="W20" s="1566"/>
      <c r="X20" s="1559"/>
      <c r="Y20" s="3765"/>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65"/>
      <c r="Q21" s="1564" t="str">
        <f t="shared" ref="Q21:Q35" si="8">B21</f>
        <v>区域土地利用方向</v>
      </c>
      <c r="R21" s="1565" t="s">
        <v>8</v>
      </c>
      <c r="S21" s="1566">
        <f>F21</f>
        <v>100</v>
      </c>
      <c r="T21" s="1565" t="s">
        <v>8</v>
      </c>
      <c r="U21" s="1566">
        <f>H21</f>
        <v>100</v>
      </c>
      <c r="V21" s="1565" t="s">
        <v>8</v>
      </c>
      <c r="W21" s="1566">
        <f>J21</f>
        <v>100</v>
      </c>
      <c r="X21" s="1559"/>
      <c r="Y21" s="3765"/>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65"/>
      <c r="Q22" s="1564"/>
      <c r="R22" s="1565"/>
      <c r="S22" s="1566"/>
      <c r="T22" s="1565"/>
      <c r="U22" s="1566"/>
      <c r="V22" s="1565"/>
      <c r="W22" s="1566"/>
      <c r="X22" s="1559"/>
      <c r="Y22" s="3765"/>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65"/>
      <c r="Q23" s="1564" t="str">
        <f t="shared" si="8"/>
        <v>环境状况</v>
      </c>
      <c r="R23" s="1565" t="s">
        <v>8</v>
      </c>
      <c r="S23" s="1566">
        <f>F23</f>
        <v>100</v>
      </c>
      <c r="T23" s="1565" t="s">
        <v>8</v>
      </c>
      <c r="U23" s="1566">
        <f>H23</f>
        <v>100</v>
      </c>
      <c r="V23" s="1565" t="s">
        <v>8</v>
      </c>
      <c r="W23" s="1566">
        <f>J23</f>
        <v>100</v>
      </c>
      <c r="X23" s="1559"/>
      <c r="Y23" s="3765"/>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65"/>
      <c r="Q24" s="1564"/>
      <c r="R24" s="1565"/>
      <c r="S24" s="1566"/>
      <c r="T24" s="1565"/>
      <c r="U24" s="1566"/>
      <c r="V24" s="1565"/>
      <c r="W24" s="1566"/>
      <c r="X24" s="1559"/>
      <c r="Y24" s="3765"/>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65"/>
      <c r="Q25" s="1144" t="str">
        <f t="shared" si="8"/>
        <v>公共配套设施</v>
      </c>
      <c r="R25" s="1560" t="s">
        <v>8</v>
      </c>
      <c r="S25" s="1561">
        <f>F25</f>
        <v>100</v>
      </c>
      <c r="T25" s="1560" t="s">
        <v>8</v>
      </c>
      <c r="U25" s="1561">
        <f>H25</f>
        <v>100</v>
      </c>
      <c r="V25" s="1560" t="s">
        <v>8</v>
      </c>
      <c r="W25" s="1561">
        <f>J25</f>
        <v>100</v>
      </c>
      <c r="X25" s="1562"/>
      <c r="Y25" s="3765"/>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65"/>
      <c r="Q26" s="1144"/>
      <c r="R26" s="1560"/>
      <c r="S26" s="1561"/>
      <c r="T26" s="1560"/>
      <c r="U26" s="1561"/>
      <c r="V26" s="1560"/>
      <c r="W26" s="1561"/>
      <c r="X26" s="1562"/>
      <c r="Y26" s="3765"/>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65"/>
      <c r="Q27" s="2595" t="str">
        <f t="shared" ref="Q27" si="9">B27</f>
        <v>基础设施水平</v>
      </c>
      <c r="R27" s="1560" t="s">
        <v>8</v>
      </c>
      <c r="S27" s="1561">
        <f>F27</f>
        <v>100</v>
      </c>
      <c r="T27" s="1560" t="s">
        <v>8</v>
      </c>
      <c r="U27" s="1561">
        <f>H27</f>
        <v>100</v>
      </c>
      <c r="V27" s="1560" t="s">
        <v>8</v>
      </c>
      <c r="W27" s="1561">
        <f>J27</f>
        <v>100</v>
      </c>
      <c r="X27" s="1562"/>
      <c r="Y27" s="3765"/>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65"/>
      <c r="Q28" s="2595"/>
      <c r="R28" s="1560"/>
      <c r="S28" s="1561"/>
      <c r="T28" s="1560"/>
      <c r="U28" s="1561"/>
      <c r="V28" s="1560"/>
      <c r="W28" s="1561"/>
      <c r="X28" s="1562"/>
      <c r="Y28" s="3765"/>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65"/>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5"/>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65"/>
      <c r="Q30" s="1564" t="str">
        <f t="shared" si="8"/>
        <v>毗邻道路的类型与等级</v>
      </c>
      <c r="R30" s="1565" t="s">
        <v>8</v>
      </c>
      <c r="S30" s="1566">
        <f t="shared" si="10"/>
        <v>100</v>
      </c>
      <c r="T30" s="1565" t="s">
        <v>8</v>
      </c>
      <c r="U30" s="1566">
        <f t="shared" si="11"/>
        <v>100</v>
      </c>
      <c r="V30" s="1565" t="s">
        <v>8</v>
      </c>
      <c r="W30" s="1566">
        <f t="shared" si="12"/>
        <v>100</v>
      </c>
      <c r="X30" s="1559"/>
      <c r="Y30" s="3765"/>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65"/>
      <c r="Q31" s="1564"/>
      <c r="R31" s="1565"/>
      <c r="S31" s="1566"/>
      <c r="T31" s="1565"/>
      <c r="U31" s="1566"/>
      <c r="V31" s="1565"/>
      <c r="W31" s="1566"/>
      <c r="X31" s="1559"/>
      <c r="Y31" s="3765"/>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65"/>
      <c r="Q32" s="1564" t="str">
        <f t="shared" si="8"/>
        <v>土地级别</v>
      </c>
      <c r="R32" s="1565" t="s">
        <v>8</v>
      </c>
      <c r="S32" s="1566">
        <f t="shared" si="10"/>
        <v>100</v>
      </c>
      <c r="T32" s="1565" t="s">
        <v>8</v>
      </c>
      <c r="U32" s="1566">
        <f t="shared" si="11"/>
        <v>100</v>
      </c>
      <c r="V32" s="1565" t="s">
        <v>8</v>
      </c>
      <c r="W32" s="1566">
        <f t="shared" si="12"/>
        <v>100</v>
      </c>
      <c r="X32" s="1559"/>
      <c r="Y32" s="3765"/>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65"/>
      <c r="Q33" s="1564">
        <f t="shared" si="8"/>
        <v>111</v>
      </c>
      <c r="R33" s="1565" t="s">
        <v>8</v>
      </c>
      <c r="S33" s="1566">
        <f t="shared" si="10"/>
        <v>100</v>
      </c>
      <c r="T33" s="1565" t="s">
        <v>8</v>
      </c>
      <c r="U33" s="1566">
        <f t="shared" si="11"/>
        <v>100</v>
      </c>
      <c r="V33" s="1565" t="s">
        <v>8</v>
      </c>
      <c r="W33" s="1566">
        <f t="shared" si="12"/>
        <v>100</v>
      </c>
      <c r="X33" s="1559"/>
      <c r="Y33" s="3765"/>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66" t="s">
        <v>551</v>
      </c>
      <c r="Q34" s="1564">
        <f t="shared" si="8"/>
        <v>111</v>
      </c>
      <c r="R34" s="1565" t="s">
        <v>8</v>
      </c>
      <c r="S34" s="1566">
        <f t="shared" si="10"/>
        <v>100</v>
      </c>
      <c r="T34" s="1565" t="s">
        <v>8</v>
      </c>
      <c r="U34" s="1566">
        <f t="shared" si="11"/>
        <v>100</v>
      </c>
      <c r="V34" s="1565" t="s">
        <v>8</v>
      </c>
      <c r="W34" s="1566">
        <f t="shared" si="12"/>
        <v>100</v>
      </c>
      <c r="X34" s="1559"/>
      <c r="Y34" s="3767"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67"/>
      <c r="Q35" s="1564">
        <f t="shared" si="8"/>
        <v>111</v>
      </c>
      <c r="R35" s="1569" t="s">
        <v>8</v>
      </c>
      <c r="S35" s="1570">
        <f t="shared" si="10"/>
        <v>100</v>
      </c>
      <c r="T35" s="1569" t="s">
        <v>8</v>
      </c>
      <c r="U35" s="1570">
        <f t="shared" si="11"/>
        <v>100</v>
      </c>
      <c r="V35" s="1569" t="s">
        <v>8</v>
      </c>
      <c r="W35" s="1570">
        <f t="shared" si="12"/>
        <v>100</v>
      </c>
      <c r="X35" s="1571"/>
      <c r="Y35" s="3767"/>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67"/>
      <c r="Q36" s="1564" t="str">
        <f>B36</f>
        <v>宗地面积</v>
      </c>
      <c r="R36" s="1565" t="s">
        <v>8</v>
      </c>
      <c r="S36" s="1566" t="e">
        <f t="shared" si="10"/>
        <v>#N/A</v>
      </c>
      <c r="T36" s="1565" t="s">
        <v>8</v>
      </c>
      <c r="U36" s="1566" t="e">
        <f t="shared" si="11"/>
        <v>#N/A</v>
      </c>
      <c r="V36" s="1565" t="s">
        <v>8</v>
      </c>
      <c r="W36" s="1566" t="e">
        <f t="shared" si="12"/>
        <v>#N/A</v>
      </c>
      <c r="X36" s="1559"/>
      <c r="Y36" s="3767"/>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67"/>
      <c r="Q37" s="1564" t="str">
        <f t="shared" ref="Q37:Q42" si="14">B37</f>
        <v>宗地形状</v>
      </c>
      <c r="R37" s="1565" t="s">
        <v>8</v>
      </c>
      <c r="S37" s="1566">
        <f t="shared" si="10"/>
        <v>100</v>
      </c>
      <c r="T37" s="1565" t="s">
        <v>8</v>
      </c>
      <c r="U37" s="1566">
        <f t="shared" si="11"/>
        <v>100</v>
      </c>
      <c r="V37" s="1565" t="s">
        <v>8</v>
      </c>
      <c r="W37" s="1566">
        <f t="shared" si="12"/>
        <v>100</v>
      </c>
      <c r="X37" s="1559"/>
      <c r="Y37" s="3767"/>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67"/>
      <c r="Q38" s="1564" t="str">
        <f t="shared" si="14"/>
        <v>宗地开发程度</v>
      </c>
      <c r="R38" s="1560" t="s">
        <v>8</v>
      </c>
      <c r="S38" s="1561">
        <f t="shared" si="10"/>
        <v>100</v>
      </c>
      <c r="T38" s="1560" t="s">
        <v>8</v>
      </c>
      <c r="U38" s="1561">
        <f t="shared" si="11"/>
        <v>100</v>
      </c>
      <c r="V38" s="1560" t="s">
        <v>8</v>
      </c>
      <c r="W38" s="1561">
        <f t="shared" si="12"/>
        <v>100</v>
      </c>
      <c r="X38" s="1562"/>
      <c r="Y38" s="3767"/>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7" t="s">
        <v>602</v>
      </c>
      <c r="Q39" s="1564" t="str">
        <f t="shared" si="14"/>
        <v>工程地质条件</v>
      </c>
      <c r="R39" s="1565" t="s">
        <v>8</v>
      </c>
      <c r="S39" s="1566">
        <f t="shared" si="10"/>
        <v>100</v>
      </c>
      <c r="T39" s="1565" t="s">
        <v>8</v>
      </c>
      <c r="U39" s="1566">
        <f t="shared" si="11"/>
        <v>100</v>
      </c>
      <c r="V39" s="1565" t="s">
        <v>8</v>
      </c>
      <c r="W39" s="1566">
        <f t="shared" si="12"/>
        <v>100</v>
      </c>
      <c r="X39" s="1559"/>
      <c r="Y39" s="3767"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67"/>
      <c r="Q40" s="1564">
        <f t="shared" si="14"/>
        <v>111</v>
      </c>
      <c r="R40" s="1565" t="s">
        <v>8</v>
      </c>
      <c r="S40" s="1566">
        <f t="shared" si="10"/>
        <v>100</v>
      </c>
      <c r="T40" s="1565" t="s">
        <v>8</v>
      </c>
      <c r="U40" s="1566">
        <f t="shared" si="11"/>
        <v>100</v>
      </c>
      <c r="V40" s="1565" t="s">
        <v>8</v>
      </c>
      <c r="W40" s="1566">
        <f t="shared" si="12"/>
        <v>100</v>
      </c>
      <c r="X40" s="1559"/>
      <c r="Y40" s="3767"/>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67"/>
      <c r="Q41" s="1564">
        <f t="shared" si="14"/>
        <v>111</v>
      </c>
      <c r="R41" s="1565" t="s">
        <v>8</v>
      </c>
      <c r="S41" s="1566">
        <f t="shared" si="10"/>
        <v>100</v>
      </c>
      <c r="T41" s="1565" t="s">
        <v>8</v>
      </c>
      <c r="U41" s="1566">
        <f t="shared" si="11"/>
        <v>100</v>
      </c>
      <c r="V41" s="1565" t="s">
        <v>8</v>
      </c>
      <c r="W41" s="1566">
        <f t="shared" si="12"/>
        <v>100</v>
      </c>
      <c r="X41" s="1559"/>
      <c r="Y41" s="3767"/>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67"/>
      <c r="Q42" s="1564">
        <f t="shared" si="14"/>
        <v>111</v>
      </c>
      <c r="R42" s="1569" t="s">
        <v>8</v>
      </c>
      <c r="S42" s="1570">
        <f t="shared" si="10"/>
        <v>100</v>
      </c>
      <c r="T42" s="1569" t="s">
        <v>8</v>
      </c>
      <c r="U42" s="1570">
        <f t="shared" si="11"/>
        <v>100</v>
      </c>
      <c r="V42" s="1569" t="s">
        <v>8</v>
      </c>
      <c r="W42" s="1570">
        <f t="shared" si="12"/>
        <v>100</v>
      </c>
      <c r="X42" s="1571"/>
      <c r="Y42" s="3767"/>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30" t="str">
        <f>A43</f>
        <v>成交单价</v>
      </c>
      <c r="Q43" s="3730"/>
      <c r="R43" s="3731">
        <f>E43</f>
        <v>0</v>
      </c>
      <c r="S43" s="3731"/>
      <c r="T43" s="3731">
        <f>G43</f>
        <v>0</v>
      </c>
      <c r="U43" s="3731"/>
      <c r="V43" s="3731">
        <f>I43</f>
        <v>0</v>
      </c>
      <c r="W43" s="3731"/>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30" t="str">
        <f>A44</f>
        <v>比较价格（元/平方米）</v>
      </c>
      <c r="Q44" s="3730"/>
      <c r="R44" s="3732" t="e">
        <f>ROUND(PRODUCT(R43,AA9:AA42),0)</f>
        <v>#DIV/0!</v>
      </c>
      <c r="S44" s="3732"/>
      <c r="T44" s="3732" t="e">
        <f>ROUND(PRODUCT(T43,AB9:AB42),0)</f>
        <v>#DIV/0!</v>
      </c>
      <c r="U44" s="3732"/>
      <c r="V44" s="3732" t="e">
        <f>ROUND(PRODUCT(V43,AC9:AC42),0)</f>
        <v>#DIV/0!</v>
      </c>
      <c r="W44" s="3732"/>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27" t="str">
        <f>A45</f>
        <v>估价对象XX用房的比较价格（楼面单价，元/平方米）</v>
      </c>
      <c r="Q45" s="3728"/>
      <c r="R45" s="3729" t="e">
        <f>ROUND(AVERAGE(R44:V44),0)</f>
        <v>#DIV/0!</v>
      </c>
      <c r="S45" s="3729"/>
      <c r="T45" s="3729"/>
      <c r="U45" s="3729"/>
      <c r="V45" s="3729"/>
      <c r="W45" s="3729"/>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75" t="s">
        <v>2285</v>
      </c>
      <c r="H52" s="3776"/>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383177</v>
      </c>
      <c r="F53" s="1943" t="e">
        <f t="shared" ref="F53:F62" si="15">ROUND(B53*E53/10000,0)</f>
        <v>#DIV/0!</v>
      </c>
      <c r="G53" s="3777"/>
      <c r="H53" s="3778"/>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79"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79"/>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79"/>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79"/>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69347.5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3463</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89"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90"/>
      <c r="B8" s="1406" t="s">
        <v>934</v>
      </c>
      <c r="C8" s="1521" t="s">
        <v>3464</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81" t="s">
        <v>2787</v>
      </c>
      <c r="X8" s="3782"/>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90"/>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80" t="s">
        <v>2783</v>
      </c>
      <c r="X9" s="2948" t="s">
        <v>2784</v>
      </c>
      <c r="Y9" s="3111"/>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90"/>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8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90"/>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80"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89"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80"/>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91"/>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80"/>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91"/>
      <c r="B14" s="1443"/>
      <c r="C14" s="1444" t="s">
        <v>3465</v>
      </c>
      <c r="D14" s="1445" t="s">
        <v>3465</v>
      </c>
      <c r="E14" s="1445" t="s">
        <v>3465</v>
      </c>
      <c r="F14" s="1446" t="s">
        <v>3466</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92"/>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89" t="s">
        <v>1837</v>
      </c>
      <c r="B16" s="1419" t="s">
        <v>950</v>
      </c>
      <c r="C16" s="1047" t="e">
        <f>ROUND(SUM(G17:J17)/C17,0)</f>
        <v>#DIV/0!</v>
      </c>
      <c r="D16" s="1452" t="s">
        <v>951</v>
      </c>
      <c r="E16" s="1453" t="s">
        <v>3467</v>
      </c>
      <c r="F16" s="1454" t="s">
        <v>3211</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90"/>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5" t="s">
        <v>2845</v>
      </c>
      <c r="M19" s="3056">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8">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7" t="s">
        <v>2846</v>
      </c>
      <c r="M20" s="3058">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95"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96"/>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96"/>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97"/>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0"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09"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0"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09"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09"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09"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93" t="s">
        <v>1634</v>
      </c>
      <c r="B90" s="3793"/>
      <c r="C90" s="3793"/>
      <c r="D90" s="3793"/>
      <c r="E90" s="3793"/>
      <c r="F90" s="3793"/>
      <c r="G90" s="3793"/>
      <c r="H90" s="3793"/>
      <c r="I90" s="3793"/>
      <c r="J90" s="3793"/>
      <c r="K90" s="2467"/>
      <c r="L90" s="2467"/>
      <c r="M90" s="2467"/>
      <c r="N90" s="2467"/>
    </row>
    <row r="91" spans="1:40">
      <c r="A91" s="3794" t="s">
        <v>1444</v>
      </c>
      <c r="B91" s="3794" t="s">
        <v>1635</v>
      </c>
      <c r="C91" s="1133" t="s">
        <v>1636</v>
      </c>
      <c r="D91" s="1134"/>
      <c r="E91" s="1134"/>
      <c r="F91" s="1134"/>
      <c r="G91" s="1134"/>
      <c r="H91" s="1134"/>
      <c r="I91" s="1134"/>
      <c r="J91" s="1135"/>
      <c r="K91" s="1127"/>
      <c r="L91" s="1127"/>
      <c r="M91" s="1127"/>
      <c r="N91" s="1127"/>
    </row>
    <row r="92" spans="1:40">
      <c r="A92" s="3794"/>
      <c r="B92" s="3794"/>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83"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8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8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8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8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8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84"/>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85"/>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83"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84"/>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84"/>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84"/>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84"/>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84"/>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84"/>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84"/>
      <c r="B108" s="3786"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85"/>
      <c r="B109" s="3787"/>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88" t="s">
        <v>1640</v>
      </c>
      <c r="B110" s="3788"/>
      <c r="C110" s="3788"/>
      <c r="D110" s="3788"/>
      <c r="E110" s="3788"/>
      <c r="F110" s="3788"/>
      <c r="G110" s="3788"/>
      <c r="H110" s="3788"/>
      <c r="I110" s="3788"/>
      <c r="J110" s="3788"/>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94" t="s">
        <v>1008</v>
      </c>
      <c r="B18" s="1147" t="s">
        <v>1447</v>
      </c>
      <c r="C18" s="1124" t="s">
        <v>1448</v>
      </c>
      <c r="D18" s="1125"/>
      <c r="E18" s="1147">
        <v>1</v>
      </c>
      <c r="F18" s="1126" t="s">
        <v>1449</v>
      </c>
      <c r="G18" s="1127"/>
      <c r="H18" s="1098"/>
      <c r="I18" s="1098"/>
    </row>
    <row r="19" spans="1:9" s="1591" customFormat="1" ht="19.5" customHeight="1">
      <c r="A19" s="3794"/>
      <c r="B19" s="3794" t="s">
        <v>1450</v>
      </c>
      <c r="C19" s="1124" t="s">
        <v>1451</v>
      </c>
      <c r="D19" s="1125"/>
      <c r="E19" s="1147">
        <v>0.9</v>
      </c>
      <c r="F19" s="1126" t="s">
        <v>1452</v>
      </c>
      <c r="G19" s="1127"/>
      <c r="H19" s="1098"/>
      <c r="I19" s="1098"/>
    </row>
    <row r="20" spans="1:9" s="1591" customFormat="1" ht="19.5" customHeight="1">
      <c r="A20" s="3794"/>
      <c r="B20" s="3794"/>
      <c r="C20" s="1124" t="s">
        <v>1453</v>
      </c>
      <c r="D20" s="1125"/>
      <c r="E20" s="1147">
        <v>1.1000000000000001</v>
      </c>
      <c r="F20" s="1126" t="s">
        <v>1454</v>
      </c>
      <c r="G20" s="1127"/>
      <c r="H20" s="1098"/>
      <c r="I20" s="1098"/>
    </row>
    <row r="21" spans="1:9" s="1591" customFormat="1" ht="19.5" customHeight="1">
      <c r="A21" s="3794"/>
      <c r="B21" s="3794"/>
      <c r="C21" s="1124" t="s">
        <v>1455</v>
      </c>
      <c r="D21" s="1125"/>
      <c r="E21" s="1147">
        <v>0.8</v>
      </c>
      <c r="F21" s="1126" t="s">
        <v>1456</v>
      </c>
      <c r="G21" s="1127"/>
      <c r="H21" s="1098"/>
      <c r="I21" s="1098"/>
    </row>
    <row r="22" spans="1:9" s="1591" customFormat="1" ht="19.5" customHeight="1">
      <c r="A22" s="3794"/>
      <c r="B22" s="3794"/>
      <c r="C22" s="1124" t="s">
        <v>1457</v>
      </c>
      <c r="D22" s="1125"/>
      <c r="E22" s="1147">
        <v>0.5</v>
      </c>
      <c r="F22" s="1126"/>
      <c r="G22" s="1127"/>
      <c r="H22" s="1098"/>
      <c r="I22" s="1098"/>
    </row>
    <row r="23" spans="1:9" s="1591" customFormat="1" ht="19.5" customHeight="1">
      <c r="A23" s="3794" t="s">
        <v>1030</v>
      </c>
      <c r="B23" s="1147" t="s">
        <v>1447</v>
      </c>
      <c r="C23" s="1124" t="s">
        <v>1458</v>
      </c>
      <c r="D23" s="1125"/>
      <c r="E23" s="1147">
        <v>1</v>
      </c>
      <c r="F23" s="1126" t="s">
        <v>1459</v>
      </c>
      <c r="G23" s="1127"/>
      <c r="H23" s="1098"/>
      <c r="I23" s="1098"/>
    </row>
    <row r="24" spans="1:9" s="1591" customFormat="1" ht="19.5" customHeight="1">
      <c r="A24" s="3794"/>
      <c r="B24" s="3794" t="s">
        <v>1450</v>
      </c>
      <c r="C24" s="1124" t="s">
        <v>1460</v>
      </c>
      <c r="D24" s="1125"/>
      <c r="E24" s="1147">
        <v>0.5</v>
      </c>
      <c r="F24" s="1126"/>
      <c r="G24" s="1127"/>
      <c r="H24" s="1098"/>
      <c r="I24" s="1098"/>
    </row>
    <row r="25" spans="1:9" s="1591" customFormat="1" ht="19.5" customHeight="1">
      <c r="A25" s="3794"/>
      <c r="B25" s="3794"/>
      <c r="C25" s="1124" t="s">
        <v>1461</v>
      </c>
      <c r="D25" s="1125"/>
      <c r="E25" s="1147">
        <v>1.1000000000000001</v>
      </c>
      <c r="F25" s="1126"/>
      <c r="G25" s="1127"/>
      <c r="H25" s="1098"/>
      <c r="I25" s="1098"/>
    </row>
    <row r="26" spans="1:9" s="1591" customFormat="1" ht="19.5" customHeight="1">
      <c r="A26" s="3794"/>
      <c r="B26" s="3794"/>
      <c r="C26" s="1124" t="s">
        <v>1462</v>
      </c>
      <c r="D26" s="1125"/>
      <c r="E26" s="1147">
        <v>1.1000000000000001</v>
      </c>
      <c r="F26" s="1126"/>
      <c r="G26" s="1127"/>
      <c r="H26" s="1098"/>
      <c r="I26" s="1098"/>
    </row>
    <row r="27" spans="1:9" s="1591" customFormat="1" ht="19.5" customHeight="1">
      <c r="A27" s="3794"/>
      <c r="B27" s="3794"/>
      <c r="C27" s="1124" t="s">
        <v>1463</v>
      </c>
      <c r="D27" s="1125"/>
      <c r="E27" s="1147">
        <v>0.9</v>
      </c>
      <c r="F27" s="1126" t="s">
        <v>1464</v>
      </c>
      <c r="G27" s="1127"/>
      <c r="H27" s="1098"/>
      <c r="I27" s="1098"/>
    </row>
    <row r="28" spans="1:9" s="1591" customFormat="1" ht="19.5" customHeight="1">
      <c r="A28" s="3794"/>
      <c r="B28" s="3794"/>
      <c r="C28" s="1124" t="s">
        <v>1465</v>
      </c>
      <c r="D28" s="1125"/>
      <c r="E28" s="1147">
        <v>0.9</v>
      </c>
      <c r="F28" s="1126" t="s">
        <v>1466</v>
      </c>
      <c r="G28" s="1127"/>
      <c r="H28" s="1098"/>
      <c r="I28" s="1098"/>
    </row>
    <row r="29" spans="1:9" s="1591" customFormat="1" ht="19.5" customHeight="1">
      <c r="A29" s="3794"/>
      <c r="B29" s="3794"/>
      <c r="C29" s="1124" t="s">
        <v>1467</v>
      </c>
      <c r="D29" s="1125"/>
      <c r="E29" s="1147">
        <v>0.9</v>
      </c>
      <c r="F29" s="1126" t="s">
        <v>1468</v>
      </c>
      <c r="G29" s="1127"/>
      <c r="H29" s="1098"/>
      <c r="I29" s="1098"/>
    </row>
    <row r="30" spans="1:9" s="1591" customFormat="1" ht="19.5" customHeight="1">
      <c r="A30" s="3794"/>
      <c r="B30" s="3794"/>
      <c r="C30" s="1124" t="s">
        <v>1469</v>
      </c>
      <c r="D30" s="1125"/>
      <c r="E30" s="1147">
        <v>0.9</v>
      </c>
      <c r="F30" s="1126" t="s">
        <v>1470</v>
      </c>
      <c r="G30" s="1127"/>
      <c r="H30" s="1098"/>
      <c r="I30" s="1098"/>
    </row>
    <row r="31" spans="1:9" s="1591" customFormat="1" ht="19.5" customHeight="1">
      <c r="A31" s="3794"/>
      <c r="B31" s="3794"/>
      <c r="C31" s="1124" t="s">
        <v>1471</v>
      </c>
      <c r="D31" s="1125"/>
      <c r="E31" s="1147">
        <v>0.8</v>
      </c>
      <c r="F31" s="1126" t="s">
        <v>1472</v>
      </c>
      <c r="G31" s="1127"/>
      <c r="H31" s="1098"/>
      <c r="I31" s="1098"/>
    </row>
    <row r="32" spans="1:9" s="1591" customFormat="1" ht="19.5" customHeight="1">
      <c r="A32" s="3794"/>
      <c r="B32" s="3794"/>
      <c r="C32" s="1124" t="s">
        <v>1473</v>
      </c>
      <c r="D32" s="1125"/>
      <c r="E32" s="1147">
        <v>0.8</v>
      </c>
      <c r="F32" s="1126" t="s">
        <v>1474</v>
      </c>
      <c r="G32" s="1127"/>
      <c r="H32" s="1098"/>
      <c r="I32" s="1098"/>
    </row>
    <row r="33" spans="1:9" s="1591" customFormat="1" ht="19.5" customHeight="1">
      <c r="A33" s="3794" t="s">
        <v>1475</v>
      </c>
      <c r="B33" s="1147" t="s">
        <v>1447</v>
      </c>
      <c r="C33" s="1124" t="s">
        <v>1476</v>
      </c>
      <c r="D33" s="1125"/>
      <c r="E33" s="1147">
        <v>1</v>
      </c>
      <c r="F33" s="1126" t="s">
        <v>1477</v>
      </c>
      <c r="G33" s="1127"/>
      <c r="H33" s="1098"/>
      <c r="I33" s="1098"/>
    </row>
    <row r="34" spans="1:9" s="1591" customFormat="1" ht="19.5" customHeight="1">
      <c r="A34" s="3794"/>
      <c r="B34" s="1147" t="s">
        <v>1450</v>
      </c>
      <c r="C34" s="1124" t="s">
        <v>1478</v>
      </c>
      <c r="D34" s="1125"/>
      <c r="E34" s="1147">
        <v>1.5</v>
      </c>
      <c r="F34" s="1126" t="s">
        <v>1479</v>
      </c>
      <c r="G34" s="1127"/>
      <c r="H34" s="1098"/>
      <c r="I34" s="1098"/>
    </row>
    <row r="35" spans="1:9" s="1591" customFormat="1" ht="19.5" customHeight="1">
      <c r="A35" s="3794" t="s">
        <v>1433</v>
      </c>
      <c r="B35" s="1147" t="s">
        <v>1447</v>
      </c>
      <c r="C35" s="1124" t="s">
        <v>1480</v>
      </c>
      <c r="D35" s="1125"/>
      <c r="E35" s="1147">
        <v>1</v>
      </c>
      <c r="F35" s="1126" t="s">
        <v>1481</v>
      </c>
      <c r="G35" s="1127"/>
      <c r="H35" s="1098"/>
      <c r="I35" s="1098"/>
    </row>
    <row r="36" spans="1:9" s="1591" customFormat="1" ht="19.5" customHeight="1">
      <c r="A36" s="3794"/>
      <c r="B36" s="3794" t="s">
        <v>1450</v>
      </c>
      <c r="C36" s="1124" t="s">
        <v>1482</v>
      </c>
      <c r="D36" s="1125"/>
      <c r="E36" s="1147">
        <v>1</v>
      </c>
      <c r="F36" s="1126" t="s">
        <v>1483</v>
      </c>
      <c r="G36" s="1127"/>
      <c r="H36" s="1098"/>
      <c r="I36" s="1098"/>
    </row>
    <row r="37" spans="1:9" s="1591" customFormat="1" ht="19.5" customHeight="1">
      <c r="A37" s="3794"/>
      <c r="B37" s="3794"/>
      <c r="C37" s="1124" t="s">
        <v>1484</v>
      </c>
      <c r="D37" s="1125"/>
      <c r="E37" s="1147">
        <v>1.5</v>
      </c>
      <c r="F37" s="1126" t="s">
        <v>1485</v>
      </c>
      <c r="G37" s="1127"/>
      <c r="H37" s="1098"/>
      <c r="I37" s="1098"/>
    </row>
    <row r="38" spans="1:9" s="1591" customFormat="1" ht="19.5" customHeight="1">
      <c r="A38" s="3794"/>
      <c r="B38" s="3794"/>
      <c r="C38" s="1124" t="s">
        <v>1486</v>
      </c>
      <c r="D38" s="1125"/>
      <c r="E38" s="1147">
        <v>1</v>
      </c>
      <c r="F38" s="1126" t="s">
        <v>1487</v>
      </c>
      <c r="G38" s="1127"/>
      <c r="H38" s="1098"/>
      <c r="I38" s="1098"/>
    </row>
    <row r="39" spans="1:9" s="1591" customFormat="1" ht="19.5" customHeight="1">
      <c r="A39" s="3794"/>
      <c r="B39" s="3794"/>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94" t="s">
        <v>1502</v>
      </c>
      <c r="C61" s="1061" t="s">
        <v>1503</v>
      </c>
      <c r="D61" s="1061" t="s">
        <v>1504</v>
      </c>
      <c r="E61" s="1132">
        <v>0.5</v>
      </c>
      <c r="F61" s="1147">
        <v>80</v>
      </c>
      <c r="H61" s="1098">
        <f>SUMIF(C59:C119,基准地价!C8,E59:E119)</f>
        <v>0</v>
      </c>
    </row>
    <row r="62" spans="1:8" s="1098" customFormat="1" ht="24">
      <c r="A62" s="1147">
        <v>2</v>
      </c>
      <c r="B62" s="3794"/>
      <c r="C62" s="1061" t="s">
        <v>1505</v>
      </c>
      <c r="D62" s="1061" t="s">
        <v>1506</v>
      </c>
      <c r="E62" s="1132">
        <v>0.5</v>
      </c>
      <c r="F62" s="1147">
        <v>80</v>
      </c>
    </row>
    <row r="63" spans="1:8" s="1098" customFormat="1" ht="36">
      <c r="A63" s="1147">
        <v>3</v>
      </c>
      <c r="B63" s="3794"/>
      <c r="C63" s="1061" t="s">
        <v>1507</v>
      </c>
      <c r="D63" s="1061" t="s">
        <v>1508</v>
      </c>
      <c r="E63" s="1132">
        <v>0.5</v>
      </c>
      <c r="F63" s="1147">
        <v>80</v>
      </c>
    </row>
    <row r="64" spans="1:8" s="1098" customFormat="1" ht="36">
      <c r="A64" s="1147">
        <v>4</v>
      </c>
      <c r="B64" s="3794"/>
      <c r="C64" s="1061" t="s">
        <v>1509</v>
      </c>
      <c r="D64" s="1061" t="s">
        <v>1510</v>
      </c>
      <c r="E64" s="1132">
        <v>0.4</v>
      </c>
      <c r="F64" s="1147">
        <v>60</v>
      </c>
    </row>
    <row r="65" spans="1:6" s="1098" customFormat="1" ht="36">
      <c r="A65" s="1147">
        <v>5</v>
      </c>
      <c r="B65" s="3794"/>
      <c r="C65" s="1061" t="s">
        <v>1511</v>
      </c>
      <c r="D65" s="1061" t="s">
        <v>1512</v>
      </c>
      <c r="E65" s="1132">
        <v>0.2</v>
      </c>
      <c r="F65" s="1147">
        <v>30</v>
      </c>
    </row>
    <row r="66" spans="1:6" s="1098" customFormat="1" ht="36">
      <c r="A66" s="1147">
        <v>6</v>
      </c>
      <c r="B66" s="3794"/>
      <c r="C66" s="1061" t="s">
        <v>1513</v>
      </c>
      <c r="D66" s="1061" t="s">
        <v>1514</v>
      </c>
      <c r="E66" s="1132">
        <v>0.3</v>
      </c>
      <c r="F66" s="1147">
        <v>50</v>
      </c>
    </row>
    <row r="67" spans="1:6" s="1098" customFormat="1" ht="36">
      <c r="A67" s="1147">
        <v>7</v>
      </c>
      <c r="B67" s="3794"/>
      <c r="C67" s="1061" t="s">
        <v>1515</v>
      </c>
      <c r="D67" s="1061" t="s">
        <v>1516</v>
      </c>
      <c r="E67" s="1132">
        <v>0.2</v>
      </c>
      <c r="F67" s="1147">
        <v>30</v>
      </c>
    </row>
    <row r="68" spans="1:6" s="1098" customFormat="1" ht="36">
      <c r="A68" s="1147">
        <v>8</v>
      </c>
      <c r="B68" s="3794"/>
      <c r="C68" s="1061" t="s">
        <v>1517</v>
      </c>
      <c r="D68" s="1061" t="s">
        <v>1518</v>
      </c>
      <c r="E68" s="1132">
        <v>0.2</v>
      </c>
      <c r="F68" s="1147">
        <v>30</v>
      </c>
    </row>
    <row r="69" spans="1:6" s="1098" customFormat="1" ht="36">
      <c r="A69" s="1147">
        <v>9</v>
      </c>
      <c r="B69" s="3794"/>
      <c r="C69" s="1061" t="s">
        <v>1519</v>
      </c>
      <c r="D69" s="1061" t="s">
        <v>1520</v>
      </c>
      <c r="E69" s="1132">
        <v>0.2</v>
      </c>
      <c r="F69" s="1147">
        <v>30</v>
      </c>
    </row>
    <row r="70" spans="1:6" s="1098" customFormat="1" ht="48">
      <c r="A70" s="1147">
        <v>10</v>
      </c>
      <c r="B70" s="3794"/>
      <c r="C70" s="1061" t="s">
        <v>1521</v>
      </c>
      <c r="D70" s="1061" t="s">
        <v>1522</v>
      </c>
      <c r="E70" s="1132">
        <v>0.2</v>
      </c>
      <c r="F70" s="1147">
        <v>30</v>
      </c>
    </row>
    <row r="71" spans="1:6" s="1098" customFormat="1" ht="48">
      <c r="A71" s="1147">
        <v>11</v>
      </c>
      <c r="B71" s="3794"/>
      <c r="C71" s="1061" t="s">
        <v>1523</v>
      </c>
      <c r="D71" s="1061" t="s">
        <v>1524</v>
      </c>
      <c r="E71" s="1132">
        <v>0.2</v>
      </c>
      <c r="F71" s="1147">
        <v>30</v>
      </c>
    </row>
    <row r="72" spans="1:6" s="1098" customFormat="1" ht="36">
      <c r="A72" s="1147">
        <v>12</v>
      </c>
      <c r="B72" s="3794"/>
      <c r="C72" s="1061" t="s">
        <v>1525</v>
      </c>
      <c r="D72" s="1061" t="s">
        <v>1526</v>
      </c>
      <c r="E72" s="1132">
        <v>0.5</v>
      </c>
      <c r="F72" s="1147">
        <v>80</v>
      </c>
    </row>
    <row r="73" spans="1:6" s="1098" customFormat="1" ht="24">
      <c r="A73" s="1147">
        <v>13</v>
      </c>
      <c r="B73" s="3794"/>
      <c r="C73" s="1061" t="s">
        <v>1527</v>
      </c>
      <c r="D73" s="1061" t="s">
        <v>1528</v>
      </c>
      <c r="E73" s="1132">
        <v>0.4</v>
      </c>
      <c r="F73" s="1147">
        <v>60</v>
      </c>
    </row>
    <row r="74" spans="1:6" s="1098" customFormat="1" ht="24">
      <c r="A74" s="1147">
        <v>14</v>
      </c>
      <c r="B74" s="3794"/>
      <c r="C74" s="1061" t="s">
        <v>1529</v>
      </c>
      <c r="D74" s="1061" t="s">
        <v>1530</v>
      </c>
      <c r="E74" s="1132">
        <v>0.2</v>
      </c>
      <c r="F74" s="1147">
        <v>30</v>
      </c>
    </row>
    <row r="75" spans="1:6" s="1098" customFormat="1" ht="24">
      <c r="A75" s="1147">
        <v>15</v>
      </c>
      <c r="B75" s="3794"/>
      <c r="C75" s="1061" t="s">
        <v>1531</v>
      </c>
      <c r="D75" s="1061" t="s">
        <v>1532</v>
      </c>
      <c r="E75" s="1132">
        <v>0.2</v>
      </c>
      <c r="F75" s="1147">
        <v>30</v>
      </c>
    </row>
    <row r="76" spans="1:6" s="1098" customFormat="1" ht="24">
      <c r="A76" s="1147">
        <v>16</v>
      </c>
      <c r="B76" s="3794" t="s">
        <v>1533</v>
      </c>
      <c r="C76" s="1061" t="s">
        <v>1534</v>
      </c>
      <c r="D76" s="1061" t="s">
        <v>1535</v>
      </c>
      <c r="E76" s="1132">
        <v>0.5</v>
      </c>
      <c r="F76" s="1147">
        <v>80</v>
      </c>
    </row>
    <row r="77" spans="1:6" s="1098" customFormat="1" ht="24">
      <c r="A77" s="1147">
        <v>17</v>
      </c>
      <c r="B77" s="3794"/>
      <c r="C77" s="1061" t="s">
        <v>1536</v>
      </c>
      <c r="D77" s="1061" t="s">
        <v>1537</v>
      </c>
      <c r="E77" s="1132">
        <v>0.5</v>
      </c>
      <c r="F77" s="1147">
        <v>80</v>
      </c>
    </row>
    <row r="78" spans="1:6" s="1098" customFormat="1" ht="24">
      <c r="A78" s="1147">
        <v>18</v>
      </c>
      <c r="B78" s="3794"/>
      <c r="C78" s="1061" t="s">
        <v>1538</v>
      </c>
      <c r="D78" s="1061" t="s">
        <v>1539</v>
      </c>
      <c r="E78" s="1132">
        <v>0.2</v>
      </c>
      <c r="F78" s="1147">
        <v>30</v>
      </c>
    </row>
    <row r="79" spans="1:6" s="1098" customFormat="1" ht="24">
      <c r="A79" s="1147">
        <v>19</v>
      </c>
      <c r="B79" s="3794"/>
      <c r="C79" s="1061" t="s">
        <v>1540</v>
      </c>
      <c r="D79" s="1061" t="s">
        <v>1541</v>
      </c>
      <c r="E79" s="1132">
        <v>0.5</v>
      </c>
      <c r="F79" s="1147">
        <v>80</v>
      </c>
    </row>
    <row r="80" spans="1:6" s="1098" customFormat="1" ht="36">
      <c r="A80" s="1147">
        <v>20</v>
      </c>
      <c r="B80" s="3794"/>
      <c r="C80" s="1061" t="s">
        <v>1542</v>
      </c>
      <c r="D80" s="1061" t="s">
        <v>1543</v>
      </c>
      <c r="E80" s="1132">
        <v>0.2</v>
      </c>
      <c r="F80" s="1147">
        <v>30</v>
      </c>
    </row>
    <row r="81" spans="1:6" s="1098" customFormat="1" ht="36">
      <c r="A81" s="1147">
        <v>21</v>
      </c>
      <c r="B81" s="3794"/>
      <c r="C81" s="1061" t="s">
        <v>1544</v>
      </c>
      <c r="D81" s="1061" t="s">
        <v>1545</v>
      </c>
      <c r="E81" s="1132">
        <v>0.2</v>
      </c>
      <c r="F81" s="1147">
        <v>30</v>
      </c>
    </row>
    <row r="82" spans="1:6" s="1098" customFormat="1" ht="48">
      <c r="A82" s="1147">
        <v>22</v>
      </c>
      <c r="B82" s="3794"/>
      <c r="C82" s="1061" t="s">
        <v>1546</v>
      </c>
      <c r="D82" s="1061" t="s">
        <v>1547</v>
      </c>
      <c r="E82" s="1132">
        <v>0.2</v>
      </c>
      <c r="F82" s="1147">
        <v>30</v>
      </c>
    </row>
    <row r="83" spans="1:6" s="1098" customFormat="1" ht="48">
      <c r="A83" s="1147">
        <v>23</v>
      </c>
      <c r="B83" s="3794"/>
      <c r="C83" s="1061" t="s">
        <v>1548</v>
      </c>
      <c r="D83" s="1061" t="s">
        <v>1549</v>
      </c>
      <c r="E83" s="1132">
        <v>0.2</v>
      </c>
      <c r="F83" s="1147">
        <v>30</v>
      </c>
    </row>
    <row r="84" spans="1:6" s="1098" customFormat="1" ht="36">
      <c r="A84" s="1147">
        <v>24</v>
      </c>
      <c r="B84" s="3794"/>
      <c r="C84" s="1061" t="s">
        <v>1550</v>
      </c>
      <c r="D84" s="1061" t="s">
        <v>1551</v>
      </c>
      <c r="E84" s="1132">
        <v>0.2</v>
      </c>
      <c r="F84" s="1147">
        <v>30</v>
      </c>
    </row>
    <row r="85" spans="1:6" s="1098" customFormat="1" ht="36">
      <c r="A85" s="1147">
        <v>25</v>
      </c>
      <c r="B85" s="3794"/>
      <c r="C85" s="1061" t="s">
        <v>1552</v>
      </c>
      <c r="D85" s="1061" t="s">
        <v>1553</v>
      </c>
      <c r="E85" s="1132">
        <v>0.5</v>
      </c>
      <c r="F85" s="1147">
        <v>80</v>
      </c>
    </row>
    <row r="86" spans="1:6" s="1098" customFormat="1" ht="36">
      <c r="A86" s="1147">
        <v>26</v>
      </c>
      <c r="B86" s="3794"/>
      <c r="C86" s="1061" t="s">
        <v>1554</v>
      </c>
      <c r="D86" s="1061" t="s">
        <v>1555</v>
      </c>
      <c r="E86" s="1132">
        <v>0.2</v>
      </c>
      <c r="F86" s="1147">
        <v>30</v>
      </c>
    </row>
    <row r="87" spans="1:6" s="1098" customFormat="1" ht="36">
      <c r="A87" s="1147">
        <v>27</v>
      </c>
      <c r="B87" s="3794"/>
      <c r="C87" s="1061" t="s">
        <v>1556</v>
      </c>
      <c r="D87" s="1061" t="s">
        <v>1557</v>
      </c>
      <c r="E87" s="1132">
        <v>0.2</v>
      </c>
      <c r="F87" s="1147">
        <v>30</v>
      </c>
    </row>
    <row r="88" spans="1:6" s="1098" customFormat="1" ht="36">
      <c r="A88" s="1147">
        <v>28</v>
      </c>
      <c r="B88" s="3794"/>
      <c r="C88" s="1061" t="s">
        <v>1558</v>
      </c>
      <c r="D88" s="1061" t="s">
        <v>1559</v>
      </c>
      <c r="E88" s="1132">
        <v>0.2</v>
      </c>
      <c r="F88" s="1147">
        <v>30</v>
      </c>
    </row>
    <row r="89" spans="1:6" s="1098" customFormat="1" ht="24">
      <c r="A89" s="1147">
        <v>29</v>
      </c>
      <c r="B89" s="3794"/>
      <c r="C89" s="1061" t="s">
        <v>1560</v>
      </c>
      <c r="D89" s="1061" t="s">
        <v>1561</v>
      </c>
      <c r="E89" s="1132">
        <v>0.2</v>
      </c>
      <c r="F89" s="1147">
        <v>30</v>
      </c>
    </row>
    <row r="90" spans="1:6" s="1098" customFormat="1" ht="24">
      <c r="A90" s="1147">
        <v>30</v>
      </c>
      <c r="B90" s="3794"/>
      <c r="C90" s="1061" t="s">
        <v>1562</v>
      </c>
      <c r="D90" s="1061" t="s">
        <v>1563</v>
      </c>
      <c r="E90" s="1132">
        <v>0.2</v>
      </c>
      <c r="F90" s="1147">
        <v>30</v>
      </c>
    </row>
    <row r="91" spans="1:6" s="1098" customFormat="1" ht="36">
      <c r="A91" s="1147">
        <v>31</v>
      </c>
      <c r="B91" s="3794"/>
      <c r="C91" s="1061" t="s">
        <v>1564</v>
      </c>
      <c r="D91" s="1061" t="s">
        <v>1565</v>
      </c>
      <c r="E91" s="1132">
        <v>0.2</v>
      </c>
      <c r="F91" s="1147">
        <v>30</v>
      </c>
    </row>
    <row r="92" spans="1:6" s="1098" customFormat="1" ht="24">
      <c r="A92" s="1147">
        <v>32</v>
      </c>
      <c r="B92" s="3794" t="s">
        <v>1566</v>
      </c>
      <c r="C92" s="1147" t="s">
        <v>1567</v>
      </c>
      <c r="D92" s="1061" t="s">
        <v>1568</v>
      </c>
      <c r="E92" s="1132">
        <v>0.2</v>
      </c>
      <c r="F92" s="1147">
        <v>30</v>
      </c>
    </row>
    <row r="93" spans="1:6" s="1098" customFormat="1" ht="36">
      <c r="A93" s="1147">
        <v>33</v>
      </c>
      <c r="B93" s="3794"/>
      <c r="C93" s="1147" t="s">
        <v>1569</v>
      </c>
      <c r="D93" s="1061" t="s">
        <v>1570</v>
      </c>
      <c r="E93" s="1132">
        <v>0.2</v>
      </c>
      <c r="F93" s="1147">
        <v>30</v>
      </c>
    </row>
    <row r="94" spans="1:6" s="1098" customFormat="1" ht="48">
      <c r="A94" s="1147">
        <v>34</v>
      </c>
      <c r="B94" s="3794"/>
      <c r="C94" s="1147" t="s">
        <v>1571</v>
      </c>
      <c r="D94" s="1061" t="s">
        <v>1572</v>
      </c>
      <c r="E94" s="1132">
        <v>0.2</v>
      </c>
      <c r="F94" s="1147">
        <v>30</v>
      </c>
    </row>
    <row r="95" spans="1:6" s="1098" customFormat="1" ht="36">
      <c r="A95" s="1147">
        <v>35</v>
      </c>
      <c r="B95" s="3794"/>
      <c r="C95" s="1147" t="s">
        <v>1573</v>
      </c>
      <c r="D95" s="1061" t="s">
        <v>1574</v>
      </c>
      <c r="E95" s="1132">
        <v>0.2</v>
      </c>
      <c r="F95" s="1147">
        <v>30</v>
      </c>
    </row>
    <row r="96" spans="1:6" s="1098" customFormat="1" ht="48">
      <c r="A96" s="1147">
        <v>36</v>
      </c>
      <c r="B96" s="3794"/>
      <c r="C96" s="1061" t="s">
        <v>1575</v>
      </c>
      <c r="D96" s="1061" t="s">
        <v>1576</v>
      </c>
      <c r="E96" s="1132">
        <v>0.2</v>
      </c>
      <c r="F96" s="1147">
        <v>30</v>
      </c>
    </row>
    <row r="97" spans="1:6" s="1098" customFormat="1" ht="36">
      <c r="A97" s="1147">
        <v>37</v>
      </c>
      <c r="B97" s="3794"/>
      <c r="C97" s="1147" t="s">
        <v>1577</v>
      </c>
      <c r="D97" s="1061" t="s">
        <v>1578</v>
      </c>
      <c r="E97" s="1132">
        <v>0.2</v>
      </c>
      <c r="F97" s="1147">
        <v>30</v>
      </c>
    </row>
    <row r="98" spans="1:6" s="1098" customFormat="1" ht="36">
      <c r="A98" s="1147">
        <v>38</v>
      </c>
      <c r="B98" s="3794"/>
      <c r="C98" s="1147" t="s">
        <v>1579</v>
      </c>
      <c r="D98" s="1061" t="s">
        <v>1580</v>
      </c>
      <c r="E98" s="1132">
        <v>0.2</v>
      </c>
      <c r="F98" s="1147">
        <v>30</v>
      </c>
    </row>
    <row r="99" spans="1:6" s="1098" customFormat="1" ht="36">
      <c r="A99" s="1147">
        <v>39</v>
      </c>
      <c r="B99" s="3794" t="s">
        <v>1581</v>
      </c>
      <c r="C99" s="1147" t="s">
        <v>1582</v>
      </c>
      <c r="D99" s="1061" t="s">
        <v>1583</v>
      </c>
      <c r="E99" s="1132">
        <v>0.3</v>
      </c>
      <c r="F99" s="1147">
        <v>50</v>
      </c>
    </row>
    <row r="100" spans="1:6" s="1098" customFormat="1" ht="24">
      <c r="A100" s="1147">
        <v>40</v>
      </c>
      <c r="B100" s="3794"/>
      <c r="C100" s="1147" t="s">
        <v>1584</v>
      </c>
      <c r="D100" s="1061" t="s">
        <v>1585</v>
      </c>
      <c r="E100" s="1132">
        <v>0.2</v>
      </c>
      <c r="F100" s="1147">
        <v>30</v>
      </c>
    </row>
    <row r="101" spans="1:6" s="1098" customFormat="1" ht="36">
      <c r="A101" s="1147">
        <v>41</v>
      </c>
      <c r="B101" s="3794"/>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94" t="s">
        <v>1596</v>
      </c>
      <c r="C105" s="1147" t="s">
        <v>1597</v>
      </c>
      <c r="D105" s="1061" t="s">
        <v>1598</v>
      </c>
      <c r="E105" s="1132">
        <v>0.2</v>
      </c>
      <c r="F105" s="1147">
        <v>30</v>
      </c>
    </row>
    <row r="106" spans="1:6" s="1098" customFormat="1" ht="36">
      <c r="A106" s="1147">
        <v>46</v>
      </c>
      <c r="B106" s="3794"/>
      <c r="C106" s="1147" t="s">
        <v>1599</v>
      </c>
      <c r="D106" s="1061" t="s">
        <v>1600</v>
      </c>
      <c r="E106" s="1132">
        <v>0.2</v>
      </c>
      <c r="F106" s="1147">
        <v>30</v>
      </c>
    </row>
    <row r="107" spans="1:6" s="1098" customFormat="1" ht="36">
      <c r="A107" s="1147">
        <v>47</v>
      </c>
      <c r="B107" s="3794" t="s">
        <v>1601</v>
      </c>
      <c r="C107" s="1147" t="s">
        <v>1602</v>
      </c>
      <c r="D107" s="1061" t="s">
        <v>1603</v>
      </c>
      <c r="E107" s="1132">
        <v>0.3</v>
      </c>
      <c r="F107" s="1147">
        <v>50</v>
      </c>
    </row>
    <row r="108" spans="1:6" s="1098" customFormat="1" ht="36">
      <c r="A108" s="1147">
        <v>48</v>
      </c>
      <c r="B108" s="3794"/>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94" t="s">
        <v>1612</v>
      </c>
      <c r="C111" s="1147" t="s">
        <v>1613</v>
      </c>
      <c r="D111" s="1061" t="s">
        <v>1614</v>
      </c>
      <c r="E111" s="1132">
        <v>0.2</v>
      </c>
      <c r="F111" s="1147">
        <v>30</v>
      </c>
    </row>
    <row r="112" spans="1:6" s="1098" customFormat="1" ht="24">
      <c r="A112" s="1147">
        <v>52</v>
      </c>
      <c r="B112" s="3794"/>
      <c r="C112" s="1147" t="s">
        <v>1615</v>
      </c>
      <c r="D112" s="1061" t="s">
        <v>1616</v>
      </c>
      <c r="E112" s="1132">
        <v>0.2</v>
      </c>
      <c r="F112" s="1147">
        <v>30</v>
      </c>
    </row>
    <row r="113" spans="1:14" s="1098" customFormat="1" ht="24">
      <c r="A113" s="1147">
        <v>53</v>
      </c>
      <c r="B113" s="3794"/>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94" t="s">
        <v>1625</v>
      </c>
      <c r="C116" s="1147" t="s">
        <v>1626</v>
      </c>
      <c r="D116" s="1061" t="s">
        <v>1627</v>
      </c>
      <c r="E116" s="1132">
        <v>0.2</v>
      </c>
      <c r="F116" s="1147">
        <v>30</v>
      </c>
    </row>
    <row r="117" spans="1:14" ht="36">
      <c r="A117" s="1147">
        <v>57</v>
      </c>
      <c r="B117" s="3794"/>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93" t="s">
        <v>1634</v>
      </c>
      <c r="B121" s="3793"/>
      <c r="C121" s="3793"/>
      <c r="D121" s="3793"/>
      <c r="E121" s="3793"/>
      <c r="F121" s="3793"/>
      <c r="G121" s="3793"/>
      <c r="H121" s="3793"/>
      <c r="I121" s="3793"/>
      <c r="J121" s="3793"/>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8" t="s">
        <v>1040</v>
      </c>
      <c r="B1" s="3798"/>
      <c r="C1" s="3798"/>
      <c r="D1" s="3798"/>
      <c r="E1" s="3798"/>
      <c r="F1" s="3798"/>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99" t="s">
        <v>1053</v>
      </c>
      <c r="B2" s="3799"/>
      <c r="C2" s="3799"/>
      <c r="D2" s="3799"/>
      <c r="E2" s="3799"/>
      <c r="F2" s="3799"/>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00"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01"/>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2" t="s">
        <v>2080</v>
      </c>
      <c r="B1" s="3802"/>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4"/>
      <c r="C5" s="1874"/>
      <c r="D5" s="1874"/>
      <c r="E5" s="1874"/>
      <c r="F5" s="3122"/>
    </row>
    <row r="6" spans="1:6" ht="28.5">
      <c r="A6" s="3126" t="s">
        <v>2953</v>
      </c>
      <c r="B6" s="3123" t="s">
        <v>2950</v>
      </c>
      <c r="C6" s="3124"/>
      <c r="D6" s="1874"/>
      <c r="E6" s="3123" t="s">
        <v>2951</v>
      </c>
      <c r="F6" s="3123" t="s">
        <v>2955</v>
      </c>
    </row>
    <row r="7" spans="1:6" ht="14.25">
      <c r="A7" s="258" t="s">
        <v>2954</v>
      </c>
      <c r="B7" s="3127" t="e">
        <f ca="1">SUMIF(INDIRECT("'"&amp;A7&amp;"'"&amp;"!A:A"),"总价",INDIRECT("'"&amp;A7&amp;"'"&amp;"!B:B"))</f>
        <v>#DIV/0!</v>
      </c>
      <c r="C7" s="3123" t="s">
        <v>2947</v>
      </c>
      <c r="D7" s="1874"/>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4"/>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4"/>
      <c r="E9" s="3128" t="e">
        <f t="shared" ca="1" si="1"/>
        <v>#REF!</v>
      </c>
      <c r="F9" s="3128" t="e">
        <f t="shared" ca="1" si="2"/>
        <v>#REF!</v>
      </c>
    </row>
    <row r="10" spans="1:6" ht="14.25">
      <c r="A10" s="258"/>
      <c r="B10" s="3127" t="e">
        <f t="shared" ca="1" si="0"/>
        <v>#REF!</v>
      </c>
      <c r="C10" s="3123" t="s">
        <v>2947</v>
      </c>
      <c r="D10" s="1874"/>
      <c r="E10" s="3128" t="e">
        <f t="shared" ca="1" si="1"/>
        <v>#REF!</v>
      </c>
      <c r="F10" s="3128" t="e">
        <f t="shared" ca="1" si="2"/>
        <v>#REF!</v>
      </c>
    </row>
    <row r="11" spans="1:6" ht="14.25">
      <c r="A11" s="258"/>
      <c r="B11" s="3127" t="e">
        <f t="shared" ca="1" si="0"/>
        <v>#REF!</v>
      </c>
      <c r="C11" s="3123" t="s">
        <v>2947</v>
      </c>
      <c r="D11" s="1874"/>
      <c r="E11" s="3128" t="e">
        <f t="shared" ca="1" si="1"/>
        <v>#REF!</v>
      </c>
      <c r="F11" s="3128" t="e">
        <f t="shared" ca="1" si="2"/>
        <v>#REF!</v>
      </c>
    </row>
    <row r="12" spans="1:6" ht="14.25">
      <c r="A12" s="258"/>
      <c r="B12" s="3127" t="e">
        <f t="shared" ca="1" si="0"/>
        <v>#REF!</v>
      </c>
      <c r="C12" s="3123" t="s">
        <v>2947</v>
      </c>
      <c r="D12" s="1874"/>
      <c r="E12" s="3128" t="e">
        <f t="shared" ca="1" si="1"/>
        <v>#REF!</v>
      </c>
      <c r="F12" s="3128" t="e">
        <f t="shared" ca="1" si="2"/>
        <v>#REF!</v>
      </c>
    </row>
    <row r="13" spans="1:6" ht="14.25">
      <c r="A13" s="258"/>
      <c r="B13" s="3127" t="e">
        <f t="shared" ca="1" si="0"/>
        <v>#REF!</v>
      </c>
      <c r="C13" s="3123" t="s">
        <v>2947</v>
      </c>
      <c r="D13" s="1874"/>
      <c r="E13" s="3128" t="e">
        <f t="shared" ca="1" si="1"/>
        <v>#REF!</v>
      </c>
      <c r="F13" s="3128" t="e">
        <f t="shared" ca="1" si="2"/>
        <v>#REF!</v>
      </c>
    </row>
    <row r="14" spans="1:6" ht="14.25">
      <c r="A14" s="3121"/>
      <c r="B14" s="3127" t="e">
        <f t="shared" ca="1" si="0"/>
        <v>#REF!</v>
      </c>
      <c r="C14" s="3123" t="s">
        <v>2947</v>
      </c>
      <c r="D14" s="1874"/>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2" t="str">
        <f>项目基本情况!B1</f>
        <v>出让国有建设用地使用权抵押价格预评估</v>
      </c>
      <c r="C37" s="3562"/>
      <c r="D37" s="3562"/>
      <c r="E37" s="3562"/>
      <c r="F37" s="3562"/>
      <c r="G37" s="3562"/>
      <c r="H37" s="3562"/>
      <c r="I37" s="3562"/>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3590</v>
      </c>
      <c r="C2" s="1344"/>
      <c r="D2" s="2048"/>
      <c r="E2" s="2049"/>
      <c r="F2" s="2049"/>
      <c r="G2" s="1582"/>
      <c r="H2" s="1356"/>
      <c r="I2" s="2050"/>
      <c r="J2" s="2050"/>
      <c r="K2" s="2051"/>
      <c r="L2" s="2050"/>
      <c r="M2" s="2050"/>
    </row>
    <row r="3" spans="1:25" ht="18" customHeight="1">
      <c r="A3" s="1637" t="s">
        <v>1685</v>
      </c>
      <c r="B3" s="1383">
        <f ca="1">ROUND(B2*10000/'数据-汇总表'!E3,0)</f>
        <v>70</v>
      </c>
      <c r="C3" s="1344"/>
      <c r="D3" s="2048"/>
      <c r="E3" s="2049"/>
      <c r="F3" s="2049"/>
      <c r="G3" s="1582"/>
      <c r="H3" s="773" t="s">
        <v>696</v>
      </c>
      <c r="I3" s="2050"/>
      <c r="J3" s="2050"/>
      <c r="K3" s="2051"/>
      <c r="L3" s="2050"/>
      <c r="M3" s="2050"/>
    </row>
    <row r="4" spans="1:25" ht="18" customHeight="1">
      <c r="A4" s="1638" t="s">
        <v>697</v>
      </c>
      <c r="B4" s="1345">
        <f ca="1">ROUND(B2*10000/'数据-汇总表'!D3,0)</f>
        <v>518</v>
      </c>
      <c r="C4" s="426"/>
      <c r="D4" s="2048"/>
      <c r="E4" s="2049"/>
      <c r="F4" s="2049"/>
      <c r="G4" s="1582"/>
      <c r="H4" s="773"/>
      <c r="I4" s="2050"/>
      <c r="J4" s="2050"/>
      <c r="K4" s="2051"/>
      <c r="L4" s="2050"/>
      <c r="M4" s="2050"/>
    </row>
    <row r="5" spans="1:25" ht="18" customHeight="1" thickBot="1">
      <c r="A5" s="1639"/>
      <c r="B5" s="428">
        <f ca="1">ROUND(B2/('数据-汇总表'!D3/666.67),0)</f>
        <v>35</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4" t="s">
        <v>2466</v>
      </c>
      <c r="C8" s="1818">
        <f ca="1">ROUND(F8*F10*F9*(1-F11)/10000,0)</f>
        <v>11854</v>
      </c>
      <c r="D8" s="1815" t="s">
        <v>2538</v>
      </c>
      <c r="E8" s="61" t="s">
        <v>638</v>
      </c>
      <c r="F8" s="782">
        <f ca="1">INDIRECT("'数据-取费表'!u"&amp;$G$1)</f>
        <v>2</v>
      </c>
      <c r="G8" s="1584"/>
      <c r="H8" s="2521" t="s">
        <v>1823</v>
      </c>
      <c r="I8" s="3804" t="s">
        <v>2466</v>
      </c>
      <c r="J8" s="780">
        <f ca="1">ROUND(M8*M10*M9*(1-M11)/10000,0)</f>
        <v>0</v>
      </c>
      <c r="K8" s="339" t="s">
        <v>2538</v>
      </c>
      <c r="L8" s="781" t="s">
        <v>1737</v>
      </c>
      <c r="M8" s="782">
        <f ca="1">INDIRECT("'数据-取费表'!z"&amp;$G$1)</f>
        <v>0</v>
      </c>
    </row>
    <row r="9" spans="1:25" ht="18" customHeight="1">
      <c r="A9" s="2517"/>
      <c r="B9" s="3805"/>
      <c r="C9" s="1819"/>
      <c r="D9" s="1816"/>
      <c r="E9" s="61" t="s">
        <v>639</v>
      </c>
      <c r="F9" s="782">
        <f ca="1">IF(INDIRECT("'数据-取费表'!ah"&amp;$G$1)="",INDIRECT("'数据-取费表'!k"&amp;$G$1),INDIRECT("'数据-取费表'!ah"&amp;$G$1))</f>
        <v>180419</v>
      </c>
      <c r="G9" s="1584"/>
      <c r="H9" s="2506"/>
      <c r="I9" s="3805"/>
      <c r="J9" s="785"/>
      <c r="K9" s="786"/>
      <c r="L9" s="781" t="s">
        <v>1738</v>
      </c>
      <c r="M9" s="782">
        <f ca="1">F9</f>
        <v>180419</v>
      </c>
    </row>
    <row r="10" spans="1:25" ht="18" customHeight="1">
      <c r="A10" s="2510"/>
      <c r="B10" s="3806"/>
      <c r="C10" s="1819"/>
      <c r="D10" s="1816"/>
      <c r="E10" s="61" t="s">
        <v>640</v>
      </c>
      <c r="F10" s="782">
        <f ca="1">INDIRECT("'数据-取费表'!ai"&amp;$G$1)</f>
        <v>365</v>
      </c>
      <c r="G10" s="1584"/>
      <c r="H10" s="2506"/>
      <c r="I10" s="3806"/>
      <c r="J10" s="785"/>
      <c r="K10" s="786"/>
      <c r="L10" s="781" t="s">
        <v>1739</v>
      </c>
      <c r="M10" s="782">
        <f ca="1">INDIRECT("'数据-取费表'!ai"&amp;$G$1)</f>
        <v>365</v>
      </c>
    </row>
    <row r="11" spans="1:25" ht="18" customHeight="1">
      <c r="A11" s="783"/>
      <c r="B11" s="3807"/>
      <c r="C11" s="1819"/>
      <c r="D11" s="1816"/>
      <c r="E11" s="61" t="s">
        <v>641</v>
      </c>
      <c r="F11" s="791">
        <f ca="1">INDIRECT("'数据-取费表'!w"&amp;$G$1)</f>
        <v>0.1</v>
      </c>
      <c r="G11" s="1584"/>
      <c r="H11" s="2522"/>
      <c r="I11" s="3806"/>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3299</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97693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60477</v>
      </c>
      <c r="D16" s="1972" t="s">
        <v>647</v>
      </c>
      <c r="E16" s="1973"/>
      <c r="F16" s="802"/>
      <c r="G16" s="1584"/>
      <c r="H16" s="800" t="s">
        <v>2070</v>
      </c>
      <c r="I16" s="2224" t="s">
        <v>2829</v>
      </c>
      <c r="J16" s="53">
        <f ca="1">C31</f>
        <v>97693</v>
      </c>
      <c r="K16" s="26"/>
      <c r="L16" s="798"/>
      <c r="M16" s="799"/>
    </row>
    <row r="17" spans="1:25" s="2057" customFormat="1" ht="18" customHeight="1">
      <c r="A17" s="800" t="s">
        <v>1848</v>
      </c>
      <c r="B17" s="781" t="s">
        <v>648</v>
      </c>
      <c r="C17" s="53">
        <f ca="1">ROUND(C16*F17,0)</f>
        <v>1814</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2323</v>
      </c>
      <c r="K18" s="26" t="s">
        <v>653</v>
      </c>
      <c r="L18" s="1975"/>
      <c r="M18" s="56"/>
    </row>
    <row r="19" spans="1:25" s="2057" customFormat="1" ht="18" customHeight="1">
      <c r="A19" s="800" t="s">
        <v>1850</v>
      </c>
      <c r="B19" s="781" t="s">
        <v>654</v>
      </c>
      <c r="C19" s="53">
        <f ca="1">ROUND(F19*(INDIRECT("'数据-取费表'!k"&amp;$G$1)+INDIRECT("'数据-取费表'!S"&amp;$G$1))/10000,0)</f>
        <v>3858</v>
      </c>
      <c r="D19" s="781" t="s">
        <v>655</v>
      </c>
      <c r="E19" s="781" t="s">
        <v>656</v>
      </c>
      <c r="F19" s="56">
        <f>'数据-取费表'!B35</f>
        <v>200</v>
      </c>
      <c r="G19" s="1585"/>
      <c r="H19" s="800" t="s">
        <v>2070</v>
      </c>
      <c r="I19" s="781" t="s">
        <v>657</v>
      </c>
      <c r="J19" s="53">
        <f ca="1">ROUND(IF(项目基本情况!B11="自然人",J7*M19,J20+J21+J22),0)</f>
        <v>858</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907</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67056</v>
      </c>
      <c r="D21" s="259" t="s">
        <v>664</v>
      </c>
      <c r="E21" s="1975"/>
      <c r="F21" s="56"/>
      <c r="G21" s="1584"/>
      <c r="H21" s="1823" t="s">
        <v>1848</v>
      </c>
      <c r="I21" s="781" t="s">
        <v>665</v>
      </c>
      <c r="J21" s="53">
        <f ca="1">IF(K21="按租金收入计税",ROUND(J7*M21,1),ROUND(C31*F35*0.7,1))</f>
        <v>820.6</v>
      </c>
      <c r="K21" s="808" t="s">
        <v>666</v>
      </c>
      <c r="L21" s="781" t="s">
        <v>650</v>
      </c>
      <c r="M21" s="806">
        <f>IF(K21="按租金收入计税",'数据-取费表'!B51,'数据-取费表'!B50)</f>
        <v>1.2E-2</v>
      </c>
    </row>
    <row r="22" spans="1:25" s="2057" customFormat="1" ht="18" customHeight="1">
      <c r="A22" s="800" t="s">
        <v>1876</v>
      </c>
      <c r="B22" s="781" t="s">
        <v>667</v>
      </c>
      <c r="C22" s="53">
        <f ca="1">ROUND(C21*F22,0)</f>
        <v>2012</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26260</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1465</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5843</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-2323</v>
      </c>
      <c r="K27" s="1972" t="s">
        <v>701</v>
      </c>
      <c r="L27" s="1974"/>
      <c r="M27" s="817"/>
    </row>
    <row r="28" spans="1:25" ht="18" customHeight="1">
      <c r="A28" s="800" t="s">
        <v>1874</v>
      </c>
      <c r="B28" s="781" t="s">
        <v>2440</v>
      </c>
      <c r="C28" s="53">
        <f ca="1">ROUND((C21+C22)*F28,0)</f>
        <v>13814</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97693</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3340</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1490.5</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820.6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36.799999999999997</v>
      </c>
      <c r="D36" s="811" t="s">
        <v>670</v>
      </c>
      <c r="E36" s="781" t="s">
        <v>671</v>
      </c>
      <c r="F36" s="637">
        <f>'数据-取费表'!B52</f>
        <v>14</v>
      </c>
      <c r="G36" s="2055"/>
      <c r="H36" s="2058"/>
      <c r="I36" s="3803"/>
      <c r="J36" s="2072"/>
      <c r="K36" s="2073"/>
      <c r="L36" s="2072"/>
      <c r="M36" s="2072"/>
    </row>
    <row r="37" spans="1:18" ht="18" customHeight="1">
      <c r="A37" s="812"/>
      <c r="B37" s="790"/>
      <c r="C37" s="69"/>
      <c r="D37" s="813"/>
      <c r="E37" s="781" t="s">
        <v>675</v>
      </c>
      <c r="F37" s="782">
        <f ca="1">INDIRECT("'数据-取费表'!r"&amp;$G$1)</f>
        <v>26260</v>
      </c>
      <c r="G37" s="2055"/>
      <c r="H37" s="2058"/>
      <c r="I37" s="3803"/>
      <c r="J37" s="2070"/>
      <c r="K37" s="2071"/>
      <c r="L37" s="2070"/>
      <c r="M37" s="2070"/>
    </row>
    <row r="38" spans="1:18" ht="18" customHeight="1">
      <c r="A38" s="800" t="s">
        <v>1876</v>
      </c>
      <c r="B38" s="781" t="s">
        <v>677</v>
      </c>
      <c r="C38" s="53">
        <f ca="1">ROUND(C31*F38,1)</f>
        <v>1465.4</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146.5</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8530</v>
      </c>
      <c r="D42" s="1972" t="s">
        <v>695</v>
      </c>
      <c r="E42" s="1974"/>
      <c r="F42" s="817"/>
      <c r="G42" s="2055"/>
      <c r="H42" s="2055"/>
      <c r="I42" s="2055"/>
      <c r="J42" s="2055"/>
      <c r="K42" s="2076"/>
      <c r="L42" s="2055"/>
      <c r="M42" s="2055"/>
    </row>
    <row r="43" spans="1:18" ht="18" customHeight="1">
      <c r="A43" s="800" t="s">
        <v>1876</v>
      </c>
      <c r="B43" s="832" t="s">
        <v>712</v>
      </c>
      <c r="C43" s="833">
        <f ca="1">ROUND(C15*F43,0)</f>
        <v>8304</v>
      </c>
      <c r="D43" s="1349" t="s">
        <v>713</v>
      </c>
      <c r="E43" s="3141" t="s">
        <v>2965</v>
      </c>
      <c r="F43" s="3142">
        <f ca="1">INDIRECT("'数据-取费表'!j"&amp;$G$1)</f>
        <v>8.5000000000000006E-2</v>
      </c>
      <c r="G43" s="2055"/>
      <c r="H43" s="2055"/>
      <c r="I43" s="2055"/>
      <c r="J43" s="2055"/>
      <c r="K43" s="2076"/>
      <c r="L43" s="2055"/>
      <c r="M43" s="2055"/>
    </row>
    <row r="44" spans="1:18" ht="18" customHeight="1">
      <c r="A44" s="800" t="s">
        <v>1877</v>
      </c>
      <c r="B44" s="832" t="s">
        <v>714</v>
      </c>
      <c r="C44" s="1350">
        <f ca="1">C42-C43</f>
        <v>226</v>
      </c>
      <c r="D44" s="461" t="s">
        <v>715</v>
      </c>
      <c r="E44" s="462"/>
      <c r="F44" s="463"/>
      <c r="G44" s="2055"/>
      <c r="H44" s="2055"/>
      <c r="I44" s="2055"/>
      <c r="J44" s="2055"/>
      <c r="K44" s="2076"/>
      <c r="L44" s="2055"/>
      <c r="M44" s="2055"/>
    </row>
    <row r="45" spans="1:18" ht="18" customHeight="1">
      <c r="A45" s="800" t="s">
        <v>1878</v>
      </c>
      <c r="B45" s="1349" t="s">
        <v>716</v>
      </c>
      <c r="C45" s="3053">
        <f ca="1">ROUND(-PV(F45,F46,C44,0),0)</f>
        <v>3590</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3"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8"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97693</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8"/>
      <c r="L54" s="3809"/>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5" t="s">
        <v>2357</v>
      </c>
      <c r="J56" s="3139"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8"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0"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7"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8">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19">
        <v>0</v>
      </c>
      <c r="O65" s="2421" t="s">
        <v>2417</v>
      </c>
      <c r="P65" s="1584"/>
      <c r="Q65" s="1596"/>
      <c r="R65" s="1584"/>
    </row>
    <row r="66" spans="1:18" s="2052" customFormat="1" ht="15.75" thickBot="1">
      <c r="A66" s="2089"/>
      <c r="B66" s="2090"/>
      <c r="C66" s="2090"/>
      <c r="I66" s="2402" t="s">
        <v>2374</v>
      </c>
      <c r="J66" s="2403">
        <v>40</v>
      </c>
      <c r="K66" s="2403">
        <v>30</v>
      </c>
      <c r="L66" s="2403">
        <v>50</v>
      </c>
      <c r="M66" s="3118">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226</v>
      </c>
      <c r="R70" s="2420"/>
    </row>
    <row r="71" spans="1:18" s="2052" customFormat="1" ht="15.75" thickBot="1">
      <c r="A71" s="2089"/>
      <c r="B71" s="2090"/>
      <c r="C71" s="2090"/>
      <c r="K71" s="2079"/>
      <c r="O71" s="2418" t="s">
        <v>2401</v>
      </c>
      <c r="P71" s="2424" t="s">
        <v>2402</v>
      </c>
      <c r="Q71" s="2417">
        <f ca="1">C42</f>
        <v>8530</v>
      </c>
      <c r="R71" s="2416" t="s">
        <v>2382</v>
      </c>
    </row>
    <row r="72" spans="1:18" s="2052" customFormat="1" ht="15.75" thickBot="1">
      <c r="A72" s="2089"/>
      <c r="B72" s="2090"/>
      <c r="C72" s="2090"/>
      <c r="K72" s="2079"/>
      <c r="O72" s="2418" t="s">
        <v>2403</v>
      </c>
      <c r="P72" s="2424" t="s">
        <v>2404</v>
      </c>
      <c r="Q72" s="2417">
        <f ca="1">C15</f>
        <v>97693</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6" t="s">
        <v>2580</v>
      </c>
      <c r="C1" s="3816"/>
      <c r="D1" s="3816"/>
      <c r="E1" s="3816"/>
      <c r="F1" s="3816"/>
      <c r="G1" s="3815" t="s">
        <v>2581</v>
      </c>
      <c r="H1" s="3815"/>
      <c r="I1" s="3815"/>
      <c r="J1" s="3815"/>
      <c r="K1" s="3815"/>
      <c r="L1" s="3815"/>
      <c r="N1" s="3815" t="s">
        <v>2582</v>
      </c>
      <c r="O1" s="3815"/>
      <c r="P1" s="3815"/>
      <c r="Q1" s="3815"/>
      <c r="R1" s="2672"/>
      <c r="S1" s="3815" t="s">
        <v>2583</v>
      </c>
      <c r="T1" s="3815"/>
      <c r="U1" s="3815"/>
      <c r="V1" s="3815"/>
      <c r="X1" s="3814" t="s">
        <v>2643</v>
      </c>
      <c r="Y1" s="3815"/>
      <c r="Z1" s="3815"/>
      <c r="AA1" s="3815"/>
      <c r="AB1" s="3815"/>
      <c r="AD1" s="3814" t="s">
        <v>2647</v>
      </c>
      <c r="AE1" s="3815"/>
      <c r="AF1" s="3815"/>
      <c r="AG1" s="3815"/>
      <c r="AH1" s="3815"/>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7" customFormat="1" ht="14.25">
      <c r="B4" s="2768"/>
      <c r="C4" s="2768"/>
      <c r="D4" s="2769"/>
      <c r="E4" s="2769"/>
      <c r="F4" s="2768"/>
      <c r="G4" s="2773"/>
      <c r="H4" s="2770"/>
      <c r="I4" s="3146"/>
      <c r="J4" s="3146"/>
      <c r="K4" s="3146"/>
      <c r="L4" s="3146"/>
      <c r="N4" s="2773"/>
      <c r="O4" s="2771"/>
      <c r="P4" s="2771"/>
      <c r="Q4" s="2771"/>
      <c r="R4" s="2771"/>
      <c r="S4" s="2773"/>
      <c r="T4" s="2771"/>
      <c r="U4" s="2771"/>
      <c r="V4" s="2771"/>
      <c r="W4" s="3162"/>
      <c r="X4" s="2772"/>
      <c r="Y4" s="2772"/>
      <c r="Z4" s="2772"/>
      <c r="AA4" s="2772"/>
      <c r="AB4" s="2772"/>
      <c r="AD4" s="2692"/>
      <c r="AE4" s="2692"/>
      <c r="AF4" s="2692"/>
      <c r="AG4" s="2692"/>
      <c r="AH4" s="2692"/>
    </row>
    <row r="5" spans="1:34" s="3132" customFormat="1" ht="13.5" thickBot="1">
      <c r="A5" s="3130"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1">
        <v>1</v>
      </c>
      <c r="I5" s="3147">
        <v>0</v>
      </c>
      <c r="J5" s="3147">
        <v>0</v>
      </c>
      <c r="K5" s="3147">
        <v>0</v>
      </c>
      <c r="L5" s="3147">
        <v>0</v>
      </c>
      <c r="N5" s="2780">
        <f t="shared" ref="N5:N10" si="6">I5/100</f>
        <v>0</v>
      </c>
      <c r="O5" s="2780">
        <f t="shared" ref="O5" si="7">J5/100</f>
        <v>0</v>
      </c>
      <c r="P5" s="2780">
        <f t="shared" ref="P5" si="8">K5/100</f>
        <v>0</v>
      </c>
      <c r="Q5" s="2780">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0">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2"/>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1"/>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2"/>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13">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1"/>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1"/>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2"/>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0">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1"/>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1"/>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2"/>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0">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1"/>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1"/>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2"/>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7">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8"/>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8"/>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19"/>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0">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1"/>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1"/>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2"/>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0">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1">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1">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2">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0">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1">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1">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2">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0">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1">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1">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2">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0">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1">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1">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2">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0">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1">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1">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2">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0">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1">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1">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2">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0">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1">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1">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2">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0">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1">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1">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2">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0">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1">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1">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2">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0">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1">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1">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2">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0" t="s">
        <v>2475</v>
      </c>
      <c r="B1" s="3821"/>
      <c r="C1" s="3822"/>
      <c r="D1" s="3823">
        <f>SUM(I10,I15,I20,I21,I23)</f>
        <v>0</v>
      </c>
      <c r="E1" s="3823"/>
      <c r="F1" s="3823"/>
      <c r="G1" s="3823"/>
      <c r="H1" s="3823"/>
      <c r="I1" s="3824"/>
    </row>
    <row r="2" spans="1:9">
      <c r="A2" s="3825" t="s">
        <v>2476</v>
      </c>
      <c r="B2" s="3826" t="s">
        <v>2477</v>
      </c>
      <c r="C2" s="3826"/>
      <c r="D2" s="2524" t="s">
        <v>2478</v>
      </c>
      <c r="E2" s="2524" t="s">
        <v>2479</v>
      </c>
      <c r="F2" s="2524" t="s">
        <v>2480</v>
      </c>
      <c r="G2" s="2524" t="s">
        <v>2481</v>
      </c>
      <c r="H2" s="2524" t="s">
        <v>2482</v>
      </c>
      <c r="I2" s="2525" t="s">
        <v>2483</v>
      </c>
    </row>
    <row r="3" spans="1:9">
      <c r="A3" s="3825"/>
      <c r="B3" s="3826" t="s">
        <v>2484</v>
      </c>
      <c r="C3" s="3826"/>
      <c r="D3" s="2526"/>
      <c r="E3" s="2524"/>
      <c r="F3" s="2527"/>
      <c r="G3" s="2527"/>
      <c r="H3" s="2528"/>
      <c r="I3" s="2529">
        <f>ROUND(D3*E3*F3*G3*H3/10000,0)</f>
        <v>0</v>
      </c>
    </row>
    <row r="4" spans="1:9">
      <c r="A4" s="3825"/>
      <c r="B4" s="3826" t="s">
        <v>2485</v>
      </c>
      <c r="C4" s="3826"/>
      <c r="D4" s="2526"/>
      <c r="E4" s="2524"/>
      <c r="F4" s="2527"/>
      <c r="G4" s="2527"/>
      <c r="H4" s="2528"/>
      <c r="I4" s="2529">
        <f t="shared" ref="I4:I9" si="0">ROUND(D4*E4*F4*G4*H4/10000,0)</f>
        <v>0</v>
      </c>
    </row>
    <row r="5" spans="1:9">
      <c r="A5" s="3825"/>
      <c r="B5" s="3826" t="s">
        <v>2486</v>
      </c>
      <c r="C5" s="3826"/>
      <c r="D5" s="2526"/>
      <c r="E5" s="2524"/>
      <c r="F5" s="2527"/>
      <c r="G5" s="2527"/>
      <c r="H5" s="2528"/>
      <c r="I5" s="2529">
        <f t="shared" si="0"/>
        <v>0</v>
      </c>
    </row>
    <row r="6" spans="1:9">
      <c r="A6" s="3825"/>
      <c r="B6" s="3826" t="s">
        <v>2487</v>
      </c>
      <c r="C6" s="3826"/>
      <c r="D6" s="2526"/>
      <c r="E6" s="2524"/>
      <c r="F6" s="2527"/>
      <c r="G6" s="2527"/>
      <c r="H6" s="2528"/>
      <c r="I6" s="2529">
        <f t="shared" si="0"/>
        <v>0</v>
      </c>
    </row>
    <row r="7" spans="1:9">
      <c r="A7" s="3825"/>
      <c r="B7" s="3826" t="s">
        <v>2488</v>
      </c>
      <c r="C7" s="3826"/>
      <c r="D7" s="2526"/>
      <c r="E7" s="2524"/>
      <c r="F7" s="2527"/>
      <c r="G7" s="2527"/>
      <c r="H7" s="2528"/>
      <c r="I7" s="2529">
        <f t="shared" si="0"/>
        <v>0</v>
      </c>
    </row>
    <row r="8" spans="1:9">
      <c r="A8" s="3825"/>
      <c r="B8" s="3826" t="s">
        <v>2489</v>
      </c>
      <c r="C8" s="3826"/>
      <c r="D8" s="2526"/>
      <c r="E8" s="2524"/>
      <c r="F8" s="2527"/>
      <c r="G8" s="2527"/>
      <c r="H8" s="2528"/>
      <c r="I8" s="2529">
        <f t="shared" si="0"/>
        <v>0</v>
      </c>
    </row>
    <row r="9" spans="1:9">
      <c r="A9" s="3825"/>
      <c r="B9" s="3826" t="s">
        <v>2490</v>
      </c>
      <c r="C9" s="3826"/>
      <c r="D9" s="2526"/>
      <c r="E9" s="2524"/>
      <c r="F9" s="2527"/>
      <c r="G9" s="2527"/>
      <c r="H9" s="2528"/>
      <c r="I9" s="2529">
        <f t="shared" si="0"/>
        <v>0</v>
      </c>
    </row>
    <row r="10" spans="1:9">
      <c r="A10" s="3825"/>
      <c r="B10" s="3827" t="s">
        <v>2491</v>
      </c>
      <c r="C10" s="3827"/>
      <c r="D10" s="2530">
        <v>527</v>
      </c>
      <c r="E10" s="2530" t="e">
        <f>ROUND(D1*10000/D10/H9,0)</f>
        <v>#DIV/0!</v>
      </c>
      <c r="F10" s="2531"/>
      <c r="G10" s="2531"/>
      <c r="H10" s="2532"/>
      <c r="I10" s="2533">
        <f>SUM(I3:I9)</f>
        <v>0</v>
      </c>
    </row>
    <row r="11" spans="1:9" ht="14.25">
      <c r="A11" s="3825" t="s">
        <v>2492</v>
      </c>
      <c r="B11" s="3826" t="s">
        <v>2493</v>
      </c>
      <c r="C11" s="3826"/>
      <c r="D11" s="2526" t="s">
        <v>2494</v>
      </c>
      <c r="E11" s="2526" t="s">
        <v>2495</v>
      </c>
      <c r="F11" s="2527" t="s">
        <v>2496</v>
      </c>
      <c r="G11" s="2527" t="s">
        <v>2497</v>
      </c>
      <c r="H11" s="2534" t="s">
        <v>2498</v>
      </c>
      <c r="I11" s="2525" t="s">
        <v>2499</v>
      </c>
    </row>
    <row r="12" spans="1:9">
      <c r="A12" s="3825"/>
      <c r="B12" s="3826" t="s">
        <v>2500</v>
      </c>
      <c r="C12" s="3826"/>
      <c r="D12" s="2526"/>
      <c r="E12" s="2526"/>
      <c r="F12" s="2527"/>
      <c r="G12" s="2528"/>
      <c r="H12" s="2535"/>
      <c r="I12" s="2525">
        <f>ROUND(D12*E12*F12*G12/10000,0)</f>
        <v>0</v>
      </c>
    </row>
    <row r="13" spans="1:9">
      <c r="A13" s="3825"/>
      <c r="B13" s="3826" t="s">
        <v>2501</v>
      </c>
      <c r="C13" s="3826"/>
      <c r="D13" s="2526"/>
      <c r="E13" s="2526"/>
      <c r="F13" s="2527"/>
      <c r="G13" s="2528"/>
      <c r="H13" s="2535"/>
      <c r="I13" s="2525">
        <f>ROUND(D13*E13*F13*G13/10000,0)</f>
        <v>0</v>
      </c>
    </row>
    <row r="14" spans="1:9">
      <c r="A14" s="3825"/>
      <c r="B14" s="3826" t="s">
        <v>2502</v>
      </c>
      <c r="C14" s="3826"/>
      <c r="D14" s="2526"/>
      <c r="E14" s="2526"/>
      <c r="F14" s="2527"/>
      <c r="G14" s="2528"/>
      <c r="H14" s="2535"/>
      <c r="I14" s="2525">
        <f>ROUND(D14*E14*F14*G14/10000,0)</f>
        <v>0</v>
      </c>
    </row>
    <row r="15" spans="1:9">
      <c r="A15" s="3825"/>
      <c r="B15" s="3827" t="s">
        <v>2491</v>
      </c>
      <c r="C15" s="3827"/>
      <c r="D15" s="2530"/>
      <c r="E15" s="2530">
        <f>SUM(E12:E14)</f>
        <v>0</v>
      </c>
      <c r="F15" s="2531"/>
      <c r="G15" s="2528"/>
      <c r="H15" s="2535"/>
      <c r="I15" s="2536">
        <f>SUM(I12:I14)</f>
        <v>0</v>
      </c>
    </row>
    <row r="16" spans="1:9" ht="24">
      <c r="A16" s="3825" t="s">
        <v>2503</v>
      </c>
      <c r="B16" s="3826" t="s">
        <v>2504</v>
      </c>
      <c r="C16" s="3826"/>
      <c r="D16" s="2526" t="s">
        <v>2505</v>
      </c>
      <c r="E16" s="2537" t="s">
        <v>2506</v>
      </c>
      <c r="F16" s="2527" t="s">
        <v>2507</v>
      </c>
      <c r="G16" s="2528" t="s">
        <v>2497</v>
      </c>
      <c r="H16" s="2534" t="s">
        <v>2498</v>
      </c>
      <c r="I16" s="2525" t="s">
        <v>2499</v>
      </c>
    </row>
    <row r="17" spans="1:9" ht="14.25">
      <c r="A17" s="3825"/>
      <c r="B17" s="3826" t="s">
        <v>2508</v>
      </c>
      <c r="C17" s="3826"/>
      <c r="D17" s="2526"/>
      <c r="E17" s="2526"/>
      <c r="F17" s="2527"/>
      <c r="G17" s="2528"/>
      <c r="H17" s="2538"/>
      <c r="I17" s="2539">
        <f>ROUND(D17*E17*F17*G17/10000,0)</f>
        <v>0</v>
      </c>
    </row>
    <row r="18" spans="1:9" ht="14.25">
      <c r="A18" s="3825"/>
      <c r="B18" s="3826" t="s">
        <v>2509</v>
      </c>
      <c r="C18" s="3826"/>
      <c r="D18" s="2526"/>
      <c r="E18" s="2526"/>
      <c r="F18" s="2527"/>
      <c r="G18" s="2528"/>
      <c r="H18" s="2538"/>
      <c r="I18" s="2539">
        <f>ROUND(D18*E18*F18*G18/10000,0)</f>
        <v>0</v>
      </c>
    </row>
    <row r="19" spans="1:9" ht="14.25">
      <c r="A19" s="3825"/>
      <c r="B19" s="3826" t="s">
        <v>2510</v>
      </c>
      <c r="C19" s="3826"/>
      <c r="D19" s="2526"/>
      <c r="E19" s="2526"/>
      <c r="F19" s="2527"/>
      <c r="G19" s="2528"/>
      <c r="H19" s="2538"/>
      <c r="I19" s="2539">
        <f>ROUND(D19*E19*F19*G19/10000,0)</f>
        <v>0</v>
      </c>
    </row>
    <row r="20" spans="1:9">
      <c r="A20" s="3825"/>
      <c r="B20" s="3827" t="s">
        <v>2491</v>
      </c>
      <c r="C20" s="3827"/>
      <c r="D20" s="2530">
        <f>SUM(D17:D19)</f>
        <v>0</v>
      </c>
      <c r="E20" s="2530"/>
      <c r="F20" s="2531"/>
      <c r="G20" s="2528"/>
      <c r="H20" s="2535"/>
      <c r="I20" s="2536">
        <f>SUM(I17:I19)</f>
        <v>0</v>
      </c>
    </row>
    <row r="21" spans="1:9">
      <c r="A21" s="3825" t="s">
        <v>2511</v>
      </c>
      <c r="B21" s="3829"/>
      <c r="C21" s="3829"/>
      <c r="D21" s="3829"/>
      <c r="E21" s="3829"/>
      <c r="F21" s="3829"/>
      <c r="G21" s="3829"/>
      <c r="H21" s="2540">
        <v>0.1</v>
      </c>
      <c r="I21" s="2533">
        <f>ROUND(I10*H21,0)</f>
        <v>0</v>
      </c>
    </row>
    <row r="22" spans="1:9" ht="14.25">
      <c r="A22" s="3830" t="s">
        <v>2512</v>
      </c>
      <c r="B22" s="3831"/>
      <c r="C22" s="3832"/>
      <c r="D22" s="2541" t="s">
        <v>2513</v>
      </c>
      <c r="E22" s="2541" t="s">
        <v>2514</v>
      </c>
      <c r="F22" s="2542" t="s">
        <v>2515</v>
      </c>
      <c r="G22" s="2542" t="s">
        <v>2516</v>
      </c>
      <c r="H22" s="2534" t="s">
        <v>2517</v>
      </c>
      <c r="I22" s="2525" t="s">
        <v>2518</v>
      </c>
    </row>
    <row r="23" spans="1:9" ht="14.25" thickBot="1">
      <c r="A23" s="3833"/>
      <c r="B23" s="3834"/>
      <c r="C23" s="3835"/>
      <c r="D23" s="2543"/>
      <c r="E23" s="2543"/>
      <c r="F23" s="2543"/>
      <c r="G23" s="2544"/>
      <c r="H23" s="2545"/>
      <c r="I23" s="2546">
        <f>ROUND(E23*D23*F23*(1-G23)/10000,0)</f>
        <v>0</v>
      </c>
    </row>
    <row r="26" spans="1:9">
      <c r="A26" s="2547" t="s">
        <v>2519</v>
      </c>
      <c r="B26" s="2547"/>
      <c r="C26" s="2547"/>
      <c r="D26" s="2547"/>
      <c r="E26" s="3836">
        <f>C27-C30-C31-C32</f>
        <v>0</v>
      </c>
      <c r="F26" s="3836"/>
      <c r="G26" s="3836"/>
      <c r="H26" s="3059" t="s">
        <v>2847</v>
      </c>
    </row>
    <row r="27" spans="1:9">
      <c r="A27" s="2548">
        <v>1</v>
      </c>
      <c r="B27" s="2549" t="s">
        <v>2520</v>
      </c>
      <c r="C27" s="2549"/>
      <c r="D27" s="2549"/>
      <c r="E27" s="3837"/>
      <c r="F27" s="3837"/>
      <c r="G27" s="3837"/>
    </row>
    <row r="28" spans="1:9">
      <c r="A28" s="2550" t="s">
        <v>2521</v>
      </c>
      <c r="B28" s="2549" t="s">
        <v>2522</v>
      </c>
      <c r="C28" s="2549"/>
      <c r="D28" s="2549"/>
      <c r="E28" s="3837"/>
      <c r="F28" s="3837"/>
      <c r="G28" s="3837"/>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8"/>
      <c r="F32" s="3828"/>
      <c r="G32" s="3828"/>
    </row>
    <row r="33" spans="1:7" hidden="1">
      <c r="A33" s="3838" t="s">
        <v>2530</v>
      </c>
      <c r="B33" s="3839"/>
      <c r="C33" s="3839"/>
      <c r="D33" s="3840"/>
      <c r="E33" s="3836"/>
      <c r="F33" s="3836"/>
      <c r="G33" s="3836"/>
    </row>
    <row r="34" spans="1:7" hidden="1">
      <c r="A34" s="2552">
        <v>1</v>
      </c>
      <c r="B34" s="2549" t="s">
        <v>2531</v>
      </c>
      <c r="C34" s="2549"/>
      <c r="D34" s="2549"/>
      <c r="E34" s="3837"/>
      <c r="F34" s="3837"/>
      <c r="G34" s="3837"/>
    </row>
    <row r="35" spans="1:7" hidden="1">
      <c r="A35" s="2552">
        <v>2</v>
      </c>
      <c r="B35" s="2549" t="s">
        <v>2532</v>
      </c>
      <c r="C35" s="2549"/>
      <c r="D35" s="2549"/>
      <c r="E35" s="3837"/>
      <c r="F35" s="3837"/>
      <c r="G35" s="3837"/>
    </row>
    <row r="36" spans="1:7" hidden="1">
      <c r="A36" s="2552">
        <v>3</v>
      </c>
      <c r="B36" s="2549" t="s">
        <v>2533</v>
      </c>
      <c r="C36" s="2549"/>
      <c r="D36" s="2549"/>
      <c r="E36" s="3837"/>
      <c r="F36" s="3837"/>
      <c r="G36" s="3837"/>
    </row>
    <row r="37" spans="1:7" hidden="1">
      <c r="A37" s="2552">
        <v>4</v>
      </c>
      <c r="B37" s="2549" t="s">
        <v>2534</v>
      </c>
      <c r="C37" s="2549"/>
      <c r="D37" s="2549"/>
      <c r="E37" s="3837"/>
      <c r="F37" s="3837"/>
      <c r="G37" s="3837"/>
    </row>
    <row r="38" spans="1:7" hidden="1">
      <c r="A38" s="3838" t="s">
        <v>2535</v>
      </c>
      <c r="B38" s="3839"/>
      <c r="C38" s="3839"/>
      <c r="D38" s="3840"/>
      <c r="E38" s="3836"/>
      <c r="F38" s="3836"/>
      <c r="G38" s="38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5302</v>
      </c>
      <c r="C2" s="2101"/>
      <c r="D2" s="2101"/>
      <c r="E2" s="2101"/>
      <c r="F2" s="2101"/>
      <c r="G2" s="2101"/>
    </row>
    <row r="3" spans="1:25" s="2052" customFormat="1" ht="18" customHeight="1">
      <c r="A3" s="1371" t="s">
        <v>1684</v>
      </c>
      <c r="B3" s="423">
        <f ca="1">ROUND(B2*10000/'数据-汇总表'!E3,0)</f>
        <v>104</v>
      </c>
      <c r="C3" s="2101"/>
      <c r="D3" s="2101"/>
      <c r="E3" s="2101"/>
      <c r="F3" s="2101"/>
      <c r="G3" s="2101"/>
    </row>
    <row r="4" spans="1:25" s="2052" customFormat="1" ht="18" customHeight="1">
      <c r="A4" s="424" t="s">
        <v>468</v>
      </c>
      <c r="B4" s="425">
        <f ca="1">ROUND(B2*10000/'数据-汇总表'!D3,0)</f>
        <v>765</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5349</v>
      </c>
      <c r="D10" s="757">
        <f>'数据-汇总表'!E3</f>
        <v>509385</v>
      </c>
      <c r="E10" s="746">
        <f>'数据-取费表'!B31</f>
        <v>130</v>
      </c>
      <c r="F10" s="758"/>
      <c r="G10" s="756" t="s">
        <v>615</v>
      </c>
    </row>
    <row r="11" spans="1:25" s="2176" customFormat="1" ht="13.5" customHeight="1">
      <c r="A11" s="2486" t="s">
        <v>2442</v>
      </c>
      <c r="B11" s="749" t="s">
        <v>611</v>
      </c>
      <c r="C11" s="750">
        <f ca="1">'数据-取费表'!B29</f>
        <v>5349</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5349</v>
      </c>
      <c r="D13" s="755">
        <f>'数据-汇总表'!E6</f>
        <v>509385</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1016</v>
      </c>
      <c r="D18" s="759"/>
      <c r="E18" s="760"/>
      <c r="F18" s="758">
        <f>'数据-取费表'!Q16</f>
        <v>0.19</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6365</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6365</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5302</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5302</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B1" zoomScale="80" zoomScaleNormal="80" workbookViewId="0">
      <selection activeCell="I38" sqref="I38"/>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266739</v>
      </c>
      <c r="C2" s="2097"/>
      <c r="D2" s="2097"/>
      <c r="E2" s="2097"/>
      <c r="F2" s="2097"/>
      <c r="G2" s="2097"/>
      <c r="H2" s="2097"/>
      <c r="I2" s="2097"/>
      <c r="J2" s="2097"/>
      <c r="K2" s="2097"/>
    </row>
    <row r="3" spans="1:31" s="2034" customFormat="1" ht="18" customHeight="1">
      <c r="A3" s="2099" t="s">
        <v>1683</v>
      </c>
      <c r="B3" s="2100">
        <f ca="1">ROUND(B2*10000/IF(B1="",'数据-汇总表'!E3,INDIRECT("'数据-取费表'!K"&amp;$K$1)),0)</f>
        <v>5236</v>
      </c>
      <c r="C3" s="2097"/>
      <c r="D3" s="2097"/>
      <c r="E3" s="2097"/>
      <c r="F3" s="2097"/>
      <c r="G3" s="2097"/>
      <c r="H3" s="2097"/>
      <c r="I3" s="2097"/>
      <c r="J3" s="2097"/>
      <c r="K3" s="2097"/>
    </row>
    <row r="4" spans="1:31" s="2034" customFormat="1" ht="18" customHeight="1">
      <c r="A4" s="424" t="s">
        <v>468</v>
      </c>
      <c r="B4" s="425">
        <f ca="1">ROUND(B2*10000/IF(B1="",'数据-汇总表'!D3,INDIRECT("'数据-取费表'!R"&amp;$K$1)),0)</f>
        <v>38464</v>
      </c>
      <c r="C4" s="426"/>
      <c r="D4" s="420"/>
      <c r="E4" s="420"/>
      <c r="F4" s="420"/>
      <c r="G4" s="420"/>
      <c r="H4" s="420"/>
      <c r="I4" s="420"/>
      <c r="J4" s="420"/>
      <c r="K4" s="420"/>
    </row>
    <row r="5" spans="1:31" s="2034" customFormat="1" ht="18" customHeight="1" thickBot="1">
      <c r="A5" s="427"/>
      <c r="B5" s="428">
        <f ca="1">ROUND(B2/(IF(B1="",'数据-汇总表'!D3,INDIRECT("'数据-取费表'!R"&amp;$K$1))/666.67),0)</f>
        <v>2564</v>
      </c>
      <c r="C5" s="429" t="s">
        <v>469</v>
      </c>
      <c r="D5" s="420"/>
      <c r="E5" s="420"/>
      <c r="F5" s="420"/>
      <c r="G5" s="420"/>
      <c r="H5" s="420"/>
      <c r="I5" s="420"/>
      <c r="J5" s="420"/>
      <c r="K5" s="420"/>
    </row>
    <row r="6" spans="1:31" s="2104" customFormat="1" ht="16.5" customHeight="1">
      <c r="A6" s="2846" t="s">
        <v>1841</v>
      </c>
      <c r="B6" s="2847"/>
      <c r="C6" s="2848">
        <f ca="1">SUM(C10:K10)</f>
        <v>667027</v>
      </c>
      <c r="D6" s="2847"/>
      <c r="E6" s="2847"/>
      <c r="F6" s="2847"/>
      <c r="G6" s="2847"/>
      <c r="H6" s="2847"/>
      <c r="I6" s="2847"/>
      <c r="J6" s="2847"/>
      <c r="K6" s="2849"/>
    </row>
    <row r="7" spans="1:31" s="2106" customFormat="1" ht="15">
      <c r="A7" s="2850" t="s">
        <v>470</v>
      </c>
      <c r="B7" s="2851" t="s">
        <v>471</v>
      </c>
      <c r="C7" s="434" t="s">
        <v>3216</v>
      </c>
      <c r="D7" s="434" t="s">
        <v>1678</v>
      </c>
      <c r="E7" s="434" t="s">
        <v>3217</v>
      </c>
      <c r="F7" s="434" t="s">
        <v>3218</v>
      </c>
      <c r="G7" s="434" t="s">
        <v>35</v>
      </c>
      <c r="H7" s="434" t="s">
        <v>3319</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15094</v>
      </c>
      <c r="E8" s="2852">
        <f>'典型户型修正-地下商业'!R28</f>
        <v>18483</v>
      </c>
      <c r="F8" s="2852">
        <f>'典型户型修正-地下商业'!R29</f>
        <v>15112</v>
      </c>
      <c r="G8" s="2852">
        <f ca="1">不动产收益法!B3</f>
        <v>2252</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99340</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99389</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4">
        <f>典型户型修正!S22</f>
        <v>194296</v>
      </c>
      <c r="D10" s="3044">
        <f>'不动产比较法-办公'!B2</f>
        <v>272324</v>
      </c>
      <c r="E10" s="3044">
        <f>'典型户型修正-地下商业'!S28</f>
        <v>7447</v>
      </c>
      <c r="F10" s="3044">
        <f>'典型户型修正-地下商业'!S29</f>
        <v>21979</v>
      </c>
      <c r="G10" s="3044">
        <f ca="1">不动产收益法!B2</f>
        <v>17733</v>
      </c>
      <c r="H10" s="3044">
        <f>'不动产比较法-住宅'!B2</f>
        <v>153248</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155151</v>
      </c>
      <c r="D13" s="2862"/>
      <c r="E13" s="2863"/>
      <c r="F13" s="2864"/>
      <c r="G13" s="2830"/>
      <c r="H13" s="2831"/>
      <c r="I13" s="2831"/>
      <c r="J13" s="2831"/>
      <c r="K13" s="2832"/>
    </row>
    <row r="14" spans="1:31" s="2109" customFormat="1" ht="13.5" customHeight="1">
      <c r="A14" s="2860" t="s">
        <v>1848</v>
      </c>
      <c r="B14" s="2861" t="s">
        <v>480</v>
      </c>
      <c r="C14" s="53">
        <f ca="1">ROUND(C13*F14,0)</f>
        <v>4655</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10188</v>
      </c>
      <c r="D16" s="2862">
        <f ca="1">IF(B1="",'数据-汇总表'!E3,INDIRECT("'数据-取费表'!K"&amp;$K$1)+INDIRECT("'数据-取费表'!S"&amp;$K$1))</f>
        <v>509385</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2327</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172321</v>
      </c>
      <c r="D18" s="2871"/>
      <c r="E18" s="466"/>
      <c r="F18" s="466"/>
      <c r="G18" s="2834" t="s">
        <v>2432</v>
      </c>
      <c r="H18" s="2835"/>
      <c r="I18" s="2835"/>
      <c r="J18" s="2835"/>
      <c r="K18" s="2836"/>
    </row>
    <row r="19" spans="1:14" s="2109" customFormat="1" ht="13.5" customHeight="1">
      <c r="A19" s="2868" t="s">
        <v>1853</v>
      </c>
      <c r="B19" s="2869" t="s">
        <v>488</v>
      </c>
      <c r="C19" s="2826">
        <f ca="1">ROUND(D19*E19/10000,0)</f>
        <v>3566</v>
      </c>
      <c r="D19" s="2872">
        <f ca="1">D16</f>
        <v>509385</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1" t="s">
        <v>3469</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5349</v>
      </c>
      <c r="D22" s="2862">
        <f ca="1">IF(B1="",'数据-汇总表'!E6,IF(INDIRECT("'数据-取费表'!c"&amp;$K$1)="住宅",INDIRECT("'数据-取费表'!s"&amp;$K$1),INDIRECT("'数据-取费表'!k"&amp;$K$1)+INDIRECT("'数据-取费表'!s"&amp;$K$1)))</f>
        <v>509385</v>
      </c>
      <c r="E22" s="53">
        <f>'数据-取费表'!B28</f>
        <v>105</v>
      </c>
      <c r="F22" s="2865"/>
      <c r="G22" s="26"/>
      <c r="H22" s="51"/>
      <c r="I22" s="51"/>
      <c r="J22" s="51"/>
      <c r="K22" s="2837"/>
    </row>
    <row r="23" spans="1:14" s="2109" customFormat="1" ht="13.5" customHeight="1">
      <c r="A23" s="2868" t="s">
        <v>1857</v>
      </c>
      <c r="B23" s="3050" t="s">
        <v>2838</v>
      </c>
      <c r="C23" s="2870">
        <f ca="1">ROUND((C18+C19+C20)*F23,0)</f>
        <v>5277</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0" t="s">
        <v>2841</v>
      </c>
      <c r="C24" s="2870">
        <f ca="1">ROUND(C6*F24,0)</f>
        <v>20011</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0"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1" t="s">
        <v>2840</v>
      </c>
      <c r="C26" s="2875">
        <f ca="1">C28</f>
        <v>17019</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17019</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35575</v>
      </c>
      <c r="D29" s="466"/>
      <c r="E29" s="466"/>
      <c r="F29" s="3052">
        <f>'数据-取费表'!B41</f>
        <v>5.6000000000000001E-2</v>
      </c>
      <c r="G29" s="2839" t="s">
        <v>498</v>
      </c>
      <c r="H29" s="2831"/>
      <c r="I29" s="2831"/>
      <c r="J29" s="2831"/>
      <c r="K29" s="2832"/>
    </row>
    <row r="30" spans="1:14" s="2114" customFormat="1" ht="13.5" customHeight="1">
      <c r="A30" s="1627" t="s">
        <v>1862</v>
      </c>
      <c r="B30" s="2880" t="s">
        <v>500</v>
      </c>
      <c r="C30" s="2875">
        <f ca="1">C31</f>
        <v>253769</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253769</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49" t="s">
        <v>2837</v>
      </c>
      <c r="B33" s="3047" t="s">
        <v>2835</v>
      </c>
      <c r="C33" s="476">
        <f ca="1">C35</f>
        <v>38223</v>
      </c>
      <c r="D33" s="465">
        <f ca="1">C34</f>
        <v>0.19550000000000001</v>
      </c>
      <c r="E33" s="467" t="s">
        <v>495</v>
      </c>
      <c r="F33" s="477">
        <f ca="1">IF(B1="",'数据-取费表'!Q16,INDIRECT("'数据-取费表'!q"&amp;$K$1))</f>
        <v>0.19</v>
      </c>
      <c r="G33" s="2834"/>
      <c r="H33" s="2835"/>
      <c r="I33" s="2835"/>
      <c r="J33" s="2835"/>
      <c r="K33" s="2836"/>
    </row>
    <row r="34" spans="1:11" s="2116" customFormat="1" ht="13.5" customHeight="1">
      <c r="A34" s="373" t="s">
        <v>1855</v>
      </c>
      <c r="B34" s="2881" t="s">
        <v>502</v>
      </c>
      <c r="C34" s="470">
        <f ca="1">ROUND((1+C25)*F33,4)</f>
        <v>0.19550000000000001</v>
      </c>
      <c r="D34" s="470"/>
      <c r="E34" s="471"/>
      <c r="F34" s="478"/>
      <c r="G34" s="259" t="s">
        <v>2291</v>
      </c>
      <c r="H34" s="2833"/>
      <c r="I34" s="2833"/>
      <c r="J34" s="2833"/>
      <c r="K34" s="277"/>
    </row>
    <row r="35" spans="1:11" s="2116" customFormat="1" ht="13.5" customHeight="1" thickBot="1">
      <c r="A35" s="1628" t="s">
        <v>1856</v>
      </c>
      <c r="B35" s="3048" t="s">
        <v>2843</v>
      </c>
      <c r="C35" s="1620">
        <f ca="1">ROUND((C18+C19+C20+C23+C24)*F33,0)</f>
        <v>38223</v>
      </c>
      <c r="D35" s="1621"/>
      <c r="E35" s="2882"/>
      <c r="F35" s="1622"/>
      <c r="G35" s="2840"/>
      <c r="H35" s="2841"/>
      <c r="I35" s="2841"/>
      <c r="J35" s="2841"/>
      <c r="K35" s="2842"/>
    </row>
    <row r="36" spans="1:11" s="2078" customFormat="1" ht="13.5" customHeight="1" thickBot="1">
      <c r="A36" s="282" t="s">
        <v>1843</v>
      </c>
      <c r="B36" s="2844"/>
      <c r="C36" s="2883">
        <f ca="1">ROUND((C6-C30-C33)/(1+D30+D33),0)</f>
        <v>266739</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L17" sqref="L17"/>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3319</v>
      </c>
      <c r="E1" s="2643"/>
      <c r="F1" s="2825"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153248</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99389</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36" t="s">
        <v>523</v>
      </c>
      <c r="D4" s="3737"/>
      <c r="E4" s="3771" t="s">
        <v>524</v>
      </c>
      <c r="F4" s="3772"/>
      <c r="G4" s="3736" t="s">
        <v>525</v>
      </c>
      <c r="H4" s="3737"/>
      <c r="I4" s="3736" t="s">
        <v>526</v>
      </c>
      <c r="J4" s="3737"/>
      <c r="K4" s="850"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3" t="s">
        <v>525</v>
      </c>
      <c r="AC4" s="3733" t="s">
        <v>526</v>
      </c>
    </row>
    <row r="5" spans="1:29" ht="15">
      <c r="A5" s="513"/>
      <c r="B5" s="514"/>
      <c r="C5" s="3844" t="s">
        <v>3326</v>
      </c>
      <c r="D5" s="3753"/>
      <c r="E5" s="3845" t="s">
        <v>3327</v>
      </c>
      <c r="F5" s="3774"/>
      <c r="G5" s="3844" t="s">
        <v>3328</v>
      </c>
      <c r="H5" s="3753"/>
      <c r="I5" s="3844" t="s">
        <v>3349</v>
      </c>
      <c r="J5" s="3753"/>
      <c r="K5" s="851"/>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851"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61" t="s">
        <v>531</v>
      </c>
      <c r="Q7" s="3763"/>
      <c r="R7" s="1560" t="s">
        <v>13</v>
      </c>
      <c r="S7" s="1561">
        <f t="shared" ref="S7:S15" si="0">F7</f>
        <v>100</v>
      </c>
      <c r="T7" s="1560" t="s">
        <v>13</v>
      </c>
      <c r="U7" s="1561">
        <f t="shared" ref="U7:U15" si="1">H7</f>
        <v>100</v>
      </c>
      <c r="V7" s="1560" t="s">
        <v>13</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17" t="s">
        <v>3350</v>
      </c>
      <c r="F8" s="520">
        <f>SUMIF(61:61,E8,62:62)-SUMIF(61:61,C8,62:62)+100</f>
        <v>100</v>
      </c>
      <c r="G8" s="3501" t="s">
        <v>3350</v>
      </c>
      <c r="H8" s="518">
        <f>SUMIF(61:61,G8,62:62)-SUMIF(61:61,C8,62:62)+100</f>
        <v>100</v>
      </c>
      <c r="I8" s="3517" t="s">
        <v>3350</v>
      </c>
      <c r="J8" s="518">
        <f>SUMIF(61:61,I8,62:62)-SUMIF(61:61,C8,62:62)+100</f>
        <v>100</v>
      </c>
      <c r="K8" s="852"/>
      <c r="L8" s="2128"/>
      <c r="M8" s="2129"/>
      <c r="N8" s="2129"/>
      <c r="O8" s="2129"/>
      <c r="P8" s="3761" t="s">
        <v>534</v>
      </c>
      <c r="Q8" s="3762"/>
      <c r="R8" s="1560" t="s">
        <v>13</v>
      </c>
      <c r="S8" s="1561">
        <f t="shared" si="0"/>
        <v>100</v>
      </c>
      <c r="T8" s="1560" t="s">
        <v>13</v>
      </c>
      <c r="U8" s="1561">
        <f t="shared" si="1"/>
        <v>100</v>
      </c>
      <c r="V8" s="1560" t="s">
        <v>13</v>
      </c>
      <c r="W8" s="1561">
        <f t="shared" si="2"/>
        <v>100</v>
      </c>
      <c r="X8" s="1562"/>
      <c r="Y8" s="3761" t="s">
        <v>534</v>
      </c>
      <c r="Z8" s="3762"/>
      <c r="AA8" s="1563">
        <f t="shared" ref="AA8:AA46" si="3">D8/F8</f>
        <v>1</v>
      </c>
      <c r="AB8" s="1563">
        <f t="shared" ref="AB8:AB46" si="4">D8/H8</f>
        <v>1</v>
      </c>
      <c r="AC8" s="1563">
        <f t="shared" ref="AC8:AC46" si="5">D8/J8</f>
        <v>1</v>
      </c>
    </row>
    <row r="9" spans="1:29" s="1213" customFormat="1" ht="15">
      <c r="A9" s="2931"/>
      <c r="B9" s="2938" t="s">
        <v>2760</v>
      </c>
      <c r="C9" s="3502" t="s">
        <v>3351</v>
      </c>
      <c r="D9" s="252">
        <v>100</v>
      </c>
      <c r="E9" s="3504" t="s">
        <v>3351</v>
      </c>
      <c r="F9" s="856">
        <f>SUMIF(63:63,E9,64:64)-SUMIF(63:63,C9,64:64)+100</f>
        <v>100</v>
      </c>
      <c r="G9" s="3503" t="s">
        <v>3351</v>
      </c>
      <c r="H9" s="252">
        <f>SUMIF(63:63,G9,64:64)-SUMIF(63:63,C9,64:64)+100</f>
        <v>100</v>
      </c>
      <c r="I9" s="3503" t="s">
        <v>3352</v>
      </c>
      <c r="J9" s="252">
        <f>SUMIF(63:63,I9,64:64)-SUMIF(63:63,C9,64:64)+100</f>
        <v>100</v>
      </c>
      <c r="K9" s="85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3331</v>
      </c>
      <c r="D10" s="253">
        <v>100</v>
      </c>
      <c r="E10" s="3548" t="s">
        <v>3331</v>
      </c>
      <c r="F10" s="860">
        <f>SUMIF(65:65,E10,66:66)-SUMIF(65:65,C10,66:66)+100</f>
        <v>100</v>
      </c>
      <c r="G10" s="858" t="s">
        <v>3331</v>
      </c>
      <c r="H10" s="253">
        <f>SUMIF(65:65,G10,66:66)-SUMIF(65:65,C10,66:66)+100</f>
        <v>100</v>
      </c>
      <c r="I10" s="858" t="s">
        <v>3331</v>
      </c>
      <c r="J10" s="253">
        <f>SUMIF(65:65,I10,66:66)-SUMIF(65:65,C10,66:66)+100</f>
        <v>100</v>
      </c>
      <c r="K10" s="861">
        <v>2</v>
      </c>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30"/>
      <c r="Q11" s="1144" t="str">
        <f t="shared" si="6"/>
        <v>容积率</v>
      </c>
      <c r="R11" s="1560" t="s">
        <v>11</v>
      </c>
      <c r="S11" s="1561">
        <f t="shared" si="0"/>
        <v>100</v>
      </c>
      <c r="T11" s="1560" t="s">
        <v>11</v>
      </c>
      <c r="U11" s="1561">
        <f t="shared" si="1"/>
        <v>100</v>
      </c>
      <c r="V11" s="1560" t="s">
        <v>11</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30"/>
      <c r="Q12" s="1144">
        <f t="shared" si="6"/>
        <v>111</v>
      </c>
      <c r="R12" s="1560" t="s">
        <v>11</v>
      </c>
      <c r="S12" s="1561">
        <f t="shared" si="0"/>
        <v>100</v>
      </c>
      <c r="T12" s="1560" t="s">
        <v>11</v>
      </c>
      <c r="U12" s="1561">
        <f t="shared" si="1"/>
        <v>100</v>
      </c>
      <c r="V12" s="1560" t="s">
        <v>11</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30"/>
      <c r="Q13" s="1144">
        <f t="shared" si="6"/>
        <v>111</v>
      </c>
      <c r="R13" s="1560" t="s">
        <v>11</v>
      </c>
      <c r="S13" s="1561">
        <f t="shared" si="0"/>
        <v>100</v>
      </c>
      <c r="T13" s="1560" t="s">
        <v>11</v>
      </c>
      <c r="U13" s="1561">
        <f t="shared" si="1"/>
        <v>100</v>
      </c>
      <c r="V13" s="1560" t="s">
        <v>11</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30"/>
      <c r="Q14" s="1144">
        <f t="shared" si="6"/>
        <v>111</v>
      </c>
      <c r="R14" s="1560" t="s">
        <v>11</v>
      </c>
      <c r="S14" s="1561">
        <f t="shared" si="0"/>
        <v>100</v>
      </c>
      <c r="T14" s="1560" t="s">
        <v>11</v>
      </c>
      <c r="U14" s="1561">
        <f t="shared" si="1"/>
        <v>100</v>
      </c>
      <c r="V14" s="1560" t="s">
        <v>11</v>
      </c>
      <c r="W14" s="1561">
        <f t="shared" si="2"/>
        <v>100</v>
      </c>
      <c r="X14" s="1562"/>
      <c r="Y14" s="3676"/>
      <c r="Z14" s="1143">
        <f t="shared" si="7"/>
        <v>111</v>
      </c>
      <c r="AA14" s="1563">
        <f t="shared" si="3"/>
        <v>1</v>
      </c>
      <c r="AB14" s="1563">
        <f t="shared" si="4"/>
        <v>1</v>
      </c>
      <c r="AC14" s="1563">
        <f t="shared" si="5"/>
        <v>1</v>
      </c>
    </row>
    <row r="15" spans="1:29" ht="99.75">
      <c r="A15" s="2927" t="s">
        <v>2758</v>
      </c>
      <c r="B15" s="3542" t="s">
        <v>295</v>
      </c>
      <c r="C15" s="864" t="str">
        <f>估价对象房地状况!C3</f>
        <v>估价对象位于太湖商圈，周边办公楼项目较多（无锡金融中心等），入驻率较高，办公集聚程度较好</v>
      </c>
      <c r="D15" s="547">
        <v>100</v>
      </c>
      <c r="E15" s="3521" t="s">
        <v>3471</v>
      </c>
      <c r="F15" s="549">
        <f>SUMIF(76:76,E16,77:77)-SUMIF(76:76,C16,77:77)+100</f>
        <v>100</v>
      </c>
      <c r="G15" s="3522" t="s">
        <v>3471</v>
      </c>
      <c r="H15" s="547">
        <f>SUMIF(76:76,G16,77:77)-SUMIF(76:76,C16,77:77)+100</f>
        <v>100</v>
      </c>
      <c r="I15" s="3521" t="s">
        <v>3474</v>
      </c>
      <c r="J15" s="547">
        <f>SUMIF(76:76,I16,77:77)-SUMIF(76:76,C16,77:77)+100</f>
        <v>100</v>
      </c>
      <c r="K15" s="865">
        <v>2</v>
      </c>
      <c r="L15" s="2135"/>
      <c r="M15" s="2127"/>
      <c r="N15" s="2127"/>
      <c r="O15" s="2134"/>
      <c r="P15" s="3764" t="s">
        <v>541</v>
      </c>
      <c r="Q15" s="1564" t="str">
        <f t="shared" si="6"/>
        <v>居住社区成熟度</v>
      </c>
      <c r="R15" s="1565" t="s">
        <v>11</v>
      </c>
      <c r="S15" s="1566">
        <f t="shared" si="0"/>
        <v>100</v>
      </c>
      <c r="T15" s="1565" t="s">
        <v>11</v>
      </c>
      <c r="U15" s="1566">
        <f t="shared" si="1"/>
        <v>100</v>
      </c>
      <c r="V15" s="1565" t="s">
        <v>11</v>
      </c>
      <c r="W15" s="1566">
        <f t="shared" si="2"/>
        <v>100</v>
      </c>
      <c r="X15" s="1559"/>
      <c r="Y15" s="3764" t="s">
        <v>541</v>
      </c>
      <c r="Z15" s="1567" t="str">
        <f t="shared" si="7"/>
        <v>居住社区成熟度</v>
      </c>
      <c r="AA15" s="1568">
        <f t="shared" si="3"/>
        <v>1</v>
      </c>
      <c r="AB15" s="1568">
        <f t="shared" si="4"/>
        <v>1</v>
      </c>
      <c r="AC15" s="1568">
        <f t="shared" si="5"/>
        <v>1</v>
      </c>
    </row>
    <row r="16" spans="1:29" ht="15">
      <c r="A16" s="530"/>
      <c r="B16" s="866"/>
      <c r="C16" s="3498" t="s">
        <v>3353</v>
      </c>
      <c r="D16" s="553"/>
      <c r="E16" s="3493" t="s">
        <v>3353</v>
      </c>
      <c r="F16" s="555"/>
      <c r="G16" s="3492" t="s">
        <v>3353</v>
      </c>
      <c r="H16" s="557"/>
      <c r="I16" s="3493" t="s">
        <v>3288</v>
      </c>
      <c r="J16" s="553"/>
      <c r="K16" s="867"/>
      <c r="L16" s="2135"/>
      <c r="M16" s="2127"/>
      <c r="N16" s="2127"/>
      <c r="O16" s="2134"/>
      <c r="P16" s="3765"/>
      <c r="Q16" s="1564"/>
      <c r="R16" s="1565"/>
      <c r="S16" s="1566"/>
      <c r="T16" s="1565"/>
      <c r="U16" s="1566"/>
      <c r="V16" s="1565"/>
      <c r="W16" s="1566"/>
      <c r="X16" s="1559"/>
      <c r="Y16" s="3765"/>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3410</v>
      </c>
      <c r="F17" s="561">
        <f>SUMIF(78:78,E18,79:79)-SUMIF(78:78,C18,79:79)+100</f>
        <v>100</v>
      </c>
      <c r="G17" s="562" t="s">
        <v>3410</v>
      </c>
      <c r="H17" s="563">
        <f>SUMIF(78:78,G18,79:79)-SUMIF(78:78,C18,79:79)+100</f>
        <v>100</v>
      </c>
      <c r="I17" s="560" t="s">
        <v>3411</v>
      </c>
      <c r="J17" s="563">
        <f>SUMIF(78:78,I18,79:79)-SUMIF(78:78,C18,79:79)+100</f>
        <v>100</v>
      </c>
      <c r="K17" s="865">
        <v>2</v>
      </c>
      <c r="L17" s="2135"/>
      <c r="M17" s="2127"/>
      <c r="N17" s="2127"/>
      <c r="O17" s="2134"/>
      <c r="P17" s="3765"/>
      <c r="Q17" s="1564" t="str">
        <f>B17</f>
        <v>交通便捷度</v>
      </c>
      <c r="R17" s="1565" t="s">
        <v>11</v>
      </c>
      <c r="S17" s="1566">
        <f>F17</f>
        <v>100</v>
      </c>
      <c r="T17" s="1565" t="s">
        <v>11</v>
      </c>
      <c r="U17" s="1566">
        <f>H17</f>
        <v>100</v>
      </c>
      <c r="V17" s="1565" t="s">
        <v>11</v>
      </c>
      <c r="W17" s="1566">
        <f>J17</f>
        <v>100</v>
      </c>
      <c r="X17" s="1559"/>
      <c r="Y17" s="3765"/>
      <c r="Z17" s="1567" t="str">
        <f>Q17</f>
        <v>交通便捷度</v>
      </c>
      <c r="AA17" s="1568">
        <f t="shared" si="3"/>
        <v>1</v>
      </c>
      <c r="AB17" s="1568">
        <f t="shared" si="4"/>
        <v>1</v>
      </c>
      <c r="AC17" s="1568">
        <f t="shared" si="5"/>
        <v>1</v>
      </c>
    </row>
    <row r="18" spans="1:29" ht="15">
      <c r="A18" s="530"/>
      <c r="B18" s="592"/>
      <c r="C18" s="3505" t="s">
        <v>3353</v>
      </c>
      <c r="D18" s="557"/>
      <c r="E18" s="3506" t="s">
        <v>3353</v>
      </c>
      <c r="F18" s="561"/>
      <c r="G18" s="3507" t="s">
        <v>3353</v>
      </c>
      <c r="H18" s="553"/>
      <c r="I18" s="3506" t="s">
        <v>3353</v>
      </c>
      <c r="J18" s="553"/>
      <c r="K18" s="867"/>
      <c r="L18" s="2135"/>
      <c r="M18" s="2127"/>
      <c r="N18" s="2127"/>
      <c r="O18" s="2134"/>
      <c r="P18" s="3765"/>
      <c r="Q18" s="1564"/>
      <c r="R18" s="1565"/>
      <c r="S18" s="1566"/>
      <c r="T18" s="1565"/>
      <c r="U18" s="1566"/>
      <c r="V18" s="1565"/>
      <c r="W18" s="1566"/>
      <c r="X18" s="1559"/>
      <c r="Y18" s="3765"/>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3" t="s">
        <v>3413</v>
      </c>
      <c r="F19" s="568">
        <f>SUMIF(80:80,E20,81:81)-SUMIF(80:80,C20,81:81)+100</f>
        <v>100</v>
      </c>
      <c r="G19" s="3524" t="s">
        <v>3413</v>
      </c>
      <c r="H19" s="557">
        <f>SUMIF(80:80,G20,81:81)-SUMIF(80:80,C20,81:81)+100</f>
        <v>100</v>
      </c>
      <c r="I19" s="3523" t="s">
        <v>3412</v>
      </c>
      <c r="J19" s="557">
        <f>SUMIF(80:80,I20,81:81)-SUMIF(80:80,C20,81:81)+100</f>
        <v>100</v>
      </c>
      <c r="K19" s="865">
        <v>2</v>
      </c>
      <c r="L19" s="2135"/>
      <c r="M19" s="2127"/>
      <c r="N19" s="2127"/>
      <c r="O19" s="2134"/>
      <c r="P19" s="3765"/>
      <c r="Q19" s="1564" t="str">
        <f>B19</f>
        <v>公共配套设施</v>
      </c>
      <c r="R19" s="1565" t="s">
        <v>11</v>
      </c>
      <c r="S19" s="1566">
        <f>F19</f>
        <v>100</v>
      </c>
      <c r="T19" s="1565" t="s">
        <v>11</v>
      </c>
      <c r="U19" s="1566">
        <f>H19</f>
        <v>100</v>
      </c>
      <c r="V19" s="1565" t="s">
        <v>11</v>
      </c>
      <c r="W19" s="1566">
        <f>J19</f>
        <v>100</v>
      </c>
      <c r="X19" s="1559"/>
      <c r="Y19" s="3765"/>
      <c r="Z19" s="1567" t="str">
        <f>Q19</f>
        <v>公共配套设施</v>
      </c>
      <c r="AA19" s="1568">
        <f t="shared" si="3"/>
        <v>1</v>
      </c>
      <c r="AB19" s="1568">
        <f t="shared" si="4"/>
        <v>1</v>
      </c>
      <c r="AC19" s="1568">
        <f t="shared" si="5"/>
        <v>1</v>
      </c>
    </row>
    <row r="20" spans="1:29" ht="15">
      <c r="A20" s="530"/>
      <c r="B20" s="592"/>
      <c r="C20" s="3498" t="s">
        <v>3353</v>
      </c>
      <c r="D20" s="553"/>
      <c r="E20" s="3493" t="s">
        <v>3353</v>
      </c>
      <c r="F20" s="555"/>
      <c r="G20" s="3492" t="s">
        <v>3353</v>
      </c>
      <c r="H20" s="553"/>
      <c r="I20" s="3493" t="s">
        <v>3353</v>
      </c>
      <c r="J20" s="553"/>
      <c r="K20" s="867"/>
      <c r="L20" s="2135"/>
      <c r="M20" s="2127"/>
      <c r="N20" s="2127"/>
      <c r="O20" s="2134"/>
      <c r="P20" s="3765"/>
      <c r="Q20" s="1564"/>
      <c r="R20" s="1565"/>
      <c r="S20" s="1566"/>
      <c r="T20" s="1565"/>
      <c r="U20" s="1566"/>
      <c r="V20" s="1565"/>
      <c r="W20" s="1566"/>
      <c r="X20" s="1559"/>
      <c r="Y20" s="3765"/>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65"/>
      <c r="Q21" s="2596" t="str">
        <f>B21</f>
        <v>基础设施水平</v>
      </c>
      <c r="R21" s="1565" t="s">
        <v>11</v>
      </c>
      <c r="S21" s="1566">
        <f>F21</f>
        <v>100</v>
      </c>
      <c r="T21" s="1565" t="s">
        <v>11</v>
      </c>
      <c r="U21" s="1566">
        <f>H21</f>
        <v>100</v>
      </c>
      <c r="V21" s="1565" t="s">
        <v>11</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915"/>
      <c r="C22" s="3505" t="s">
        <v>3355</v>
      </c>
      <c r="D22" s="553"/>
      <c r="E22" s="3498" t="s">
        <v>3355</v>
      </c>
      <c r="F22" s="555"/>
      <c r="G22" s="3498" t="s">
        <v>3355</v>
      </c>
      <c r="H22" s="553"/>
      <c r="I22" s="3498" t="s">
        <v>3355</v>
      </c>
      <c r="J22" s="553"/>
      <c r="K22" s="2616"/>
      <c r="L22" s="2135"/>
      <c r="M22" s="2127"/>
      <c r="N22" s="2127"/>
      <c r="O22" s="2134"/>
      <c r="P22" s="3765"/>
      <c r="Q22" s="2596"/>
      <c r="R22" s="1565"/>
      <c r="S22" s="1566"/>
      <c r="T22" s="1565"/>
      <c r="U22" s="1566"/>
      <c r="V22" s="1565"/>
      <c r="W22" s="1566"/>
      <c r="X22" s="2598"/>
      <c r="Y22" s="3765"/>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5" t="s">
        <v>3443</v>
      </c>
      <c r="F23" s="561">
        <f>SUMIF(84:84,E24,85:85)-SUMIF(84:84,C24,85:85)+100</f>
        <v>100</v>
      </c>
      <c r="G23" s="3526" t="s">
        <v>3443</v>
      </c>
      <c r="H23" s="557">
        <f>SUMIF(84:84,G24,85:85)-SUMIF(84:84,C24,85:85)+100</f>
        <v>100</v>
      </c>
      <c r="I23" s="3525" t="s">
        <v>3453</v>
      </c>
      <c r="J23" s="557">
        <f>SUMIF(84:84,I24,85:85)-SUMIF(84:84,C24,85:85)+100</f>
        <v>100</v>
      </c>
      <c r="K23" s="865">
        <v>2</v>
      </c>
      <c r="L23" s="2135"/>
      <c r="M23" s="2127"/>
      <c r="N23" s="2127"/>
      <c r="O23" s="2134"/>
      <c r="P23" s="3765"/>
      <c r="Q23" s="1564" t="str">
        <f>B23</f>
        <v>自然及人文环境</v>
      </c>
      <c r="R23" s="1565" t="s">
        <v>11</v>
      </c>
      <c r="S23" s="1566">
        <f>F23</f>
        <v>100</v>
      </c>
      <c r="T23" s="1565" t="s">
        <v>11</v>
      </c>
      <c r="U23" s="1566">
        <f>H23</f>
        <v>100</v>
      </c>
      <c r="V23" s="1565" t="s">
        <v>11</v>
      </c>
      <c r="W23" s="1566">
        <f>J23</f>
        <v>100</v>
      </c>
      <c r="X23" s="1559"/>
      <c r="Y23" s="3765"/>
      <c r="Z23" s="1567" t="str">
        <f>Q23</f>
        <v>自然及人文环境</v>
      </c>
      <c r="AA23" s="1568">
        <f t="shared" si="3"/>
        <v>1</v>
      </c>
      <c r="AB23" s="1568">
        <f t="shared" si="4"/>
        <v>1</v>
      </c>
      <c r="AC23" s="1568">
        <f t="shared" si="5"/>
        <v>1</v>
      </c>
    </row>
    <row r="24" spans="1:29" ht="15">
      <c r="A24" s="530"/>
      <c r="B24" s="592"/>
      <c r="C24" s="3498" t="s">
        <v>3287</v>
      </c>
      <c r="D24" s="553"/>
      <c r="E24" s="3493" t="s">
        <v>3287</v>
      </c>
      <c r="F24" s="555"/>
      <c r="G24" s="3492" t="s">
        <v>3287</v>
      </c>
      <c r="H24" s="553"/>
      <c r="I24" s="3493" t="s">
        <v>3287</v>
      </c>
      <c r="J24" s="553"/>
      <c r="K24" s="867"/>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65"/>
      <c r="Q25" s="1564" t="str">
        <f t="shared" ref="Q25:Q46" si="11">B25</f>
        <v>楼层-1</v>
      </c>
      <c r="R25" s="1565" t="s">
        <v>11</v>
      </c>
      <c r="S25" s="1566">
        <f>F25</f>
        <v>100</v>
      </c>
      <c r="T25" s="1565" t="s">
        <v>11</v>
      </c>
      <c r="U25" s="1566">
        <f>H25</f>
        <v>100</v>
      </c>
      <c r="V25" s="1565" t="s">
        <v>11</v>
      </c>
      <c r="W25" s="1566">
        <f>J25</f>
        <v>100</v>
      </c>
      <c r="X25" s="1559"/>
      <c r="Y25" s="3765"/>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65"/>
      <c r="Q26" s="1564" t="str">
        <f t="shared" si="11"/>
        <v>朝向</v>
      </c>
      <c r="R26" s="1565" t="s">
        <v>11</v>
      </c>
      <c r="S26" s="1566">
        <f>F26</f>
        <v>100</v>
      </c>
      <c r="T26" s="1565" t="s">
        <v>11</v>
      </c>
      <c r="U26" s="1566">
        <f>H26</f>
        <v>100</v>
      </c>
      <c r="V26" s="1565" t="s">
        <v>11</v>
      </c>
      <c r="W26" s="1566">
        <f>J26</f>
        <v>100</v>
      </c>
      <c r="X26" s="1559"/>
      <c r="Y26" s="3765"/>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65"/>
      <c r="Q27" s="1144" t="str">
        <f t="shared" si="11"/>
        <v>道路级别</v>
      </c>
      <c r="R27" s="1560" t="s">
        <v>11</v>
      </c>
      <c r="S27" s="1561">
        <f>F27</f>
        <v>100</v>
      </c>
      <c r="T27" s="1560" t="s">
        <v>11</v>
      </c>
      <c r="U27" s="1561">
        <f>H27</f>
        <v>100</v>
      </c>
      <c r="V27" s="1560" t="s">
        <v>11</v>
      </c>
      <c r="W27" s="1561">
        <f>J27</f>
        <v>100</v>
      </c>
      <c r="X27" s="1562"/>
      <c r="Y27" s="3765"/>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65"/>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5"/>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65"/>
      <c r="Q29" s="1564">
        <f t="shared" si="11"/>
        <v>111</v>
      </c>
      <c r="R29" s="1565" t="s">
        <v>11</v>
      </c>
      <c r="S29" s="1566">
        <f t="shared" si="12"/>
        <v>100</v>
      </c>
      <c r="T29" s="1565" t="s">
        <v>11</v>
      </c>
      <c r="U29" s="1566">
        <f t="shared" si="13"/>
        <v>100</v>
      </c>
      <c r="V29" s="1565" t="s">
        <v>11</v>
      </c>
      <c r="W29" s="1566">
        <f t="shared" si="14"/>
        <v>100</v>
      </c>
      <c r="X29" s="1559"/>
      <c r="Y29" s="3765"/>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65"/>
      <c r="Q30" s="1564">
        <f t="shared" si="11"/>
        <v>111</v>
      </c>
      <c r="R30" s="1565" t="s">
        <v>11</v>
      </c>
      <c r="S30" s="1566">
        <f t="shared" si="12"/>
        <v>100</v>
      </c>
      <c r="T30" s="1565" t="s">
        <v>11</v>
      </c>
      <c r="U30" s="1566">
        <f t="shared" si="13"/>
        <v>100</v>
      </c>
      <c r="V30" s="1565" t="s">
        <v>11</v>
      </c>
      <c r="W30" s="1566">
        <f t="shared" si="14"/>
        <v>100</v>
      </c>
      <c r="X30" s="1559"/>
      <c r="Y30" s="3765"/>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65"/>
      <c r="Q31" s="1564">
        <f t="shared" si="11"/>
        <v>111</v>
      </c>
      <c r="R31" s="1565" t="s">
        <v>11</v>
      </c>
      <c r="S31" s="1566">
        <f t="shared" si="12"/>
        <v>100</v>
      </c>
      <c r="T31" s="1565" t="s">
        <v>11</v>
      </c>
      <c r="U31" s="1566">
        <f t="shared" si="13"/>
        <v>100</v>
      </c>
      <c r="V31" s="1565" t="s">
        <v>11</v>
      </c>
      <c r="W31" s="1566">
        <f t="shared" si="14"/>
        <v>100</v>
      </c>
      <c r="X31" s="1559"/>
      <c r="Y31" s="3765"/>
      <c r="Z31" s="1567">
        <f t="shared" si="15"/>
        <v>111</v>
      </c>
      <c r="AA31" s="1568">
        <f t="shared" si="3"/>
        <v>1</v>
      </c>
      <c r="AB31" s="1568">
        <f t="shared" si="4"/>
        <v>1</v>
      </c>
      <c r="AC31" s="1568">
        <f t="shared" si="5"/>
        <v>1</v>
      </c>
    </row>
    <row r="32" spans="1:29" ht="15">
      <c r="A32" s="2925" t="s">
        <v>2759</v>
      </c>
      <c r="B32" s="172" t="s">
        <v>726</v>
      </c>
      <c r="C32" s="3509" t="s">
        <v>3356</v>
      </c>
      <c r="D32" s="594">
        <v>100</v>
      </c>
      <c r="E32" s="3518" t="s">
        <v>3356</v>
      </c>
      <c r="F32" s="572">
        <f>SUMIF(100:100,E32,101:101)-SUMIF(100:100,C32,101:101)+100</f>
        <v>100</v>
      </c>
      <c r="G32" s="3509" t="s">
        <v>3356</v>
      </c>
      <c r="H32" s="594">
        <f>SUMIF(100:100,G32,101:101)-SUMIF(100:100,C32,101:101)+100</f>
        <v>100</v>
      </c>
      <c r="I32" s="3518" t="s">
        <v>3356</v>
      </c>
      <c r="J32" s="538">
        <f>SUMIF(100:100,I32,101:101)-SUMIF(100:100,C32,101:101)+100</f>
        <v>100</v>
      </c>
      <c r="K32" s="861">
        <v>2</v>
      </c>
      <c r="L32" s="2135"/>
      <c r="M32" s="2127"/>
      <c r="N32" s="2127"/>
      <c r="O32" s="2134"/>
      <c r="P32" s="3766" t="s">
        <v>551</v>
      </c>
      <c r="Q32" s="1564" t="str">
        <f t="shared" si="11"/>
        <v>建筑类型</v>
      </c>
      <c r="R32" s="1565" t="s">
        <v>11</v>
      </c>
      <c r="S32" s="1566">
        <f t="shared" si="12"/>
        <v>100</v>
      </c>
      <c r="T32" s="1565" t="s">
        <v>11</v>
      </c>
      <c r="U32" s="1566">
        <f t="shared" si="13"/>
        <v>100</v>
      </c>
      <c r="V32" s="1565" t="s">
        <v>11</v>
      </c>
      <c r="W32" s="1566">
        <f t="shared" si="14"/>
        <v>100</v>
      </c>
      <c r="X32" s="1559"/>
      <c r="Y32" s="3767"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67"/>
      <c r="Q33" s="1597" t="str">
        <f t="shared" si="11"/>
        <v>项目建筑规模</v>
      </c>
      <c r="R33" s="1569" t="s">
        <v>11</v>
      </c>
      <c r="S33" s="1570">
        <f t="shared" si="12"/>
        <v>100</v>
      </c>
      <c r="T33" s="1569" t="s">
        <v>11</v>
      </c>
      <c r="U33" s="1570">
        <f t="shared" si="13"/>
        <v>100</v>
      </c>
      <c r="V33" s="1569" t="s">
        <v>11</v>
      </c>
      <c r="W33" s="1570">
        <f t="shared" si="14"/>
        <v>100</v>
      </c>
      <c r="X33" s="1571"/>
      <c r="Y33" s="3767"/>
      <c r="Z33" s="1572" t="str">
        <f t="shared" si="15"/>
        <v>项目建筑规模</v>
      </c>
      <c r="AA33" s="1568">
        <f t="shared" si="3"/>
        <v>1</v>
      </c>
      <c r="AB33" s="1568">
        <f t="shared" si="4"/>
        <v>1</v>
      </c>
      <c r="AC33" s="1568">
        <f t="shared" si="5"/>
        <v>1</v>
      </c>
    </row>
    <row r="34" spans="1:29" ht="15">
      <c r="A34" s="591"/>
      <c r="B34" s="525" t="s">
        <v>728</v>
      </c>
      <c r="C34" s="3510" t="s">
        <v>3357</v>
      </c>
      <c r="D34" s="538">
        <v>100</v>
      </c>
      <c r="E34" s="3511" t="s">
        <v>3357</v>
      </c>
      <c r="F34" s="572">
        <f>SUMIF(105:105,E34,106:106)-SUMIF(105:105,C34,106:106)+100</f>
        <v>100</v>
      </c>
      <c r="G34" s="3510" t="s">
        <v>3357</v>
      </c>
      <c r="H34" s="538">
        <f>SUMIF(105:105,G34,106:106)-SUMIF(105:105,C34,106:106)+100</f>
        <v>100</v>
      </c>
      <c r="I34" s="3511" t="s">
        <v>3357</v>
      </c>
      <c r="J34" s="538">
        <f>SUMIF(105:105,I34,106:106)-SUMIF(105:105,C34,106:106)+100</f>
        <v>100</v>
      </c>
      <c r="K34" s="861">
        <v>2</v>
      </c>
      <c r="L34" s="2135"/>
      <c r="M34" s="2127"/>
      <c r="N34" s="2127"/>
      <c r="O34" s="2134"/>
      <c r="P34" s="3767"/>
      <c r="Q34" s="1564" t="str">
        <f t="shared" si="11"/>
        <v>建筑结构</v>
      </c>
      <c r="R34" s="1565" t="s">
        <v>11</v>
      </c>
      <c r="S34" s="1566">
        <f t="shared" si="12"/>
        <v>100</v>
      </c>
      <c r="T34" s="1565" t="s">
        <v>11</v>
      </c>
      <c r="U34" s="1566">
        <f t="shared" si="13"/>
        <v>100</v>
      </c>
      <c r="V34" s="1565" t="s">
        <v>11</v>
      </c>
      <c r="W34" s="1566">
        <f t="shared" si="14"/>
        <v>100</v>
      </c>
      <c r="X34" s="1559"/>
      <c r="Y34" s="3767"/>
      <c r="Z34" s="1567" t="str">
        <f t="shared" si="15"/>
        <v>建筑结构</v>
      </c>
      <c r="AA34" s="1568">
        <f t="shared" si="3"/>
        <v>1</v>
      </c>
      <c r="AB34" s="1568">
        <f t="shared" si="4"/>
        <v>1</v>
      </c>
      <c r="AC34" s="1568">
        <f t="shared" si="5"/>
        <v>1</v>
      </c>
    </row>
    <row r="35" spans="1:29" ht="15">
      <c r="A35" s="591"/>
      <c r="B35" s="525" t="s">
        <v>729</v>
      </c>
      <c r="C35" s="3494" t="s">
        <v>3353</v>
      </c>
      <c r="D35" s="538">
        <v>100</v>
      </c>
      <c r="E35" s="3519" t="s">
        <v>3353</v>
      </c>
      <c r="F35" s="572">
        <f>SUMIF(107:107,E35,108:108)-SUMIF(107:107,C35,108:108)+100</f>
        <v>100</v>
      </c>
      <c r="G35" s="3494" t="s">
        <v>3353</v>
      </c>
      <c r="H35" s="538">
        <f>SUMIF(107:107,G35,108:108)-SUMIF(107:107,C35,108:108)+100</f>
        <v>100</v>
      </c>
      <c r="I35" s="3519" t="s">
        <v>3353</v>
      </c>
      <c r="J35" s="538">
        <f>SUMIF(107:107,I35,108:108)-SUMIF(107:107,C35,108:108)+100</f>
        <v>100</v>
      </c>
      <c r="K35" s="861">
        <v>2</v>
      </c>
      <c r="L35" s="2135"/>
      <c r="M35" s="2127"/>
      <c r="N35" s="2127"/>
      <c r="O35" s="2134"/>
      <c r="P35" s="3767"/>
      <c r="Q35" s="1564" t="str">
        <f t="shared" si="11"/>
        <v>建筑品质</v>
      </c>
      <c r="R35" s="1565" t="s">
        <v>11</v>
      </c>
      <c r="S35" s="1566">
        <f t="shared" si="12"/>
        <v>100</v>
      </c>
      <c r="T35" s="1565" t="s">
        <v>11</v>
      </c>
      <c r="U35" s="1566">
        <f t="shared" si="13"/>
        <v>100</v>
      </c>
      <c r="V35" s="1565" t="s">
        <v>11</v>
      </c>
      <c r="W35" s="1566">
        <f t="shared" si="14"/>
        <v>100</v>
      </c>
      <c r="X35" s="1559"/>
      <c r="Y35" s="3767"/>
      <c r="Z35" s="1567" t="str">
        <f t="shared" si="15"/>
        <v>建筑品质</v>
      </c>
      <c r="AA35" s="1568">
        <f t="shared" si="3"/>
        <v>1</v>
      </c>
      <c r="AB35" s="1568">
        <f t="shared" si="4"/>
        <v>1</v>
      </c>
      <c r="AC35" s="1568">
        <f t="shared" si="5"/>
        <v>1</v>
      </c>
    </row>
    <row r="36" spans="1:29" ht="15">
      <c r="A36" s="591"/>
      <c r="B36" s="525" t="s">
        <v>730</v>
      </c>
      <c r="C36" s="3494" t="s">
        <v>3358</v>
      </c>
      <c r="D36" s="538">
        <v>100</v>
      </c>
      <c r="E36" s="3519" t="s">
        <v>3358</v>
      </c>
      <c r="F36" s="572">
        <f>SUMIF(109:109,E36,110:110)-SUMIF(109:109,C36,110:110)+100</f>
        <v>100</v>
      </c>
      <c r="G36" s="3494" t="s">
        <v>3358</v>
      </c>
      <c r="H36" s="538">
        <f>SUMIF(109:109,G36,110:110)-SUMIF(109:109,C36,110:110)+100</f>
        <v>100</v>
      </c>
      <c r="I36" s="3519" t="s">
        <v>3358</v>
      </c>
      <c r="J36" s="538">
        <f>SUMIF(109:109,I36,110:110)-SUMIF(109:109,C36,110:110)+100</f>
        <v>100</v>
      </c>
      <c r="K36" s="861">
        <v>2</v>
      </c>
      <c r="L36" s="2135"/>
      <c r="M36" s="2127"/>
      <c r="N36" s="2127"/>
      <c r="O36" s="2134"/>
      <c r="P36" s="3767"/>
      <c r="Q36" s="1564" t="str">
        <f t="shared" si="11"/>
        <v>公共部分装修</v>
      </c>
      <c r="R36" s="1565" t="s">
        <v>11</v>
      </c>
      <c r="S36" s="1566">
        <f t="shared" si="12"/>
        <v>100</v>
      </c>
      <c r="T36" s="1565" t="s">
        <v>11</v>
      </c>
      <c r="U36" s="1566">
        <f t="shared" si="13"/>
        <v>100</v>
      </c>
      <c r="V36" s="1565" t="s">
        <v>11</v>
      </c>
      <c r="W36" s="1566">
        <f t="shared" si="14"/>
        <v>100</v>
      </c>
      <c r="X36" s="1559"/>
      <c r="Y36" s="3767"/>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67"/>
      <c r="Q37" s="1144" t="str">
        <f t="shared" si="11"/>
        <v>成新度</v>
      </c>
      <c r="R37" s="1560" t="s">
        <v>11</v>
      </c>
      <c r="S37" s="1561">
        <f t="shared" si="12"/>
        <v>100</v>
      </c>
      <c r="T37" s="1560" t="s">
        <v>11</v>
      </c>
      <c r="U37" s="1561">
        <f t="shared" si="13"/>
        <v>100</v>
      </c>
      <c r="V37" s="1560" t="s">
        <v>11</v>
      </c>
      <c r="W37" s="1561">
        <f t="shared" si="14"/>
        <v>100</v>
      </c>
      <c r="X37" s="1562"/>
      <c r="Y37" s="3767"/>
      <c r="Z37" s="1143" t="str">
        <f t="shared" si="15"/>
        <v>成新度</v>
      </c>
      <c r="AA37" s="1563">
        <f t="shared" si="3"/>
        <v>1</v>
      </c>
      <c r="AB37" s="1563">
        <f t="shared" si="4"/>
        <v>1</v>
      </c>
      <c r="AC37" s="1563">
        <f t="shared" si="5"/>
        <v>1</v>
      </c>
    </row>
    <row r="38" spans="1:29" ht="15">
      <c r="A38" s="591"/>
      <c r="B38" s="525" t="s">
        <v>732</v>
      </c>
      <c r="C38" s="3494" t="s">
        <v>3359</v>
      </c>
      <c r="D38" s="538">
        <v>100</v>
      </c>
      <c r="E38" s="3519" t="s">
        <v>3359</v>
      </c>
      <c r="F38" s="572">
        <f>SUMIF(114:114,E38,115:115)-SUMIF(114:114,C38,115:115)+100</f>
        <v>100</v>
      </c>
      <c r="G38" s="3494" t="s">
        <v>3359</v>
      </c>
      <c r="H38" s="538">
        <f>SUMIF(114:114,G38,115:115)-SUMIF(114:114,C38,115:115)+100</f>
        <v>100</v>
      </c>
      <c r="I38" s="3519" t="s">
        <v>3359</v>
      </c>
      <c r="J38" s="538">
        <f>SUMIF(114:114,I38,115:115)-SUMIF(114:114,C38,115:115)+100</f>
        <v>100</v>
      </c>
      <c r="K38" s="861">
        <v>2</v>
      </c>
      <c r="L38" s="2135"/>
      <c r="M38" s="2127"/>
      <c r="N38" s="2127"/>
      <c r="O38" s="2134"/>
      <c r="P38" s="3767" t="s">
        <v>551</v>
      </c>
      <c r="Q38" s="1564" t="str">
        <f t="shared" si="11"/>
        <v>物业管理</v>
      </c>
      <c r="R38" s="1565" t="s">
        <v>11</v>
      </c>
      <c r="S38" s="1566">
        <f t="shared" si="12"/>
        <v>100</v>
      </c>
      <c r="T38" s="1565" t="s">
        <v>11</v>
      </c>
      <c r="U38" s="1566">
        <f t="shared" si="13"/>
        <v>100</v>
      </c>
      <c r="V38" s="1565" t="s">
        <v>11</v>
      </c>
      <c r="W38" s="1566">
        <f t="shared" si="14"/>
        <v>100</v>
      </c>
      <c r="X38" s="1559"/>
      <c r="Y38" s="3767" t="s">
        <v>551</v>
      </c>
      <c r="Z38" s="1567" t="str">
        <f t="shared" si="15"/>
        <v>物业管理</v>
      </c>
      <c r="AA38" s="1568">
        <f t="shared" si="3"/>
        <v>1</v>
      </c>
      <c r="AB38" s="1568">
        <f t="shared" si="4"/>
        <v>1</v>
      </c>
      <c r="AC38" s="1568">
        <f t="shared" si="5"/>
        <v>1</v>
      </c>
    </row>
    <row r="39" spans="1:29" ht="15">
      <c r="A39" s="591"/>
      <c r="B39" s="1888" t="s">
        <v>2568</v>
      </c>
      <c r="C39" s="3494" t="s">
        <v>3355</v>
      </c>
      <c r="D39" s="538">
        <v>100</v>
      </c>
      <c r="E39" s="3519" t="s">
        <v>3355</v>
      </c>
      <c r="F39" s="572">
        <f>SUMIF(116:116,E39,117:117)-SUMIF(116:116,C39,117:117)+100</f>
        <v>100</v>
      </c>
      <c r="G39" s="3494" t="s">
        <v>3355</v>
      </c>
      <c r="H39" s="538">
        <f>SUMIF(116:116,G39,117:117)-SUMIF(116:116,C39,117:117)+100</f>
        <v>100</v>
      </c>
      <c r="I39" s="3519" t="s">
        <v>3355</v>
      </c>
      <c r="J39" s="538">
        <f>SUMIF(116:116,I39,117:117)-SUMIF(116:116,C39,117:117)+100</f>
        <v>100</v>
      </c>
      <c r="K39" s="861">
        <v>2</v>
      </c>
      <c r="L39" s="2135"/>
      <c r="M39" s="2127"/>
      <c r="N39" s="2127"/>
      <c r="O39" s="2134"/>
      <c r="P39" s="3767"/>
      <c r="Q39" s="1564" t="str">
        <f t="shared" si="11"/>
        <v>市政基础设施</v>
      </c>
      <c r="R39" s="1565" t="s">
        <v>11</v>
      </c>
      <c r="S39" s="1566">
        <f t="shared" si="12"/>
        <v>100</v>
      </c>
      <c r="T39" s="1565" t="s">
        <v>11</v>
      </c>
      <c r="U39" s="1566">
        <f t="shared" si="13"/>
        <v>100</v>
      </c>
      <c r="V39" s="1565" t="s">
        <v>11</v>
      </c>
      <c r="W39" s="1566">
        <f t="shared" si="14"/>
        <v>100</v>
      </c>
      <c r="X39" s="1559"/>
      <c r="Y39" s="3767"/>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67"/>
      <c r="Q40" s="1564" t="str">
        <f t="shared" si="11"/>
        <v>房型</v>
      </c>
      <c r="R40" s="1565" t="s">
        <v>11</v>
      </c>
      <c r="S40" s="1566">
        <f t="shared" si="12"/>
        <v>100</v>
      </c>
      <c r="T40" s="1565" t="s">
        <v>11</v>
      </c>
      <c r="U40" s="1566">
        <f t="shared" si="13"/>
        <v>100</v>
      </c>
      <c r="V40" s="1565" t="s">
        <v>11</v>
      </c>
      <c r="W40" s="1566">
        <f t="shared" si="14"/>
        <v>100</v>
      </c>
      <c r="X40" s="1559"/>
      <c r="Y40" s="3767"/>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67"/>
      <c r="Q41" s="1597" t="str">
        <f t="shared" si="11"/>
        <v>单套/主力户型建筑面积</v>
      </c>
      <c r="R41" s="1569" t="s">
        <v>11</v>
      </c>
      <c r="S41" s="1570">
        <f t="shared" si="12"/>
        <v>100</v>
      </c>
      <c r="T41" s="1569" t="s">
        <v>11</v>
      </c>
      <c r="U41" s="1570">
        <f t="shared" si="13"/>
        <v>100</v>
      </c>
      <c r="V41" s="1569" t="s">
        <v>11</v>
      </c>
      <c r="W41" s="1570">
        <f t="shared" si="14"/>
        <v>100</v>
      </c>
      <c r="X41" s="1571"/>
      <c r="Y41" s="3767"/>
      <c r="Z41" s="1572" t="str">
        <f t="shared" si="15"/>
        <v>单套/主力户型建筑面积</v>
      </c>
      <c r="AA41" s="1568">
        <f t="shared" si="3"/>
        <v>1</v>
      </c>
      <c r="AB41" s="1568">
        <f t="shared" si="4"/>
        <v>1</v>
      </c>
      <c r="AC41" s="1568">
        <f t="shared" si="5"/>
        <v>1</v>
      </c>
    </row>
    <row r="42" spans="1:29" ht="15">
      <c r="A42" s="591"/>
      <c r="B42" s="525" t="s">
        <v>735</v>
      </c>
      <c r="C42" s="3547" t="s">
        <v>3473</v>
      </c>
      <c r="D42" s="538">
        <v>100</v>
      </c>
      <c r="E42" s="3519" t="s">
        <v>3358</v>
      </c>
      <c r="F42" s="572">
        <f>SUMIF(122:122,E42,123:123)-SUMIF(122:122,C42,123:123)+100</f>
        <v>100</v>
      </c>
      <c r="G42" s="3494" t="s">
        <v>3360</v>
      </c>
      <c r="H42" s="538">
        <f>SUMIF(122:122,G42,123:123)-SUMIF(122:122,C42,123:123)+100</f>
        <v>94</v>
      </c>
      <c r="I42" s="3519" t="s">
        <v>3361</v>
      </c>
      <c r="J42" s="538">
        <f>SUMIF(122:122,I42,123:123)-SUMIF(122:122,C42,123:123)+100</f>
        <v>94</v>
      </c>
      <c r="K42" s="861">
        <v>2</v>
      </c>
      <c r="L42" s="2135"/>
      <c r="M42" s="2127"/>
      <c r="N42" s="2127"/>
      <c r="O42" s="2134"/>
      <c r="P42" s="3767"/>
      <c r="Q42" s="1564" t="str">
        <f t="shared" si="11"/>
        <v>内部装修</v>
      </c>
      <c r="R42" s="1565" t="s">
        <v>11</v>
      </c>
      <c r="S42" s="1566">
        <f t="shared" si="12"/>
        <v>100</v>
      </c>
      <c r="T42" s="1565" t="s">
        <v>11</v>
      </c>
      <c r="U42" s="1566">
        <f t="shared" si="13"/>
        <v>94</v>
      </c>
      <c r="V42" s="1565" t="s">
        <v>11</v>
      </c>
      <c r="W42" s="1566">
        <f t="shared" si="14"/>
        <v>94</v>
      </c>
      <c r="X42" s="1559"/>
      <c r="Y42" s="3767"/>
      <c r="Z42" s="1567" t="str">
        <f t="shared" si="15"/>
        <v>内部装修</v>
      </c>
      <c r="AA42" s="1568">
        <f t="shared" si="3"/>
        <v>1</v>
      </c>
      <c r="AB42" s="1568">
        <f t="shared" si="4"/>
        <v>1.0638297872340425</v>
      </c>
      <c r="AC42" s="1568">
        <f t="shared" si="5"/>
        <v>1.0638297872340425</v>
      </c>
    </row>
    <row r="43" spans="1:29" ht="27">
      <c r="A43" s="591"/>
      <c r="B43" s="525" t="s">
        <v>736</v>
      </c>
      <c r="C43" s="3494" t="s">
        <v>3353</v>
      </c>
      <c r="D43" s="538">
        <v>100</v>
      </c>
      <c r="E43" s="3519" t="s">
        <v>3353</v>
      </c>
      <c r="F43" s="572">
        <f>SUMIF(124:124,E43,125:125)-SUMIF(124:124,C43,125:125)+100</f>
        <v>100</v>
      </c>
      <c r="G43" s="3494" t="s">
        <v>3353</v>
      </c>
      <c r="H43" s="538">
        <f>SUMIF(124:124,G43,125:125)-SUMIF(124:124,C43,125:125)+100</f>
        <v>100</v>
      </c>
      <c r="I43" s="3519" t="s">
        <v>3353</v>
      </c>
      <c r="J43" s="538">
        <f>SUMIF(124:124,I43,125:125)-SUMIF(124:124,C43,125:125)+100</f>
        <v>100</v>
      </c>
      <c r="K43" s="861">
        <v>2</v>
      </c>
      <c r="L43" s="2135"/>
      <c r="M43" s="2127"/>
      <c r="N43" s="2127"/>
      <c r="O43" s="2134"/>
      <c r="P43" s="3767"/>
      <c r="Q43" s="1564" t="str">
        <f t="shared" si="11"/>
        <v>内部装修维护情况</v>
      </c>
      <c r="R43" s="1565" t="s">
        <v>11</v>
      </c>
      <c r="S43" s="1566">
        <f t="shared" si="12"/>
        <v>100</v>
      </c>
      <c r="T43" s="1565" t="s">
        <v>11</v>
      </c>
      <c r="U43" s="1566">
        <f t="shared" si="13"/>
        <v>100</v>
      </c>
      <c r="V43" s="1565" t="s">
        <v>11</v>
      </c>
      <c r="W43" s="1566">
        <f t="shared" si="14"/>
        <v>100</v>
      </c>
      <c r="X43" s="1559"/>
      <c r="Y43" s="3767"/>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67"/>
      <c r="Q44" s="1144">
        <f t="shared" si="11"/>
        <v>111</v>
      </c>
      <c r="R44" s="1560" t="s">
        <v>11</v>
      </c>
      <c r="S44" s="1561">
        <f t="shared" si="12"/>
        <v>100</v>
      </c>
      <c r="T44" s="1560" t="s">
        <v>11</v>
      </c>
      <c r="U44" s="1561">
        <f t="shared" si="13"/>
        <v>100</v>
      </c>
      <c r="V44" s="1560" t="s">
        <v>11</v>
      </c>
      <c r="W44" s="1561">
        <f t="shared" si="14"/>
        <v>100</v>
      </c>
      <c r="X44" s="1562"/>
      <c r="Y44" s="3767"/>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67"/>
      <c r="Q45" s="1564">
        <f t="shared" si="11"/>
        <v>111</v>
      </c>
      <c r="R45" s="1565" t="s">
        <v>11</v>
      </c>
      <c r="S45" s="1566">
        <f t="shared" si="12"/>
        <v>100</v>
      </c>
      <c r="T45" s="1565" t="s">
        <v>11</v>
      </c>
      <c r="U45" s="1566">
        <f t="shared" si="13"/>
        <v>100</v>
      </c>
      <c r="V45" s="1565" t="s">
        <v>11</v>
      </c>
      <c r="W45" s="1566">
        <f t="shared" si="14"/>
        <v>100</v>
      </c>
      <c r="X45" s="1559"/>
      <c r="Y45" s="3767"/>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3"/>
      <c r="Q46" s="1564">
        <f t="shared" si="11"/>
        <v>1</v>
      </c>
      <c r="R46" s="1565" t="s">
        <v>10</v>
      </c>
      <c r="S46" s="1566">
        <f t="shared" si="12"/>
        <v>100</v>
      </c>
      <c r="T46" s="1565" t="s">
        <v>10</v>
      </c>
      <c r="U46" s="1566">
        <f t="shared" si="13"/>
        <v>100</v>
      </c>
      <c r="V46" s="1565" t="s">
        <v>10</v>
      </c>
      <c r="W46" s="1566">
        <f t="shared" si="14"/>
        <v>100</v>
      </c>
      <c r="X46" s="1559"/>
      <c r="Y46" s="3843"/>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30" t="str">
        <f>A47</f>
        <v>成交单价（元/平方米）</v>
      </c>
      <c r="Q47" s="3730"/>
      <c r="R47" s="3842">
        <f>E47</f>
        <v>17000</v>
      </c>
      <c r="S47" s="3842"/>
      <c r="T47" s="3842">
        <f>G47</f>
        <v>14000</v>
      </c>
      <c r="U47" s="3842"/>
      <c r="V47" s="3842">
        <f>I47</f>
        <v>13500</v>
      </c>
      <c r="W47" s="3842"/>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30" t="str">
        <f>A48</f>
        <v>比较价格（元/平方米）</v>
      </c>
      <c r="Q48" s="3730"/>
      <c r="R48" s="3842">
        <f>IF(F1="售价",ROUND(PRODUCT(R47,AA7:AA46),0),ROUND(PRODUCT(R47,AA7:AA46),1))</f>
        <v>17000</v>
      </c>
      <c r="S48" s="3842"/>
      <c r="T48" s="3842">
        <f>IF(F1="售价",ROUND(PRODUCT(T47,AB7:AB46),0),ROUND(PRODUCT(T47,AB7:AB46),1))</f>
        <v>14894</v>
      </c>
      <c r="U48" s="3842"/>
      <c r="V48" s="3842">
        <f>IF(F1="售价",ROUND(PRODUCT(V47,AC7:AC46),0),ROUND(PRODUCT(V47,AC7:AC46),1))</f>
        <v>14362</v>
      </c>
      <c r="W48" s="3842"/>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27" t="str">
        <f>A49</f>
        <v>估价对象XX用房的比较价格（楼面单价，元/平方米）</v>
      </c>
      <c r="Q49" s="3728"/>
      <c r="R49" s="3841">
        <f>IF(F1="售价",ROUND(AVERAGE(R48:V48),0),ROUND(AVERAGE(R48:V48),1))</f>
        <v>15419</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1" t="s">
        <v>3358</v>
      </c>
      <c r="D122" s="3481" t="s">
        <v>3362</v>
      </c>
      <c r="E122" s="3481" t="s">
        <v>3363</v>
      </c>
      <c r="F122" s="3520" t="s">
        <v>3360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0" zoomScaleNormal="70" workbookViewId="0">
      <selection activeCell="G52" sqref="G5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3340</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272324</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15094</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36" t="s">
        <v>523</v>
      </c>
      <c r="D4" s="3737"/>
      <c r="E4" s="3771" t="s">
        <v>524</v>
      </c>
      <c r="F4" s="3772"/>
      <c r="G4" s="3736" t="s">
        <v>525</v>
      </c>
      <c r="H4" s="3737"/>
      <c r="I4" s="3736" t="s">
        <v>526</v>
      </c>
      <c r="J4" s="3737"/>
      <c r="K4" s="512" t="s">
        <v>527</v>
      </c>
      <c r="L4" s="2126"/>
      <c r="M4" s="2127"/>
      <c r="N4" s="2127"/>
      <c r="O4" s="2127"/>
      <c r="P4" s="3847" t="s">
        <v>528</v>
      </c>
      <c r="Q4" s="3739"/>
      <c r="R4" s="3744" t="s">
        <v>524</v>
      </c>
      <c r="S4" s="3745"/>
      <c r="T4" s="3744" t="s">
        <v>525</v>
      </c>
      <c r="U4" s="3745"/>
      <c r="V4" s="3731" t="s">
        <v>526</v>
      </c>
      <c r="W4" s="3731"/>
      <c r="X4" s="1559"/>
      <c r="Y4" s="3744" t="s">
        <v>528</v>
      </c>
      <c r="Z4" s="3745"/>
      <c r="AA4" s="3733" t="s">
        <v>524</v>
      </c>
      <c r="AB4" s="3733" t="s">
        <v>525</v>
      </c>
      <c r="AC4" s="3733" t="s">
        <v>526</v>
      </c>
    </row>
    <row r="5" spans="1:29" ht="15">
      <c r="A5" s="513"/>
      <c r="B5" s="514"/>
      <c r="C5" s="3844" t="s">
        <v>3326</v>
      </c>
      <c r="D5" s="3753"/>
      <c r="E5" s="3845" t="s">
        <v>3327</v>
      </c>
      <c r="F5" s="3774"/>
      <c r="G5" s="3844" t="s">
        <v>3328</v>
      </c>
      <c r="H5" s="3753"/>
      <c r="I5" s="3844" t="s">
        <v>3364</v>
      </c>
      <c r="J5" s="3753"/>
      <c r="K5" s="512"/>
      <c r="L5" s="2126"/>
      <c r="M5" s="2127"/>
      <c r="N5" s="2127"/>
      <c r="O5" s="2127"/>
      <c r="P5" s="3848"/>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849"/>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63" t="s">
        <v>531</v>
      </c>
      <c r="Q7" s="3763"/>
      <c r="R7" s="1560" t="s">
        <v>8</v>
      </c>
      <c r="S7" s="1561">
        <f t="shared" ref="S7:S15" si="0">F7</f>
        <v>100</v>
      </c>
      <c r="T7" s="1560" t="s">
        <v>8</v>
      </c>
      <c r="U7" s="1561">
        <f t="shared" ref="U7:U15" si="1">H7</f>
        <v>100</v>
      </c>
      <c r="V7" s="1560" t="s">
        <v>8</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01" t="s">
        <v>3365</v>
      </c>
      <c r="F8" s="520">
        <f>SUMIF(62:62,E8,63:63)-SUMIF(62:62,C8,63:63)+100</f>
        <v>100</v>
      </c>
      <c r="G8" s="3501" t="s">
        <v>3365</v>
      </c>
      <c r="H8" s="518">
        <f>SUMIF(62:62,G8,63:63)-SUMIF(62:62,C8,63:63)+100</f>
        <v>100</v>
      </c>
      <c r="I8" s="3501" t="s">
        <v>3365</v>
      </c>
      <c r="J8" s="518">
        <f>SUMIF(62:62,I8,63:63)-SUMIF(62:62,C8,63:63)+100</f>
        <v>100</v>
      </c>
      <c r="K8" s="522"/>
      <c r="L8" s="2128"/>
      <c r="M8" s="2129"/>
      <c r="N8" s="2129"/>
      <c r="O8" s="2129"/>
      <c r="P8" s="3763" t="s">
        <v>534</v>
      </c>
      <c r="Q8" s="3762"/>
      <c r="R8" s="1560" t="s">
        <v>8</v>
      </c>
      <c r="S8" s="1561">
        <f t="shared" si="0"/>
        <v>100</v>
      </c>
      <c r="T8" s="1560" t="s">
        <v>8</v>
      </c>
      <c r="U8" s="1561">
        <f t="shared" si="1"/>
        <v>100</v>
      </c>
      <c r="V8" s="1560" t="s">
        <v>8</v>
      </c>
      <c r="W8" s="1561">
        <f t="shared" si="2"/>
        <v>100</v>
      </c>
      <c r="X8" s="1562"/>
      <c r="Y8" s="3761" t="s">
        <v>534</v>
      </c>
      <c r="Z8" s="3762"/>
      <c r="AA8" s="1563">
        <f t="shared" ref="AA8:AA47" si="3">D8/F8</f>
        <v>1</v>
      </c>
      <c r="AB8" s="1563">
        <f t="shared" ref="AB8:AB47" si="4">D8/H8</f>
        <v>1</v>
      </c>
      <c r="AC8" s="1563">
        <f t="shared" ref="AC8:AC47" si="5">D8/J8</f>
        <v>1</v>
      </c>
    </row>
    <row r="9" spans="1:29" s="1213" customFormat="1" ht="15">
      <c r="A9" s="2931"/>
      <c r="B9" s="2938" t="s">
        <v>2760</v>
      </c>
      <c r="C9" s="3502" t="s">
        <v>3366</v>
      </c>
      <c r="D9" s="252">
        <v>100</v>
      </c>
      <c r="E9" s="3503" t="s">
        <v>3366</v>
      </c>
      <c r="F9" s="252">
        <f>SUMIF(64:64,E9,65:65)-SUMIF(64:64,C9,65:65)+100</f>
        <v>100</v>
      </c>
      <c r="G9" s="3504" t="s">
        <v>3366</v>
      </c>
      <c r="H9" s="252">
        <f>SUMIF(64:64,G9,65:65)-SUMIF(64:64,C9,65:65)+100</f>
        <v>100</v>
      </c>
      <c r="I9" s="3504" t="s">
        <v>3366</v>
      </c>
      <c r="J9" s="252">
        <f>SUMIF(64:64,I9,65:65)-SUMIF(64:64,C9,65:65)+100</f>
        <v>100</v>
      </c>
      <c r="K9" s="522"/>
      <c r="L9" s="2128"/>
      <c r="M9" s="2129"/>
      <c r="N9" s="2129"/>
      <c r="O9" s="2129"/>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3331</v>
      </c>
      <c r="D10" s="253">
        <v>100</v>
      </c>
      <c r="E10" s="3549" t="s">
        <v>3331</v>
      </c>
      <c r="F10" s="253">
        <f>SUMIF(66:66,E10,67:67)-SUMIF(66:66,C10,67:67)+100</f>
        <v>100</v>
      </c>
      <c r="G10" s="859" t="s">
        <v>3331</v>
      </c>
      <c r="H10" s="253">
        <f>SUMIF(66:66,G10,67:67)-SUMIF(66:66,C10,67:67)+100</f>
        <v>100</v>
      </c>
      <c r="I10" s="858" t="s">
        <v>3331</v>
      </c>
      <c r="J10" s="253">
        <f>SUMIF(66:66,I10,67:67)-SUMIF(66:66,C10,67:67)+100</f>
        <v>100</v>
      </c>
      <c r="K10" s="581">
        <v>2</v>
      </c>
      <c r="L10" s="2131"/>
      <c r="M10" s="2171"/>
      <c r="N10" s="2171"/>
      <c r="O10" s="2171"/>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30"/>
      <c r="Q11" s="1144" t="str">
        <f t="shared" si="6"/>
        <v>容积率</v>
      </c>
      <c r="R11" s="1560" t="s">
        <v>8</v>
      </c>
      <c r="S11" s="1561">
        <f t="shared" si="0"/>
        <v>100</v>
      </c>
      <c r="T11" s="1560" t="s">
        <v>8</v>
      </c>
      <c r="U11" s="1561">
        <f t="shared" si="1"/>
        <v>100</v>
      </c>
      <c r="V11" s="1560" t="s">
        <v>8</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2" t="s">
        <v>3414</v>
      </c>
      <c r="F15" s="547">
        <f>SUMIF(77:77,E16,78:78)-SUMIF(77:77,C16,78:78)+100</f>
        <v>100</v>
      </c>
      <c r="G15" s="3521" t="s">
        <v>3414</v>
      </c>
      <c r="H15" s="547">
        <f>SUMIF(77:77,G16,78:78)-SUMIF(77:77,C16,78:78)+100</f>
        <v>100</v>
      </c>
      <c r="I15" s="3521" t="s">
        <v>3415</v>
      </c>
      <c r="J15" s="547">
        <f>SUMIF(77:77,I16,78:78)-SUMIF(77:77,C16,78:78)+100</f>
        <v>100</v>
      </c>
      <c r="K15" s="891"/>
      <c r="L15" s="2135"/>
      <c r="M15" s="2127"/>
      <c r="N15" s="2127"/>
      <c r="O15" s="2127"/>
      <c r="P15" s="3764" t="s">
        <v>541</v>
      </c>
      <c r="Q15" s="1564" t="str">
        <f t="shared" si="6"/>
        <v>办公集聚程度</v>
      </c>
      <c r="R15" s="1565" t="s">
        <v>8</v>
      </c>
      <c r="S15" s="1566">
        <f t="shared" si="0"/>
        <v>100</v>
      </c>
      <c r="T15" s="1565" t="s">
        <v>8</v>
      </c>
      <c r="U15" s="1566">
        <f t="shared" si="1"/>
        <v>100</v>
      </c>
      <c r="V15" s="1565" t="s">
        <v>8</v>
      </c>
      <c r="W15" s="1566">
        <f t="shared" si="2"/>
        <v>100</v>
      </c>
      <c r="X15" s="1559"/>
      <c r="Y15" s="3764" t="s">
        <v>541</v>
      </c>
      <c r="Z15" s="1567" t="str">
        <f t="shared" si="7"/>
        <v>办公集聚程度</v>
      </c>
      <c r="AA15" s="1568">
        <f t="shared" si="3"/>
        <v>1</v>
      </c>
      <c r="AB15" s="1568">
        <f t="shared" si="4"/>
        <v>1</v>
      </c>
      <c r="AC15" s="1568">
        <f t="shared" si="5"/>
        <v>1</v>
      </c>
    </row>
    <row r="16" spans="1:29" ht="15">
      <c r="A16" s="530"/>
      <c r="B16" s="551"/>
      <c r="C16" s="3491" t="s">
        <v>3367</v>
      </c>
      <c r="D16" s="553"/>
      <c r="E16" s="3498" t="s">
        <v>3367</v>
      </c>
      <c r="F16" s="553"/>
      <c r="G16" s="3491" t="s">
        <v>3367</v>
      </c>
      <c r="H16" s="557"/>
      <c r="I16" s="3498" t="s">
        <v>3367</v>
      </c>
      <c r="J16" s="553"/>
      <c r="K16" s="892"/>
      <c r="L16" s="2135"/>
      <c r="M16" s="2127"/>
      <c r="N16" s="2127"/>
      <c r="O16" s="2127"/>
      <c r="P16" s="3765"/>
      <c r="Q16" s="1564"/>
      <c r="R16" s="1565"/>
      <c r="S16" s="1566"/>
      <c r="T16" s="1565"/>
      <c r="U16" s="1566"/>
      <c r="V16" s="1565"/>
      <c r="W16" s="1566"/>
      <c r="X16" s="1559"/>
      <c r="Y16" s="3765"/>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3417</v>
      </c>
      <c r="F17" s="557">
        <f>SUMIF(79:79,E18,80:80)-SUMIF(79:79,C18,80:80)+100</f>
        <v>100</v>
      </c>
      <c r="G17" s="560" t="s">
        <v>3417</v>
      </c>
      <c r="H17" s="563">
        <f>SUMIF(79:79,G18,80:80)-SUMIF(79:79,C18,80:80)+100</f>
        <v>100</v>
      </c>
      <c r="I17" s="560" t="s">
        <v>3416</v>
      </c>
      <c r="J17" s="563">
        <f>SUMIF(79:79,I18,80:80)-SUMIF(79:79,C18,80:80)+100</f>
        <v>100</v>
      </c>
      <c r="K17" s="891"/>
      <c r="L17" s="2135"/>
      <c r="M17" s="2127"/>
      <c r="N17" s="2127"/>
      <c r="O17" s="2127"/>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64"/>
      <c r="C18" s="3499" t="s">
        <v>3367</v>
      </c>
      <c r="D18" s="557"/>
      <c r="E18" s="3507" t="s">
        <v>3367</v>
      </c>
      <c r="F18" s="557"/>
      <c r="G18" s="3506" t="s">
        <v>3367</v>
      </c>
      <c r="H18" s="553"/>
      <c r="I18" s="3506" t="s">
        <v>3367</v>
      </c>
      <c r="J18" s="553"/>
      <c r="K18" s="892"/>
      <c r="L18" s="2135"/>
      <c r="M18" s="2127"/>
      <c r="N18" s="2127"/>
      <c r="O18" s="2127"/>
      <c r="P18" s="3765"/>
      <c r="Q18" s="1564"/>
      <c r="R18" s="1565"/>
      <c r="S18" s="1566"/>
      <c r="T18" s="1565"/>
      <c r="U18" s="1566"/>
      <c r="V18" s="1565"/>
      <c r="W18" s="1566"/>
      <c r="X18" s="1559"/>
      <c r="Y18" s="3765"/>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4" t="s">
        <v>3418</v>
      </c>
      <c r="F19" s="563">
        <f>SUMIF(81:81,E20,82:82)-SUMIF(81:81,C20,82:82)+100</f>
        <v>100</v>
      </c>
      <c r="G19" s="3523" t="s">
        <v>3418</v>
      </c>
      <c r="H19" s="557">
        <f>SUMIF(81:81,G20,82:82)-SUMIF(81:81,C20,82:82)+100</f>
        <v>100</v>
      </c>
      <c r="I19" s="3523" t="s">
        <v>3451</v>
      </c>
      <c r="J19" s="557">
        <f>SUMIF(81:81,I20,82:82)-SUMIF(81:81,C20,82:82)+100</f>
        <v>100</v>
      </c>
      <c r="K19" s="891"/>
      <c r="L19" s="2135"/>
      <c r="M19" s="2127"/>
      <c r="N19" s="2127"/>
      <c r="O19" s="2127"/>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64"/>
      <c r="C20" s="3491" t="s">
        <v>3367</v>
      </c>
      <c r="D20" s="553"/>
      <c r="E20" s="3492" t="s">
        <v>3367</v>
      </c>
      <c r="F20" s="553"/>
      <c r="G20" s="3493" t="s">
        <v>3367</v>
      </c>
      <c r="H20" s="553"/>
      <c r="I20" s="3493" t="s">
        <v>3367</v>
      </c>
      <c r="J20" s="553"/>
      <c r="K20" s="892"/>
      <c r="L20" s="2135"/>
      <c r="M20" s="2127"/>
      <c r="N20" s="2127"/>
      <c r="O20" s="2127"/>
      <c r="P20" s="3765"/>
      <c r="Q20" s="1564"/>
      <c r="R20" s="1565"/>
      <c r="S20" s="1566"/>
      <c r="T20" s="1565"/>
      <c r="U20" s="1566"/>
      <c r="V20" s="1565"/>
      <c r="W20" s="1566"/>
      <c r="X20" s="1559"/>
      <c r="Y20" s="3765"/>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575"/>
      <c r="C22" s="3499" t="s">
        <v>3368</v>
      </c>
      <c r="D22" s="553"/>
      <c r="E22" s="3498" t="s">
        <v>3368</v>
      </c>
      <c r="F22" s="553"/>
      <c r="G22" s="3491" t="s">
        <v>3369</v>
      </c>
      <c r="H22" s="553"/>
      <c r="I22" s="3491" t="s">
        <v>3368</v>
      </c>
      <c r="J22" s="553"/>
      <c r="K22" s="2619"/>
      <c r="L22" s="2135"/>
      <c r="M22" s="2127"/>
      <c r="N22" s="2127"/>
      <c r="O22" s="2127"/>
      <c r="P22" s="3765"/>
      <c r="Q22" s="2596"/>
      <c r="R22" s="1565"/>
      <c r="S22" s="1566"/>
      <c r="T22" s="1565"/>
      <c r="U22" s="1566"/>
      <c r="V22" s="1565"/>
      <c r="W22" s="1566"/>
      <c r="X22" s="2598"/>
      <c r="Y22" s="3765"/>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6" t="s">
        <v>3445</v>
      </c>
      <c r="F23" s="557">
        <f>SUMIF(85:85,E24,86:86)-SUMIF(85:85,C24,86:86)+100</f>
        <v>100</v>
      </c>
      <c r="G23" s="3525" t="s">
        <v>3445</v>
      </c>
      <c r="H23" s="557">
        <f>SUMIF(85:85,G24,86:86)-SUMIF(85:85,C24,86:86)+100</f>
        <v>100</v>
      </c>
      <c r="I23" s="3525" t="s">
        <v>3446</v>
      </c>
      <c r="J23" s="557">
        <f>SUMIF(85:85,I24,86:86)-SUMIF(85:85,C24,86:86)+100</f>
        <v>100</v>
      </c>
      <c r="K23" s="891"/>
      <c r="L23" s="2135"/>
      <c r="M23" s="2127"/>
      <c r="N23" s="2127"/>
      <c r="O23" s="2127"/>
      <c r="P23" s="3765"/>
      <c r="Q23" s="1564" t="str">
        <f>B23</f>
        <v>环境质量</v>
      </c>
      <c r="R23" s="1565" t="s">
        <v>8</v>
      </c>
      <c r="S23" s="1566">
        <f>F23</f>
        <v>100</v>
      </c>
      <c r="T23" s="1565" t="s">
        <v>8</v>
      </c>
      <c r="U23" s="1566">
        <f>H23</f>
        <v>100</v>
      </c>
      <c r="V23" s="1565" t="s">
        <v>8</v>
      </c>
      <c r="W23" s="1566">
        <f>J23</f>
        <v>100</v>
      </c>
      <c r="X23" s="1559"/>
      <c r="Y23" s="3765"/>
      <c r="Z23" s="1567" t="str">
        <f>Q23</f>
        <v>环境质量</v>
      </c>
      <c r="AA23" s="1568">
        <f t="shared" si="3"/>
        <v>1</v>
      </c>
      <c r="AB23" s="1568">
        <f t="shared" si="4"/>
        <v>1</v>
      </c>
      <c r="AC23" s="1568">
        <f t="shared" si="5"/>
        <v>1</v>
      </c>
    </row>
    <row r="24" spans="1:29" ht="15">
      <c r="A24" s="530"/>
      <c r="B24" s="575"/>
      <c r="C24" s="3491" t="s">
        <v>3444</v>
      </c>
      <c r="D24" s="553"/>
      <c r="E24" s="3492" t="s">
        <v>3444</v>
      </c>
      <c r="F24" s="553"/>
      <c r="G24" s="3493" t="s">
        <v>3444</v>
      </c>
      <c r="H24" s="553"/>
      <c r="I24" s="3493" t="s">
        <v>3444</v>
      </c>
      <c r="J24" s="553"/>
      <c r="K24" s="892"/>
      <c r="L24" s="2135"/>
      <c r="M24" s="2127"/>
      <c r="N24" s="2127"/>
      <c r="O24" s="2127"/>
      <c r="P24" s="3765"/>
      <c r="Q24" s="1564"/>
      <c r="R24" s="1565"/>
      <c r="S24" s="1566"/>
      <c r="T24" s="1565"/>
      <c r="U24" s="1566"/>
      <c r="V24" s="1565"/>
      <c r="W24" s="1566"/>
      <c r="X24" s="1559"/>
      <c r="Y24" s="3765"/>
      <c r="Z24" s="1567"/>
      <c r="AA24" s="1568">
        <v>1</v>
      </c>
      <c r="AB24" s="1568">
        <v>1</v>
      </c>
      <c r="AC24" s="1568">
        <v>1</v>
      </c>
    </row>
    <row r="25" spans="1:29" ht="27.75">
      <c r="A25" s="513"/>
      <c r="B25" s="558" t="s">
        <v>549</v>
      </c>
      <c r="C25" s="905" t="s">
        <v>3381</v>
      </c>
      <c r="D25" s="538">
        <v>100</v>
      </c>
      <c r="E25" s="537" t="s">
        <v>3381</v>
      </c>
      <c r="F25" s="538">
        <f>SUMIF(87:87,E26,88:88)-SUMIF(87:87,C26,88:88)+100</f>
        <v>100</v>
      </c>
      <c r="G25" s="905" t="s">
        <v>3381</v>
      </c>
      <c r="H25" s="538">
        <f>SUMIF(87:87,G26,88:88)-SUMIF(87:87,C26,88:88)+100</f>
        <v>100</v>
      </c>
      <c r="I25" s="3540" t="s">
        <v>3452</v>
      </c>
      <c r="J25" s="538">
        <f>SUMIF(87:87,I26,88:88)-SUMIF(87:87,C26,88:88)+100</f>
        <v>102</v>
      </c>
      <c r="K25" s="891">
        <v>2</v>
      </c>
      <c r="L25" s="2135"/>
      <c r="M25" s="2127"/>
      <c r="N25" s="2127"/>
      <c r="O25" s="2127"/>
      <c r="P25" s="3765"/>
      <c r="Q25" s="1564" t="str">
        <f>B25</f>
        <v>毗邻道路的类型与等级</v>
      </c>
      <c r="R25" s="1565" t="s">
        <v>8</v>
      </c>
      <c r="S25" s="1566">
        <f>F25</f>
        <v>100</v>
      </c>
      <c r="T25" s="1565" t="s">
        <v>8</v>
      </c>
      <c r="U25" s="1566">
        <f>H25</f>
        <v>100</v>
      </c>
      <c r="V25" s="1565" t="s">
        <v>8</v>
      </c>
      <c r="W25" s="1566">
        <f>J25</f>
        <v>102</v>
      </c>
      <c r="X25" s="1559"/>
      <c r="Y25" s="3765"/>
      <c r="Z25" s="1567" t="str">
        <f>Q25</f>
        <v>毗邻道路的类型与等级</v>
      </c>
      <c r="AA25" s="1568">
        <f t="shared" si="3"/>
        <v>1</v>
      </c>
      <c r="AB25" s="1568">
        <f t="shared" si="4"/>
        <v>1</v>
      </c>
      <c r="AC25" s="1568">
        <f t="shared" si="5"/>
        <v>0.98039215686274506</v>
      </c>
    </row>
    <row r="26" spans="1:29" ht="15">
      <c r="A26" s="513"/>
      <c r="B26" s="564"/>
      <c r="C26" s="3527" t="s">
        <v>3378</v>
      </c>
      <c r="D26" s="538"/>
      <c r="E26" s="3508" t="s">
        <v>3378</v>
      </c>
      <c r="F26" s="538"/>
      <c r="G26" s="3527" t="s">
        <v>3378</v>
      </c>
      <c r="H26" s="538"/>
      <c r="I26" s="580" t="s">
        <v>3376</v>
      </c>
      <c r="J26" s="538"/>
      <c r="K26" s="892"/>
      <c r="L26" s="2135"/>
      <c r="M26" s="2127"/>
      <c r="N26" s="2127"/>
      <c r="O26" s="2127"/>
      <c r="P26" s="3765"/>
      <c r="Q26" s="1564"/>
      <c r="R26" s="1565"/>
      <c r="S26" s="1566"/>
      <c r="T26" s="1565"/>
      <c r="U26" s="1566"/>
      <c r="V26" s="1565"/>
      <c r="W26" s="1566"/>
      <c r="X26" s="1559"/>
      <c r="Y26" s="3765"/>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65"/>
      <c r="Q27" s="1564" t="str">
        <f t="shared" ref="Q27:Q47" si="11">B27</f>
        <v>楼层</v>
      </c>
      <c r="R27" s="1565" t="s">
        <v>8</v>
      </c>
      <c r="S27" s="1566">
        <f>F27</f>
        <v>100</v>
      </c>
      <c r="T27" s="1565" t="s">
        <v>8</v>
      </c>
      <c r="U27" s="1566">
        <f>H27</f>
        <v>100</v>
      </c>
      <c r="V27" s="1565" t="s">
        <v>8</v>
      </c>
      <c r="W27" s="1566">
        <f>J27</f>
        <v>100</v>
      </c>
      <c r="X27" s="1559"/>
      <c r="Y27" s="3765"/>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65"/>
      <c r="Q28" s="1144" t="str">
        <f t="shared" si="11"/>
        <v>朝向</v>
      </c>
      <c r="R28" s="1560" t="s">
        <v>8</v>
      </c>
      <c r="S28" s="1561">
        <f>F28</f>
        <v>100</v>
      </c>
      <c r="T28" s="1560" t="s">
        <v>8</v>
      </c>
      <c r="U28" s="1561">
        <f>H28</f>
        <v>100</v>
      </c>
      <c r="V28" s="1560" t="s">
        <v>8</v>
      </c>
      <c r="W28" s="1561">
        <f>J28</f>
        <v>100</v>
      </c>
      <c r="X28" s="1562"/>
      <c r="Y28" s="3765"/>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65"/>
      <c r="Q29" s="1564">
        <f t="shared" si="11"/>
        <v>111</v>
      </c>
      <c r="R29" s="1565" t="s">
        <v>8</v>
      </c>
      <c r="S29" s="1566">
        <f t="shared" ref="S29:S47" si="12">F29</f>
        <v>100</v>
      </c>
      <c r="T29" s="1565" t="s">
        <v>8</v>
      </c>
      <c r="U29" s="1566">
        <f t="shared" ref="U29:U47" si="13">H29</f>
        <v>100</v>
      </c>
      <c r="V29" s="1565" t="s">
        <v>8</v>
      </c>
      <c r="W29" s="1566">
        <f t="shared" ref="W29:W47" si="14">J29</f>
        <v>100</v>
      </c>
      <c r="X29" s="1559"/>
      <c r="Y29" s="3765"/>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65"/>
      <c r="Q30" s="1564">
        <f t="shared" si="11"/>
        <v>111</v>
      </c>
      <c r="R30" s="1565" t="s">
        <v>8</v>
      </c>
      <c r="S30" s="1566">
        <f t="shared" si="12"/>
        <v>100</v>
      </c>
      <c r="T30" s="1565" t="s">
        <v>8</v>
      </c>
      <c r="U30" s="1566">
        <f t="shared" si="13"/>
        <v>100</v>
      </c>
      <c r="V30" s="1565" t="s">
        <v>8</v>
      </c>
      <c r="W30" s="1566">
        <f t="shared" si="14"/>
        <v>100</v>
      </c>
      <c r="X30" s="1559"/>
      <c r="Y30" s="3765"/>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65"/>
      <c r="Q31" s="1564">
        <f t="shared" si="11"/>
        <v>111</v>
      </c>
      <c r="R31" s="1565" t="s">
        <v>8</v>
      </c>
      <c r="S31" s="1566">
        <f t="shared" si="12"/>
        <v>100</v>
      </c>
      <c r="T31" s="1565" t="s">
        <v>8</v>
      </c>
      <c r="U31" s="1566">
        <f t="shared" si="13"/>
        <v>100</v>
      </c>
      <c r="V31" s="1565" t="s">
        <v>8</v>
      </c>
      <c r="W31" s="1566">
        <f t="shared" si="14"/>
        <v>100</v>
      </c>
      <c r="X31" s="1559"/>
      <c r="Y31" s="3765"/>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65"/>
      <c r="Q32" s="1564">
        <f t="shared" si="11"/>
        <v>111</v>
      </c>
      <c r="R32" s="1565" t="s">
        <v>8</v>
      </c>
      <c r="S32" s="1566">
        <f t="shared" si="12"/>
        <v>100</v>
      </c>
      <c r="T32" s="1565" t="s">
        <v>8</v>
      </c>
      <c r="U32" s="1566">
        <f t="shared" si="13"/>
        <v>100</v>
      </c>
      <c r="V32" s="1565" t="s">
        <v>8</v>
      </c>
      <c r="W32" s="1566">
        <f t="shared" si="14"/>
        <v>100</v>
      </c>
      <c r="X32" s="1559"/>
      <c r="Y32" s="3765"/>
      <c r="Z32" s="1567">
        <f t="shared" si="15"/>
        <v>111</v>
      </c>
      <c r="AA32" s="1568">
        <f t="shared" si="3"/>
        <v>1</v>
      </c>
      <c r="AB32" s="1568">
        <f t="shared" si="4"/>
        <v>1</v>
      </c>
      <c r="AC32" s="1568">
        <f t="shared" si="5"/>
        <v>1</v>
      </c>
    </row>
    <row r="33" spans="1:29" ht="15">
      <c r="A33" s="2925" t="s">
        <v>2759</v>
      </c>
      <c r="B33" s="172" t="s">
        <v>781</v>
      </c>
      <c r="C33" s="3528" t="s">
        <v>3370</v>
      </c>
      <c r="D33" s="594">
        <v>100</v>
      </c>
      <c r="E33" s="3528" t="s">
        <v>3370</v>
      </c>
      <c r="F33" s="572">
        <f>SUMIF(101:101,E33,102:102)-SUMIF(101:101,C33,102:102)+100</f>
        <v>100</v>
      </c>
      <c r="G33" s="3528" t="s">
        <v>3371</v>
      </c>
      <c r="H33" s="538">
        <f>SUMIF(101:101,G33,102:102)-SUMIF(101:101,C33,102:102)+100</f>
        <v>100</v>
      </c>
      <c r="I33" s="3528" t="s">
        <v>3370</v>
      </c>
      <c r="J33" s="594">
        <f>SUMIF(101:101,I33,102:102)-SUMIF(101:101,C33,102:102)+100</f>
        <v>100</v>
      </c>
      <c r="K33" s="581"/>
      <c r="L33" s="2135"/>
      <c r="M33" s="2127"/>
      <c r="N33" s="2127"/>
      <c r="O33" s="2127"/>
      <c r="P33" s="3766" t="s">
        <v>551</v>
      </c>
      <c r="Q33" s="1564" t="str">
        <f t="shared" si="11"/>
        <v>建筑类型</v>
      </c>
      <c r="R33" s="1565" t="s">
        <v>8</v>
      </c>
      <c r="S33" s="1566">
        <f t="shared" si="12"/>
        <v>100</v>
      </c>
      <c r="T33" s="1565" t="s">
        <v>8</v>
      </c>
      <c r="U33" s="1566">
        <f t="shared" si="13"/>
        <v>100</v>
      </c>
      <c r="V33" s="1565" t="s">
        <v>8</v>
      </c>
      <c r="W33" s="1566">
        <f t="shared" si="14"/>
        <v>100</v>
      </c>
      <c r="X33" s="1559"/>
      <c r="Y33" s="3767"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67"/>
      <c r="Q34" s="1597" t="str">
        <f t="shared" si="11"/>
        <v>项目建筑规模</v>
      </c>
      <c r="R34" s="1569" t="s">
        <v>8</v>
      </c>
      <c r="S34" s="1570">
        <f t="shared" si="12"/>
        <v>100</v>
      </c>
      <c r="T34" s="1569" t="s">
        <v>8</v>
      </c>
      <c r="U34" s="1570">
        <f t="shared" si="13"/>
        <v>100</v>
      </c>
      <c r="V34" s="1569" t="s">
        <v>8</v>
      </c>
      <c r="W34" s="1570">
        <f t="shared" si="14"/>
        <v>100</v>
      </c>
      <c r="X34" s="1571"/>
      <c r="Y34" s="3767"/>
      <c r="Z34" s="1572" t="str">
        <f t="shared" si="15"/>
        <v>项目建筑规模</v>
      </c>
      <c r="AA34" s="1568">
        <f t="shared" si="3"/>
        <v>1</v>
      </c>
      <c r="AB34" s="1568">
        <f t="shared" si="4"/>
        <v>1</v>
      </c>
      <c r="AC34" s="1568">
        <f t="shared" si="5"/>
        <v>1</v>
      </c>
    </row>
    <row r="35" spans="1:29" ht="15">
      <c r="A35" s="591"/>
      <c r="B35" s="525" t="s">
        <v>728</v>
      </c>
      <c r="C35" s="3529" t="s">
        <v>3372</v>
      </c>
      <c r="D35" s="538">
        <v>100</v>
      </c>
      <c r="E35" s="3529" t="s">
        <v>3372</v>
      </c>
      <c r="F35" s="572">
        <f>SUMIF(106:106,E35,107:107)-SUMIF(106:106,C35,107:107)+100</f>
        <v>100</v>
      </c>
      <c r="G35" s="3529" t="s">
        <v>3373</v>
      </c>
      <c r="H35" s="538">
        <f>SUMIF(106:106,G35,107:107)-SUMIF(106:106,C35,107:107)+100</f>
        <v>100</v>
      </c>
      <c r="I35" s="3529" t="s">
        <v>3372</v>
      </c>
      <c r="J35" s="538">
        <f>SUMIF(106:106,I35,107:107)-SUMIF(106:106,C35,107:107)+100</f>
        <v>100</v>
      </c>
      <c r="K35" s="581"/>
      <c r="L35" s="2135"/>
      <c r="M35" s="2127"/>
      <c r="N35" s="2127"/>
      <c r="O35" s="2127"/>
      <c r="P35" s="3767"/>
      <c r="Q35" s="1564" t="str">
        <f t="shared" si="11"/>
        <v>建筑结构</v>
      </c>
      <c r="R35" s="1565" t="s">
        <v>8</v>
      </c>
      <c r="S35" s="1566">
        <f t="shared" si="12"/>
        <v>100</v>
      </c>
      <c r="T35" s="1565" t="s">
        <v>8</v>
      </c>
      <c r="U35" s="1566">
        <f t="shared" si="13"/>
        <v>100</v>
      </c>
      <c r="V35" s="1565" t="s">
        <v>8</v>
      </c>
      <c r="W35" s="1566">
        <f t="shared" si="14"/>
        <v>100</v>
      </c>
      <c r="X35" s="1559"/>
      <c r="Y35" s="3767"/>
      <c r="Z35" s="1567" t="str">
        <f t="shared" si="15"/>
        <v>建筑结构</v>
      </c>
      <c r="AA35" s="1568">
        <f t="shared" si="3"/>
        <v>1</v>
      </c>
      <c r="AB35" s="1568">
        <f t="shared" si="4"/>
        <v>1</v>
      </c>
      <c r="AC35" s="1568">
        <f t="shared" si="5"/>
        <v>1</v>
      </c>
    </row>
    <row r="36" spans="1:29" ht="15">
      <c r="A36" s="591"/>
      <c r="B36" s="525" t="s">
        <v>764</v>
      </c>
      <c r="C36" s="3529" t="s">
        <v>3367</v>
      </c>
      <c r="D36" s="538">
        <v>100</v>
      </c>
      <c r="E36" s="3529" t="s">
        <v>3367</v>
      </c>
      <c r="F36" s="572">
        <f>SUMIF(108:108,E36,109:109)-SUMIF(108:108,C36,109:109)+100</f>
        <v>100</v>
      </c>
      <c r="G36" s="3529" t="s">
        <v>3367</v>
      </c>
      <c r="H36" s="538">
        <f>SUMIF(108:108,G36,109:109)-SUMIF(108:108,C36,109:109)+100</f>
        <v>100</v>
      </c>
      <c r="I36" s="3529" t="s">
        <v>3367</v>
      </c>
      <c r="J36" s="538">
        <f>SUMIF(108:108,I36,109:109)-SUMIF(108:108,C36,109:109)+100</f>
        <v>100</v>
      </c>
      <c r="K36" s="581"/>
      <c r="L36" s="2135"/>
      <c r="M36" s="2127"/>
      <c r="N36" s="2127"/>
      <c r="O36" s="2127"/>
      <c r="P36" s="3767"/>
      <c r="Q36" s="1564" t="str">
        <f t="shared" si="11"/>
        <v>公共部分装修</v>
      </c>
      <c r="R36" s="1565" t="s">
        <v>8</v>
      </c>
      <c r="S36" s="1566">
        <f t="shared" si="12"/>
        <v>100</v>
      </c>
      <c r="T36" s="1565" t="s">
        <v>8</v>
      </c>
      <c r="U36" s="1566">
        <f t="shared" si="13"/>
        <v>100</v>
      </c>
      <c r="V36" s="1565" t="s">
        <v>8</v>
      </c>
      <c r="W36" s="1566">
        <f t="shared" si="14"/>
        <v>100</v>
      </c>
      <c r="X36" s="1559"/>
      <c r="Y36" s="3767"/>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67"/>
      <c r="Q37" s="1564" t="str">
        <f t="shared" si="11"/>
        <v>成新度</v>
      </c>
      <c r="R37" s="1565" t="s">
        <v>8</v>
      </c>
      <c r="S37" s="1566">
        <f t="shared" si="12"/>
        <v>100</v>
      </c>
      <c r="T37" s="1565" t="s">
        <v>8</v>
      </c>
      <c r="U37" s="1566">
        <f t="shared" si="13"/>
        <v>100</v>
      </c>
      <c r="V37" s="1565" t="s">
        <v>8</v>
      </c>
      <c r="W37" s="1566">
        <f t="shared" si="14"/>
        <v>100</v>
      </c>
      <c r="X37" s="1559"/>
      <c r="Y37" s="3767"/>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67"/>
      <c r="Q38" s="1144" t="str">
        <f t="shared" si="11"/>
        <v>写字楼等级</v>
      </c>
      <c r="R38" s="1560" t="s">
        <v>8</v>
      </c>
      <c r="S38" s="1561">
        <f t="shared" si="12"/>
        <v>100</v>
      </c>
      <c r="T38" s="1560" t="s">
        <v>8</v>
      </c>
      <c r="U38" s="1561">
        <f t="shared" si="13"/>
        <v>100</v>
      </c>
      <c r="V38" s="1560" t="s">
        <v>8</v>
      </c>
      <c r="W38" s="1561">
        <f t="shared" si="14"/>
        <v>100</v>
      </c>
      <c r="X38" s="1562"/>
      <c r="Y38" s="3767"/>
      <c r="Z38" s="1143" t="str">
        <f t="shared" si="15"/>
        <v>写字楼等级</v>
      </c>
      <c r="AA38" s="1563">
        <f t="shared" si="3"/>
        <v>1</v>
      </c>
      <c r="AB38" s="1563">
        <f t="shared" si="4"/>
        <v>1</v>
      </c>
      <c r="AC38" s="1563">
        <f t="shared" si="5"/>
        <v>1</v>
      </c>
    </row>
    <row r="39" spans="1:29" ht="15">
      <c r="A39" s="591"/>
      <c r="B39" s="525" t="s">
        <v>783</v>
      </c>
      <c r="C39" s="3529" t="s">
        <v>3374</v>
      </c>
      <c r="D39" s="538">
        <v>100</v>
      </c>
      <c r="E39" s="3529" t="s">
        <v>3374</v>
      </c>
      <c r="F39" s="572">
        <f>SUMIF(115:115,E39,116:116)-SUMIF(115:115,C39,116:116)+100</f>
        <v>100</v>
      </c>
      <c r="G39" s="3529" t="s">
        <v>3374</v>
      </c>
      <c r="H39" s="538">
        <f>SUMIF(115:115,G39,116:116)-SUMIF(115:115,C39,116:116)+100</f>
        <v>100</v>
      </c>
      <c r="I39" s="3529" t="s">
        <v>3374</v>
      </c>
      <c r="J39" s="538">
        <f>SUMIF(115:115,I39,116:116)-SUMIF(115:115,C39,116:116)+100</f>
        <v>100</v>
      </c>
      <c r="K39" s="581"/>
      <c r="L39" s="2135"/>
      <c r="M39" s="2127"/>
      <c r="N39" s="2127"/>
      <c r="O39" s="2127"/>
      <c r="P39" s="3767" t="s">
        <v>551</v>
      </c>
      <c r="Q39" s="1564" t="str">
        <f t="shared" si="11"/>
        <v>物业管理</v>
      </c>
      <c r="R39" s="1565" t="s">
        <v>8</v>
      </c>
      <c r="S39" s="1566">
        <f t="shared" si="12"/>
        <v>100</v>
      </c>
      <c r="T39" s="1565" t="s">
        <v>8</v>
      </c>
      <c r="U39" s="1566">
        <f t="shared" si="13"/>
        <v>100</v>
      </c>
      <c r="V39" s="1565" t="s">
        <v>8</v>
      </c>
      <c r="W39" s="1566">
        <f t="shared" si="14"/>
        <v>100</v>
      </c>
      <c r="X39" s="1559"/>
      <c r="Y39" s="3767" t="s">
        <v>551</v>
      </c>
      <c r="Z39" s="1567" t="str">
        <f t="shared" si="15"/>
        <v>物业管理</v>
      </c>
      <c r="AA39" s="1568">
        <f t="shared" si="3"/>
        <v>1</v>
      </c>
      <c r="AB39" s="1568">
        <f t="shared" si="4"/>
        <v>1</v>
      </c>
      <c r="AC39" s="1568">
        <f t="shared" si="5"/>
        <v>1</v>
      </c>
    </row>
    <row r="40" spans="1:29" ht="15">
      <c r="A40" s="591"/>
      <c r="B40" s="1888" t="s">
        <v>2569</v>
      </c>
      <c r="C40" s="3529" t="s">
        <v>3368</v>
      </c>
      <c r="D40" s="538">
        <v>100</v>
      </c>
      <c r="E40" s="3529" t="s">
        <v>3368</v>
      </c>
      <c r="F40" s="572">
        <f>SUMIF(117:117,E40,118:118)-SUMIF(117:117,C40,118:118)+100</f>
        <v>100</v>
      </c>
      <c r="G40" s="3529" t="s">
        <v>3368</v>
      </c>
      <c r="H40" s="538">
        <f>SUMIF(117:117,G40,118:118)-SUMIF(117:117,C40,118:118)+100</f>
        <v>100</v>
      </c>
      <c r="I40" s="3529" t="s">
        <v>3368</v>
      </c>
      <c r="J40" s="538">
        <f>SUMIF(117:117,I40,118:118)-SUMIF(117:117,C40,118:118)+100</f>
        <v>100</v>
      </c>
      <c r="K40" s="581"/>
      <c r="L40" s="2135"/>
      <c r="M40" s="2127"/>
      <c r="N40" s="2127"/>
      <c r="O40" s="2127"/>
      <c r="P40" s="3767"/>
      <c r="Q40" s="1564" t="str">
        <f t="shared" si="11"/>
        <v>市政基础设施</v>
      </c>
      <c r="R40" s="1565" t="s">
        <v>8</v>
      </c>
      <c r="S40" s="1566">
        <f t="shared" si="12"/>
        <v>100</v>
      </c>
      <c r="T40" s="1565" t="s">
        <v>8</v>
      </c>
      <c r="U40" s="1566">
        <f t="shared" si="13"/>
        <v>100</v>
      </c>
      <c r="V40" s="1565" t="s">
        <v>8</v>
      </c>
      <c r="W40" s="1566">
        <f t="shared" si="14"/>
        <v>100</v>
      </c>
      <c r="X40" s="1559"/>
      <c r="Y40" s="3767"/>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67"/>
      <c r="Q41" s="1564" t="str">
        <f t="shared" si="11"/>
        <v>层高</v>
      </c>
      <c r="R41" s="1565" t="s">
        <v>8</v>
      </c>
      <c r="S41" s="1566">
        <f t="shared" si="12"/>
        <v>100</v>
      </c>
      <c r="T41" s="1565" t="s">
        <v>8</v>
      </c>
      <c r="U41" s="1566">
        <f t="shared" si="13"/>
        <v>100</v>
      </c>
      <c r="V41" s="1565" t="s">
        <v>8</v>
      </c>
      <c r="W41" s="1566">
        <f t="shared" si="14"/>
        <v>100</v>
      </c>
      <c r="X41" s="1559"/>
      <c r="Y41" s="3767"/>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67"/>
      <c r="Q42" s="1597" t="str">
        <f t="shared" si="11"/>
        <v>单套建筑面积</v>
      </c>
      <c r="R42" s="1569" t="s">
        <v>8</v>
      </c>
      <c r="S42" s="1570">
        <f t="shared" si="12"/>
        <v>100</v>
      </c>
      <c r="T42" s="1569" t="s">
        <v>8</v>
      </c>
      <c r="U42" s="1570">
        <f t="shared" si="13"/>
        <v>100</v>
      </c>
      <c r="V42" s="1569" t="s">
        <v>8</v>
      </c>
      <c r="W42" s="1570">
        <f t="shared" si="14"/>
        <v>100</v>
      </c>
      <c r="X42" s="1571"/>
      <c r="Y42" s="3767"/>
      <c r="Z42" s="1572" t="str">
        <f t="shared" si="15"/>
        <v>单套建筑面积</v>
      </c>
      <c r="AA42" s="1568">
        <f t="shared" si="3"/>
        <v>1</v>
      </c>
      <c r="AB42" s="1568">
        <f t="shared" si="4"/>
        <v>1</v>
      </c>
      <c r="AC42" s="1568">
        <f t="shared" si="5"/>
        <v>1</v>
      </c>
    </row>
    <row r="43" spans="1:29" ht="15">
      <c r="A43" s="591"/>
      <c r="B43" s="525" t="s">
        <v>771</v>
      </c>
      <c r="C43" s="3529" t="s">
        <v>3375</v>
      </c>
      <c r="D43" s="538">
        <v>100</v>
      </c>
      <c r="E43" s="3529" t="s">
        <v>3375</v>
      </c>
      <c r="F43" s="572">
        <f>SUMIF(123:123,E43,124:124)-SUMIF(123:123,C43,124:124)+100</f>
        <v>100</v>
      </c>
      <c r="G43" s="3529" t="s">
        <v>3375</v>
      </c>
      <c r="H43" s="538">
        <f>SUMIF(123:123,G43,124:124)-SUMIF(123:123,C43,124:124)+100</f>
        <v>100</v>
      </c>
      <c r="I43" s="3529" t="s">
        <v>3375</v>
      </c>
      <c r="J43" s="538">
        <f>SUMIF(123:123,I43,124:124)-SUMIF(123:123,C43,124:124)+100</f>
        <v>100</v>
      </c>
      <c r="K43" s="581"/>
      <c r="L43" s="2135"/>
      <c r="M43" s="2127"/>
      <c r="N43" s="2127"/>
      <c r="O43" s="2127"/>
      <c r="P43" s="3767"/>
      <c r="Q43" s="1564" t="str">
        <f t="shared" si="11"/>
        <v>内部装修</v>
      </c>
      <c r="R43" s="1565" t="s">
        <v>8</v>
      </c>
      <c r="S43" s="1566">
        <f t="shared" si="12"/>
        <v>100</v>
      </c>
      <c r="T43" s="1565" t="s">
        <v>8</v>
      </c>
      <c r="U43" s="1566">
        <f t="shared" si="13"/>
        <v>100</v>
      </c>
      <c r="V43" s="1565" t="s">
        <v>8</v>
      </c>
      <c r="W43" s="1566">
        <f t="shared" si="14"/>
        <v>100</v>
      </c>
      <c r="X43" s="1559"/>
      <c r="Y43" s="3767"/>
      <c r="Z43" s="1567" t="str">
        <f t="shared" si="15"/>
        <v>内部装修</v>
      </c>
      <c r="AA43" s="1568">
        <f t="shared" si="3"/>
        <v>1</v>
      </c>
      <c r="AB43" s="1568">
        <f t="shared" si="4"/>
        <v>1</v>
      </c>
      <c r="AC43" s="1568">
        <f t="shared" si="5"/>
        <v>1</v>
      </c>
    </row>
    <row r="44" spans="1:29" ht="27">
      <c r="A44" s="591"/>
      <c r="B44" s="525" t="s">
        <v>736</v>
      </c>
      <c r="C44" s="3529" t="s">
        <v>3367</v>
      </c>
      <c r="D44" s="538">
        <v>100</v>
      </c>
      <c r="E44" s="3494" t="s">
        <v>3367</v>
      </c>
      <c r="F44" s="572">
        <f>SUMIF(125:125,E44,126:126)-SUMIF(125:125,C44,126:126)+100</f>
        <v>100</v>
      </c>
      <c r="G44" s="3494" t="s">
        <v>3367</v>
      </c>
      <c r="H44" s="538">
        <f>SUMIF(125:125,G44,126:126)-SUMIF(125:125,C44,126:126)+100</f>
        <v>100</v>
      </c>
      <c r="I44" s="3494" t="s">
        <v>3367</v>
      </c>
      <c r="J44" s="538">
        <f>SUMIF(125:125,I44,126:126)-SUMIF(125:125,C44,126:126)+100</f>
        <v>100</v>
      </c>
      <c r="K44" s="581"/>
      <c r="L44" s="2135"/>
      <c r="M44" s="2127"/>
      <c r="N44" s="2127"/>
      <c r="O44" s="2127"/>
      <c r="P44" s="3767"/>
      <c r="Q44" s="1564" t="str">
        <f t="shared" si="11"/>
        <v>内部装修维护情况</v>
      </c>
      <c r="R44" s="1565" t="s">
        <v>8</v>
      </c>
      <c r="S44" s="1566">
        <f t="shared" si="12"/>
        <v>100</v>
      </c>
      <c r="T44" s="1565" t="s">
        <v>8</v>
      </c>
      <c r="U44" s="1566">
        <f t="shared" si="13"/>
        <v>100</v>
      </c>
      <c r="V44" s="1565" t="s">
        <v>8</v>
      </c>
      <c r="W44" s="1566">
        <f t="shared" si="14"/>
        <v>100</v>
      </c>
      <c r="X44" s="1559"/>
      <c r="Y44" s="3767"/>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67"/>
      <c r="Q45" s="1144">
        <f t="shared" si="11"/>
        <v>111</v>
      </c>
      <c r="R45" s="1560" t="s">
        <v>8</v>
      </c>
      <c r="S45" s="1561">
        <f t="shared" si="12"/>
        <v>100</v>
      </c>
      <c r="T45" s="1560" t="s">
        <v>8</v>
      </c>
      <c r="U45" s="1561">
        <f t="shared" si="13"/>
        <v>100</v>
      </c>
      <c r="V45" s="1560" t="s">
        <v>8</v>
      </c>
      <c r="W45" s="1561">
        <f t="shared" si="14"/>
        <v>100</v>
      </c>
      <c r="X45" s="1562"/>
      <c r="Y45" s="3767"/>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67"/>
      <c r="Q46" s="1564">
        <f t="shared" si="11"/>
        <v>111</v>
      </c>
      <c r="R46" s="1565" t="s">
        <v>8</v>
      </c>
      <c r="S46" s="1566">
        <f t="shared" si="12"/>
        <v>100</v>
      </c>
      <c r="T46" s="1565" t="s">
        <v>8</v>
      </c>
      <c r="U46" s="1566">
        <f t="shared" si="13"/>
        <v>100</v>
      </c>
      <c r="V46" s="1565" t="s">
        <v>8</v>
      </c>
      <c r="W46" s="1566">
        <f t="shared" si="14"/>
        <v>100</v>
      </c>
      <c r="X46" s="1559"/>
      <c r="Y46" s="3767"/>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3"/>
      <c r="Q47" s="1564">
        <f t="shared" si="11"/>
        <v>0.9</v>
      </c>
      <c r="R47" s="1565" t="s">
        <v>8</v>
      </c>
      <c r="S47" s="1566">
        <f t="shared" si="12"/>
        <v>100</v>
      </c>
      <c r="T47" s="1565" t="s">
        <v>8</v>
      </c>
      <c r="U47" s="1566">
        <f t="shared" si="13"/>
        <v>100</v>
      </c>
      <c r="V47" s="1565" t="s">
        <v>8</v>
      </c>
      <c r="W47" s="1566">
        <f t="shared" si="14"/>
        <v>100</v>
      </c>
      <c r="X47" s="1559"/>
      <c r="Y47" s="3843"/>
      <c r="Z47" s="1567">
        <f t="shared" si="15"/>
        <v>0.9</v>
      </c>
      <c r="AA47" s="1568">
        <f t="shared" si="3"/>
        <v>1</v>
      </c>
      <c r="AB47" s="1568">
        <f t="shared" si="4"/>
        <v>1</v>
      </c>
      <c r="AC47" s="1568">
        <f t="shared" si="5"/>
        <v>1</v>
      </c>
    </row>
    <row r="48" spans="1:29" ht="15">
      <c r="A48" s="604" t="s">
        <v>737</v>
      </c>
      <c r="B48" s="880"/>
      <c r="C48" s="2644" t="s">
        <v>1</v>
      </c>
      <c r="D48" s="2645"/>
      <c r="E48" s="2646">
        <f>16000*0.95</f>
        <v>15200</v>
      </c>
      <c r="F48" s="2647"/>
      <c r="G48" s="2648">
        <f>15000*0.95</f>
        <v>14250</v>
      </c>
      <c r="H48" s="2649"/>
      <c r="I48" s="2646">
        <f>17000*0.95</f>
        <v>16150</v>
      </c>
      <c r="J48" s="2649"/>
      <c r="K48" s="1603"/>
      <c r="L48" s="2137"/>
      <c r="M48" s="2127"/>
      <c r="N48" s="2127"/>
      <c r="O48" s="2127"/>
      <c r="P48" s="3728" t="str">
        <f>A48</f>
        <v>成交单价（元/平方米）</v>
      </c>
      <c r="Q48" s="3730"/>
      <c r="R48" s="3842">
        <f>E48</f>
        <v>15200</v>
      </c>
      <c r="S48" s="3842"/>
      <c r="T48" s="3842">
        <f>G48</f>
        <v>14250</v>
      </c>
      <c r="U48" s="3842"/>
      <c r="V48" s="3842">
        <f>I48</f>
        <v>16150</v>
      </c>
      <c r="W48" s="3842"/>
      <c r="X48" s="1551"/>
      <c r="Y48" s="1573"/>
      <c r="Z48" s="1551"/>
      <c r="AA48" s="1551"/>
      <c r="AB48" s="1551"/>
      <c r="AC48" s="1551"/>
    </row>
    <row r="49" spans="1:29" ht="15.75" thickBot="1">
      <c r="A49" s="612" t="s">
        <v>2764</v>
      </c>
      <c r="B49" s="881"/>
      <c r="C49" s="2650">
        <f>R50</f>
        <v>15094</v>
      </c>
      <c r="D49" s="2651"/>
      <c r="E49" s="2652">
        <f>R49</f>
        <v>15200</v>
      </c>
      <c r="F49" s="2652"/>
      <c r="G49" s="2650">
        <f>T49</f>
        <v>14250</v>
      </c>
      <c r="H49" s="2651"/>
      <c r="I49" s="2652">
        <f>V49</f>
        <v>15833</v>
      </c>
      <c r="J49" s="2651"/>
      <c r="K49" s="1604"/>
      <c r="L49" s="2137"/>
      <c r="M49" s="2127"/>
      <c r="N49" s="2127"/>
      <c r="O49" s="2127"/>
      <c r="P49" s="3728" t="str">
        <f>A49</f>
        <v>比较价格（元/平方米）</v>
      </c>
      <c r="Q49" s="3730"/>
      <c r="R49" s="3842">
        <f>IF(F1="售价",ROUND(PRODUCT(R48,AA7:AA47),0),ROUND(PRODUCT(R48,AA7:AA47),1))</f>
        <v>15200</v>
      </c>
      <c r="S49" s="3842"/>
      <c r="T49" s="3842">
        <f>IF(F1="售价",ROUND(PRODUCT(T48,AB7:AB47),0),ROUND(PRODUCT(T48,AB7:AB47),1))</f>
        <v>14250</v>
      </c>
      <c r="U49" s="3842"/>
      <c r="V49" s="3842">
        <f>IF(F1="售价",ROUND(PRODUCT(V48,AC7:AC47),0),ROUND(PRODUCT(V48,AC7:AC47),1))</f>
        <v>15833</v>
      </c>
      <c r="W49" s="3842"/>
      <c r="X49" s="1551"/>
      <c r="Y49" s="1551"/>
      <c r="Z49" s="1551"/>
      <c r="AA49" s="1551"/>
      <c r="AB49" s="1551"/>
      <c r="AC49" s="1551"/>
    </row>
    <row r="50" spans="1:29" ht="15.75" thickBot="1">
      <c r="A50" s="618" t="s">
        <v>2935</v>
      </c>
      <c r="B50" s="619"/>
      <c r="C50" s="2653">
        <f>R50</f>
        <v>15094</v>
      </c>
      <c r="D50" s="2653"/>
      <c r="E50" s="2653"/>
      <c r="F50" s="2653"/>
      <c r="G50" s="2653"/>
      <c r="H50" s="2653"/>
      <c r="I50" s="2653"/>
      <c r="J50" s="2653"/>
      <c r="K50" s="1605"/>
      <c r="L50" s="2137"/>
      <c r="M50" s="2127"/>
      <c r="N50" s="2127"/>
      <c r="O50" s="2127"/>
      <c r="P50" s="3846" t="str">
        <f>A50</f>
        <v>估价对象XX用房的比较价格（楼面单价，元/平方米）</v>
      </c>
      <c r="Q50" s="3728"/>
      <c r="R50" s="3841">
        <f>IF(F1="售价",ROUND(AVERAGE(R49:V49),0),ROUND(AVERAGE(R49:V49),1))</f>
        <v>15094</v>
      </c>
      <c r="S50" s="3841"/>
      <c r="T50" s="3841"/>
      <c r="U50" s="3841"/>
      <c r="V50" s="3841"/>
      <c r="W50" s="3841"/>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2.0021474136297623E-2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0.11108771929824557</v>
      </c>
      <c r="H54" s="624" t="str">
        <f>IF(OR(G54&gt;=0.2,G54&lt;=-0.2),"超过20%","")</f>
        <v/>
      </c>
      <c r="I54" s="623">
        <f>IF(I49&lt;E49,E49/I49-1,I49/E49-1)</f>
        <v>4.1644736842105345E-2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1" t="s">
        <v>3377</v>
      </c>
      <c r="D87" s="3481" t="s">
        <v>3379</v>
      </c>
      <c r="E87" s="3481" t="s">
        <v>3380</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70" zoomScaleNormal="70" workbookViewId="0">
      <selection activeCell="L52" sqref="L5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3216</v>
      </c>
      <c r="E1" s="504"/>
      <c r="F1" s="2825"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288702</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99340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36" t="s">
        <v>523</v>
      </c>
      <c r="D4" s="3737"/>
      <c r="E4" s="3771" t="s">
        <v>524</v>
      </c>
      <c r="F4" s="3772"/>
      <c r="G4" s="3736" t="s">
        <v>525</v>
      </c>
      <c r="H4" s="3737"/>
      <c r="I4" s="3736" t="s">
        <v>526</v>
      </c>
      <c r="J4" s="3737"/>
      <c r="K4" s="512"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1" t="s">
        <v>525</v>
      </c>
      <c r="AC4" s="3733" t="s">
        <v>526</v>
      </c>
    </row>
    <row r="5" spans="1:29" ht="15">
      <c r="A5" s="513"/>
      <c r="B5" s="514"/>
      <c r="C5" s="3844" t="s">
        <v>3326</v>
      </c>
      <c r="D5" s="3753"/>
      <c r="E5" s="3845" t="s">
        <v>3327</v>
      </c>
      <c r="F5" s="3774"/>
      <c r="G5" s="3844" t="s">
        <v>3341</v>
      </c>
      <c r="H5" s="3753"/>
      <c r="I5" s="3844" t="s">
        <v>3339</v>
      </c>
      <c r="J5" s="3753"/>
      <c r="K5" s="512"/>
      <c r="L5" s="2126"/>
      <c r="M5" s="2127"/>
      <c r="N5" s="2127"/>
      <c r="O5" s="2127"/>
      <c r="P5" s="3740"/>
      <c r="Q5" s="3741"/>
      <c r="R5" s="3746"/>
      <c r="S5" s="3747"/>
      <c r="T5" s="3746"/>
      <c r="U5" s="3747"/>
      <c r="V5" s="3731"/>
      <c r="W5" s="3731"/>
      <c r="X5" s="1559"/>
      <c r="Y5" s="3746"/>
      <c r="Z5" s="3747"/>
      <c r="AA5" s="3734"/>
      <c r="AB5" s="3731"/>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1"/>
      <c r="AC6" s="3735"/>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61" t="s">
        <v>531</v>
      </c>
      <c r="Q7" s="3763"/>
      <c r="R7" s="1560" t="s">
        <v>8</v>
      </c>
      <c r="S7" s="1561">
        <f t="shared" ref="S7:S15" si="0">F7</f>
        <v>100</v>
      </c>
      <c r="T7" s="1560" t="s">
        <v>8</v>
      </c>
      <c r="U7" s="1561">
        <f t="shared" ref="U7:U15" si="1">H7</f>
        <v>100</v>
      </c>
      <c r="V7" s="1560" t="s">
        <v>8</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01" t="s">
        <v>3329</v>
      </c>
      <c r="F8" s="520">
        <f>SUMIF(61:61,E8,62:62)-SUMIF(61:61,C8,62:62)+100</f>
        <v>100</v>
      </c>
      <c r="G8" s="3501" t="s">
        <v>3329</v>
      </c>
      <c r="H8" s="518">
        <f>SUMIF(61:61,G8,62:62)-SUMIF(61:61,C8,62:62)+100</f>
        <v>100</v>
      </c>
      <c r="I8" s="3501" t="s">
        <v>3329</v>
      </c>
      <c r="J8" s="518">
        <f>SUMIF(61:61,I8,62:62)-SUMIF(61:61,C8,62:62)+100</f>
        <v>100</v>
      </c>
      <c r="K8" s="522"/>
      <c r="L8" s="2128"/>
      <c r="M8" s="2129"/>
      <c r="N8" s="2129"/>
      <c r="O8" s="2129"/>
      <c r="P8" s="3761" t="s">
        <v>534</v>
      </c>
      <c r="Q8" s="3762"/>
      <c r="R8" s="1560" t="s">
        <v>8</v>
      </c>
      <c r="S8" s="1561">
        <f t="shared" si="0"/>
        <v>100</v>
      </c>
      <c r="T8" s="1560" t="s">
        <v>8</v>
      </c>
      <c r="U8" s="1561">
        <f t="shared" si="1"/>
        <v>100</v>
      </c>
      <c r="V8" s="1560" t="s">
        <v>8</v>
      </c>
      <c r="W8" s="1561">
        <f t="shared" si="2"/>
        <v>100</v>
      </c>
      <c r="X8" s="1562"/>
      <c r="Y8" s="3761" t="s">
        <v>534</v>
      </c>
      <c r="Z8" s="3762"/>
      <c r="AA8" s="1563">
        <f t="shared" ref="AA8:AA46" si="3">D8/F8</f>
        <v>1</v>
      </c>
      <c r="AB8" s="1563">
        <f t="shared" ref="AB8:AB46" si="4">D8/H8</f>
        <v>1</v>
      </c>
      <c r="AC8" s="1563">
        <f t="shared" ref="AC8:AC46" si="5">D8/J8</f>
        <v>1</v>
      </c>
    </row>
    <row r="9" spans="1:29" s="1213" customFormat="1" ht="15">
      <c r="A9" s="2931"/>
      <c r="B9" s="2938" t="s">
        <v>2760</v>
      </c>
      <c r="C9" s="3502" t="s">
        <v>3330</v>
      </c>
      <c r="D9" s="252">
        <v>100</v>
      </c>
      <c r="E9" s="3503" t="s">
        <v>3330</v>
      </c>
      <c r="F9" s="252">
        <f>SUMIF(63:63,E9,64:64)-SUMIF(63:63,C9,64:64)+100</f>
        <v>100</v>
      </c>
      <c r="G9" s="3504" t="s">
        <v>3330</v>
      </c>
      <c r="H9" s="252">
        <f>SUMIF(63:63,G9,64:64)-SUMIF(63:63,C9,64:64)+100</f>
        <v>100</v>
      </c>
      <c r="I9" s="3504" t="s">
        <v>3330</v>
      </c>
      <c r="J9" s="252">
        <f>SUMIF(63:63,I9,64:64)-SUMIF(63:63,C9,64:64)+100</f>
        <v>100</v>
      </c>
      <c r="K9" s="52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3331</v>
      </c>
      <c r="D10" s="253">
        <v>100</v>
      </c>
      <c r="E10" s="858" t="s">
        <v>3331</v>
      </c>
      <c r="F10" s="253">
        <f>SUMIF(65:65,E10,66:66)-SUMIF(65:65,C10,66:66)+100</f>
        <v>100</v>
      </c>
      <c r="G10" s="859" t="s">
        <v>3331</v>
      </c>
      <c r="H10" s="253">
        <f>SUMIF(65:65,G10,66:66)-SUMIF(65:65,C10,66:66)+100</f>
        <v>100</v>
      </c>
      <c r="I10" s="858" t="s">
        <v>3331</v>
      </c>
      <c r="J10" s="253">
        <f>SUMIF(65:65,I10,66:66)-SUMIF(65:65,C10,66:66)+100</f>
        <v>100</v>
      </c>
      <c r="K10" s="581">
        <v>2</v>
      </c>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30"/>
      <c r="Q11" s="1144" t="str">
        <f t="shared" si="6"/>
        <v>容积率</v>
      </c>
      <c r="R11" s="1560" t="s">
        <v>8</v>
      </c>
      <c r="S11" s="1561">
        <f t="shared" si="0"/>
        <v>100</v>
      </c>
      <c r="T11" s="1560" t="s">
        <v>8</v>
      </c>
      <c r="U11" s="1561">
        <f t="shared" si="1"/>
        <v>100</v>
      </c>
      <c r="V11" s="1560" t="s">
        <v>8</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1" t="s">
        <v>3419</v>
      </c>
      <c r="F15" s="549">
        <f>SUMIF(76:76,E16,77:77)-SUMIF(76:76,C16,77:77)+100</f>
        <v>100</v>
      </c>
      <c r="G15" s="3522" t="s">
        <v>3420</v>
      </c>
      <c r="H15" s="547">
        <f>SUMIF(76:76,G16,77:77)-SUMIF(76:76,C16,77:77)+100</f>
        <v>98</v>
      </c>
      <c r="I15" s="3521" t="s">
        <v>3419</v>
      </c>
      <c r="J15" s="547">
        <f>SUMIF(76:76,I16,77:77)-SUMIF(76:76,C16,77:77)+100</f>
        <v>100</v>
      </c>
      <c r="K15" s="891">
        <v>2</v>
      </c>
      <c r="L15" s="2135"/>
      <c r="M15" s="2127"/>
      <c r="N15" s="2127"/>
      <c r="O15" s="2134"/>
      <c r="P15" s="3764" t="s">
        <v>541</v>
      </c>
      <c r="Q15" s="1564" t="str">
        <f t="shared" si="6"/>
        <v>商业繁华度</v>
      </c>
      <c r="R15" s="1565" t="s">
        <v>8</v>
      </c>
      <c r="S15" s="1566">
        <f t="shared" si="0"/>
        <v>100</v>
      </c>
      <c r="T15" s="1565" t="s">
        <v>8</v>
      </c>
      <c r="U15" s="1566">
        <f t="shared" si="1"/>
        <v>98</v>
      </c>
      <c r="V15" s="1565" t="s">
        <v>8</v>
      </c>
      <c r="W15" s="1566">
        <f t="shared" si="2"/>
        <v>100</v>
      </c>
      <c r="X15" s="1559"/>
      <c r="Y15" s="3764" t="s">
        <v>541</v>
      </c>
      <c r="Z15" s="1567" t="str">
        <f t="shared" si="7"/>
        <v>商业繁华度</v>
      </c>
      <c r="AA15" s="1568">
        <f t="shared" si="3"/>
        <v>1</v>
      </c>
      <c r="AB15" s="1568">
        <f t="shared" si="4"/>
        <v>1.0204081632653061</v>
      </c>
      <c r="AC15" s="1568">
        <f t="shared" si="5"/>
        <v>1</v>
      </c>
    </row>
    <row r="16" spans="1:29" ht="15">
      <c r="A16" s="530"/>
      <c r="B16" s="866"/>
      <c r="C16" s="3498" t="s">
        <v>3305</v>
      </c>
      <c r="D16" s="553"/>
      <c r="E16" s="3498" t="s">
        <v>3305</v>
      </c>
      <c r="F16" s="555"/>
      <c r="G16" s="3498" t="s">
        <v>3287</v>
      </c>
      <c r="H16" s="557"/>
      <c r="I16" s="573" t="s">
        <v>3288</v>
      </c>
      <c r="J16" s="553"/>
      <c r="K16" s="892"/>
      <c r="L16" s="2135"/>
      <c r="M16" s="2127"/>
      <c r="N16" s="2127"/>
      <c r="O16" s="2134"/>
      <c r="P16" s="3765"/>
      <c r="Q16" s="1564"/>
      <c r="R16" s="1565"/>
      <c r="S16" s="1566"/>
      <c r="T16" s="1565"/>
      <c r="U16" s="1566"/>
      <c r="V16" s="1565"/>
      <c r="W16" s="1566"/>
      <c r="X16" s="1559"/>
      <c r="Y16" s="3765"/>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3421</v>
      </c>
      <c r="F17" s="561">
        <f>SUMIF(78:78,E18,79:79)-SUMIF(78:78,C18,79:79)+100</f>
        <v>100</v>
      </c>
      <c r="G17" s="562" t="s">
        <v>3422</v>
      </c>
      <c r="H17" s="563">
        <f>SUMIF(78:78,G18,79:79)-SUMIF(78:78,C18,79:79)+100</f>
        <v>100</v>
      </c>
      <c r="I17" s="560" t="s">
        <v>3421</v>
      </c>
      <c r="J17" s="563">
        <f>SUMIF(78:78,I18,79:79)-SUMIF(78:78,C18,79:79)+100</f>
        <v>100</v>
      </c>
      <c r="K17" s="891"/>
      <c r="L17" s="2135"/>
      <c r="M17" s="2127"/>
      <c r="N17" s="2127"/>
      <c r="O17" s="2134"/>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92"/>
      <c r="C18" s="3505" t="s">
        <v>3305</v>
      </c>
      <c r="D18" s="557"/>
      <c r="E18" s="3506" t="s">
        <v>3305</v>
      </c>
      <c r="F18" s="561"/>
      <c r="G18" s="3507" t="s">
        <v>3305</v>
      </c>
      <c r="H18" s="553"/>
      <c r="I18" s="3506" t="s">
        <v>3305</v>
      </c>
      <c r="J18" s="553"/>
      <c r="K18" s="892"/>
      <c r="L18" s="2135"/>
      <c r="M18" s="2127"/>
      <c r="N18" s="2127"/>
      <c r="O18" s="2134"/>
      <c r="P18" s="3765"/>
      <c r="Q18" s="1564"/>
      <c r="R18" s="1565"/>
      <c r="S18" s="1566"/>
      <c r="T18" s="1565"/>
      <c r="U18" s="1566"/>
      <c r="V18" s="1565"/>
      <c r="W18" s="1566"/>
      <c r="X18" s="1559"/>
      <c r="Y18" s="3765"/>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3" t="s">
        <v>3423</v>
      </c>
      <c r="F19" s="568">
        <f>SUMIF(80:80,E20,81:81)-SUMIF(80:80,C20,81:81)+100</f>
        <v>100</v>
      </c>
      <c r="G19" s="3524" t="s">
        <v>3424</v>
      </c>
      <c r="H19" s="557">
        <f>SUMIF(80:80,G20,81:81)-SUMIF(80:80,C20,81:81)+100</f>
        <v>100</v>
      </c>
      <c r="I19" s="3523" t="s">
        <v>3423</v>
      </c>
      <c r="J19" s="557">
        <f>SUMIF(80:80,I20,81:81)-SUMIF(80:80,C20,81:81)+100</f>
        <v>100</v>
      </c>
      <c r="K19" s="891"/>
      <c r="L19" s="2135"/>
      <c r="M19" s="2127"/>
      <c r="N19" s="2127"/>
      <c r="O19" s="2134"/>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92"/>
      <c r="C20" s="3498" t="s">
        <v>3305</v>
      </c>
      <c r="D20" s="553"/>
      <c r="E20" s="3493" t="s">
        <v>3305</v>
      </c>
      <c r="F20" s="555"/>
      <c r="G20" s="3492" t="s">
        <v>3305</v>
      </c>
      <c r="H20" s="553"/>
      <c r="I20" s="3493" t="s">
        <v>3305</v>
      </c>
      <c r="J20" s="553"/>
      <c r="K20" s="892"/>
      <c r="L20" s="2135"/>
      <c r="M20" s="2127"/>
      <c r="N20" s="2127"/>
      <c r="O20" s="2134"/>
      <c r="P20" s="3765"/>
      <c r="Q20" s="1564"/>
      <c r="R20" s="1565"/>
      <c r="S20" s="1566"/>
      <c r="T20" s="1565"/>
      <c r="U20" s="1566"/>
      <c r="V20" s="1565"/>
      <c r="W20" s="1566"/>
      <c r="X20" s="1559"/>
      <c r="Y20" s="3765"/>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915"/>
      <c r="C22" s="3505" t="s">
        <v>3310</v>
      </c>
      <c r="D22" s="553"/>
      <c r="E22" s="3498" t="s">
        <v>3310</v>
      </c>
      <c r="F22" s="555"/>
      <c r="G22" s="3498" t="s">
        <v>3310</v>
      </c>
      <c r="H22" s="553"/>
      <c r="I22" s="3498" t="s">
        <v>3310</v>
      </c>
      <c r="J22" s="553"/>
      <c r="K22" s="2619"/>
      <c r="L22" s="2135"/>
      <c r="M22" s="2127"/>
      <c r="N22" s="2127"/>
      <c r="O22" s="2134"/>
      <c r="P22" s="3765"/>
      <c r="Q22" s="2596"/>
      <c r="R22" s="1565"/>
      <c r="S22" s="1566"/>
      <c r="T22" s="1565"/>
      <c r="U22" s="1566"/>
      <c r="V22" s="1565"/>
      <c r="W22" s="1566"/>
      <c r="X22" s="2598"/>
      <c r="Y22" s="3765"/>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5" t="s">
        <v>3448</v>
      </c>
      <c r="F23" s="561">
        <f>SUMIF(84:84,E24,85:85)-SUMIF(84:84,C24,85:85)+100</f>
        <v>100</v>
      </c>
      <c r="G23" s="3526" t="s">
        <v>3450</v>
      </c>
      <c r="H23" s="557">
        <f>SUMIF(84:84,G24,85:85)-SUMIF(84:84,C24,85:85)+100</f>
        <v>100</v>
      </c>
      <c r="I23" s="3525" t="s">
        <v>3448</v>
      </c>
      <c r="J23" s="557">
        <f>SUMIF(84:84,I24,85:85)-SUMIF(84:84,C24,85:85)+100</f>
        <v>100</v>
      </c>
      <c r="K23" s="891"/>
      <c r="L23" s="2135"/>
      <c r="M23" s="2127"/>
      <c r="N23" s="2127"/>
      <c r="O23" s="2134"/>
      <c r="P23" s="3765"/>
      <c r="Q23" s="1564" t="str">
        <f>B23</f>
        <v>自然及人文环境</v>
      </c>
      <c r="R23" s="1565" t="s">
        <v>8</v>
      </c>
      <c r="S23" s="1566">
        <f>F23</f>
        <v>100</v>
      </c>
      <c r="T23" s="1565" t="s">
        <v>8</v>
      </c>
      <c r="U23" s="1566">
        <f>H23</f>
        <v>100</v>
      </c>
      <c r="V23" s="1565" t="s">
        <v>8</v>
      </c>
      <c r="W23" s="1566">
        <f>J23</f>
        <v>100</v>
      </c>
      <c r="X23" s="1559"/>
      <c r="Y23" s="3765"/>
      <c r="Z23" s="1567" t="str">
        <f>Q23</f>
        <v>自然及人文环境</v>
      </c>
      <c r="AA23" s="1568">
        <f t="shared" si="3"/>
        <v>1</v>
      </c>
      <c r="AB23" s="1568">
        <f t="shared" si="4"/>
        <v>1</v>
      </c>
      <c r="AC23" s="1568">
        <f t="shared" si="5"/>
        <v>1</v>
      </c>
    </row>
    <row r="24" spans="1:29" ht="15">
      <c r="A24" s="530"/>
      <c r="B24" s="592"/>
      <c r="C24" s="3498" t="s">
        <v>3311</v>
      </c>
      <c r="D24" s="553"/>
      <c r="E24" s="3493" t="s">
        <v>3311</v>
      </c>
      <c r="F24" s="555"/>
      <c r="G24" s="3492" t="s">
        <v>3311</v>
      </c>
      <c r="H24" s="553"/>
      <c r="I24" s="3493" t="s">
        <v>3447</v>
      </c>
      <c r="J24" s="553"/>
      <c r="K24" s="892"/>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30"/>
      <c r="B25" s="525" t="s">
        <v>548</v>
      </c>
      <c r="C25" s="3508" t="s">
        <v>3332</v>
      </c>
      <c r="D25" s="538">
        <v>100</v>
      </c>
      <c r="E25" s="3508" t="s">
        <v>3332</v>
      </c>
      <c r="F25" s="572">
        <f>SUMIF(86:86,E25,87:87)-SUMIF(86:86,C25,87:87)+100</f>
        <v>100</v>
      </c>
      <c r="G25" s="3508" t="s">
        <v>3332</v>
      </c>
      <c r="H25" s="538">
        <f>SUMIF(86:86,G25,87:87)-SUMIF(86:86,C25,87:87)+100</f>
        <v>100</v>
      </c>
      <c r="I25" s="3508" t="s">
        <v>3332</v>
      </c>
      <c r="J25" s="538">
        <f>SUMIF(86:86,I25,87:87)-SUMIF(86:86,C25,87:87)+100</f>
        <v>100</v>
      </c>
      <c r="K25" s="581"/>
      <c r="L25" s="2135"/>
      <c r="M25" s="2127"/>
      <c r="N25" s="2127"/>
      <c r="O25" s="2134"/>
      <c r="P25" s="3765"/>
      <c r="Q25" s="1564" t="str">
        <f t="shared" ref="Q25:Q46" si="11">B25</f>
        <v>临街状况</v>
      </c>
      <c r="R25" s="1565" t="s">
        <v>8</v>
      </c>
      <c r="S25" s="1566">
        <f>F25</f>
        <v>100</v>
      </c>
      <c r="T25" s="1565" t="s">
        <v>8</v>
      </c>
      <c r="U25" s="1566">
        <f>H25</f>
        <v>100</v>
      </c>
      <c r="V25" s="1565" t="s">
        <v>8</v>
      </c>
      <c r="W25" s="1566">
        <f>J25</f>
        <v>100</v>
      </c>
      <c r="X25" s="1559"/>
      <c r="Y25" s="3765"/>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65"/>
      <c r="Q26" s="1564" t="str">
        <f t="shared" si="11"/>
        <v>平面位置/可视性</v>
      </c>
      <c r="R26" s="1565" t="s">
        <v>8</v>
      </c>
      <c r="S26" s="1566">
        <f>F26</f>
        <v>100</v>
      </c>
      <c r="T26" s="1565" t="s">
        <v>8</v>
      </c>
      <c r="U26" s="1566">
        <f>H26</f>
        <v>100</v>
      </c>
      <c r="V26" s="1565" t="s">
        <v>8</v>
      </c>
      <c r="W26" s="1566">
        <f>J26</f>
        <v>100</v>
      </c>
      <c r="X26" s="1559"/>
      <c r="Y26" s="3765"/>
      <c r="Z26" s="1567" t="str">
        <f>Q26</f>
        <v>平面位置/可视性</v>
      </c>
      <c r="AA26" s="1568">
        <f t="shared" si="3"/>
        <v>1</v>
      </c>
      <c r="AB26" s="1568">
        <f t="shared" si="4"/>
        <v>1</v>
      </c>
      <c r="AC26" s="1568">
        <f t="shared" si="5"/>
        <v>1</v>
      </c>
    </row>
    <row r="27" spans="1:29" s="1213" customFormat="1" ht="15">
      <c r="A27" s="534"/>
      <c r="B27" s="868" t="s">
        <v>760</v>
      </c>
      <c r="C27" s="3539" t="s">
        <v>3449</v>
      </c>
      <c r="D27" s="872">
        <v>100</v>
      </c>
      <c r="E27" s="3539" t="s">
        <v>3449</v>
      </c>
      <c r="F27" s="873">
        <f>SUMIF(90:90,E27,91:91)-SUMIF(90:90,C27,91:91)+100</f>
        <v>100</v>
      </c>
      <c r="G27" s="3539" t="s">
        <v>3449</v>
      </c>
      <c r="H27" s="872">
        <f>SUMIF(90:90,G27,91:91)-SUMIF(90:90,C27,91:91)+100</f>
        <v>100</v>
      </c>
      <c r="I27" s="3539" t="s">
        <v>3449</v>
      </c>
      <c r="J27" s="872">
        <f>SUMIF(90:90,I27,91:91)-SUMIF(90:90,C27,91:91)+100</f>
        <v>100</v>
      </c>
      <c r="K27" s="581"/>
      <c r="L27" s="2128"/>
      <c r="M27" s="2129"/>
      <c r="N27" s="2129"/>
      <c r="O27" s="2130"/>
      <c r="P27" s="3765"/>
      <c r="Q27" s="1144" t="str">
        <f t="shared" si="11"/>
        <v>人流量</v>
      </c>
      <c r="R27" s="1560" t="s">
        <v>8</v>
      </c>
      <c r="S27" s="1561">
        <f>F27</f>
        <v>100</v>
      </c>
      <c r="T27" s="1560" t="s">
        <v>8</v>
      </c>
      <c r="U27" s="1561">
        <f>H27</f>
        <v>100</v>
      </c>
      <c r="V27" s="1560" t="s">
        <v>8</v>
      </c>
      <c r="W27" s="1561">
        <f>J27</f>
        <v>100</v>
      </c>
      <c r="X27" s="1562"/>
      <c r="Y27" s="3765"/>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65"/>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5"/>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65"/>
      <c r="Q29" s="1564">
        <f t="shared" si="11"/>
        <v>111</v>
      </c>
      <c r="R29" s="1565" t="s">
        <v>8</v>
      </c>
      <c r="S29" s="1566">
        <f t="shared" si="12"/>
        <v>100</v>
      </c>
      <c r="T29" s="1565" t="s">
        <v>8</v>
      </c>
      <c r="U29" s="1566">
        <f t="shared" si="13"/>
        <v>100</v>
      </c>
      <c r="V29" s="1565" t="s">
        <v>8</v>
      </c>
      <c r="W29" s="1566">
        <f t="shared" si="14"/>
        <v>100</v>
      </c>
      <c r="X29" s="1559"/>
      <c r="Y29" s="3765"/>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65"/>
      <c r="Q30" s="1564">
        <f t="shared" si="11"/>
        <v>111</v>
      </c>
      <c r="R30" s="1565" t="s">
        <v>8</v>
      </c>
      <c r="S30" s="1566">
        <f t="shared" si="12"/>
        <v>100</v>
      </c>
      <c r="T30" s="1565" t="s">
        <v>8</v>
      </c>
      <c r="U30" s="1566">
        <f t="shared" si="13"/>
        <v>100</v>
      </c>
      <c r="V30" s="1565" t="s">
        <v>8</v>
      </c>
      <c r="W30" s="1566">
        <f t="shared" si="14"/>
        <v>100</v>
      </c>
      <c r="X30" s="1559"/>
      <c r="Y30" s="3765"/>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65"/>
      <c r="Q31" s="1564">
        <f t="shared" si="11"/>
        <v>111</v>
      </c>
      <c r="R31" s="1565" t="s">
        <v>8</v>
      </c>
      <c r="S31" s="1566">
        <f t="shared" si="12"/>
        <v>100</v>
      </c>
      <c r="T31" s="1565" t="s">
        <v>8</v>
      </c>
      <c r="U31" s="1566">
        <f t="shared" si="13"/>
        <v>100</v>
      </c>
      <c r="V31" s="1565" t="s">
        <v>8</v>
      </c>
      <c r="W31" s="1566">
        <f t="shared" si="14"/>
        <v>100</v>
      </c>
      <c r="X31" s="1559"/>
      <c r="Y31" s="3765"/>
      <c r="Z31" s="1567">
        <f t="shared" si="15"/>
        <v>111</v>
      </c>
      <c r="AA31" s="1568">
        <f t="shared" si="3"/>
        <v>1</v>
      </c>
      <c r="AB31" s="1568">
        <f t="shared" si="4"/>
        <v>1</v>
      </c>
      <c r="AC31" s="1568">
        <f t="shared" si="5"/>
        <v>1</v>
      </c>
    </row>
    <row r="32" spans="1:29" ht="15">
      <c r="A32" s="2925" t="s">
        <v>2759</v>
      </c>
      <c r="B32" s="172" t="s">
        <v>763</v>
      </c>
      <c r="C32" s="3543" t="s">
        <v>3333</v>
      </c>
      <c r="D32" s="594">
        <v>100</v>
      </c>
      <c r="E32" s="3509" t="s">
        <v>3334</v>
      </c>
      <c r="F32" s="572">
        <f>SUMIF(100:100,E32,101:101)-SUMIF(100:100,C32,101:101)+100</f>
        <v>98</v>
      </c>
      <c r="G32" s="3509" t="s">
        <v>3342</v>
      </c>
      <c r="H32" s="538">
        <f>SUMIF(100:100,G32,101:101)-SUMIF(100:100,C32,101:101)+100</f>
        <v>96</v>
      </c>
      <c r="I32" s="3509" t="s">
        <v>3333</v>
      </c>
      <c r="J32" s="594">
        <f>SUMIF(100:100,I32,101:101)-SUMIF(100:100,C32,101:101)+100</f>
        <v>100</v>
      </c>
      <c r="K32" s="581">
        <v>2</v>
      </c>
      <c r="L32" s="2135"/>
      <c r="M32" s="2127"/>
      <c r="N32" s="2127"/>
      <c r="O32" s="2134"/>
      <c r="P32" s="3766" t="s">
        <v>551</v>
      </c>
      <c r="Q32" s="1564" t="str">
        <f t="shared" si="11"/>
        <v>商业类型</v>
      </c>
      <c r="R32" s="1565" t="s">
        <v>8</v>
      </c>
      <c r="S32" s="1566">
        <f t="shared" si="12"/>
        <v>98</v>
      </c>
      <c r="T32" s="1565" t="s">
        <v>8</v>
      </c>
      <c r="U32" s="1566">
        <f t="shared" si="13"/>
        <v>96</v>
      </c>
      <c r="V32" s="1565" t="s">
        <v>8</v>
      </c>
      <c r="W32" s="1566">
        <f t="shared" si="14"/>
        <v>100</v>
      </c>
      <c r="X32" s="1559"/>
      <c r="Y32" s="3767"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67"/>
      <c r="Q33" s="1597" t="str">
        <f t="shared" si="11"/>
        <v>项目建筑规模</v>
      </c>
      <c r="R33" s="1569" t="s">
        <v>8</v>
      </c>
      <c r="S33" s="1570">
        <f t="shared" si="12"/>
        <v>100</v>
      </c>
      <c r="T33" s="1569" t="s">
        <v>8</v>
      </c>
      <c r="U33" s="1570">
        <f t="shared" si="13"/>
        <v>100</v>
      </c>
      <c r="V33" s="1569" t="s">
        <v>8</v>
      </c>
      <c r="W33" s="1570">
        <f t="shared" si="14"/>
        <v>100</v>
      </c>
      <c r="X33" s="1571"/>
      <c r="Y33" s="3767"/>
      <c r="Z33" s="1572" t="str">
        <f t="shared" si="15"/>
        <v>项目建筑规模</v>
      </c>
      <c r="AA33" s="1568">
        <f t="shared" si="3"/>
        <v>1</v>
      </c>
      <c r="AB33" s="1568">
        <f t="shared" si="4"/>
        <v>1</v>
      </c>
      <c r="AC33" s="1568">
        <f t="shared" si="5"/>
        <v>1</v>
      </c>
    </row>
    <row r="34" spans="1:29" ht="15">
      <c r="A34" s="591"/>
      <c r="B34" s="525" t="s">
        <v>728</v>
      </c>
      <c r="C34" s="3510" t="s">
        <v>3336</v>
      </c>
      <c r="D34" s="538">
        <v>100</v>
      </c>
      <c r="E34" s="3511" t="s">
        <v>3337</v>
      </c>
      <c r="F34" s="572">
        <f>SUMIF(105:105,E34,106:106)-SUMIF(105:105,C34,106:106)+100</f>
        <v>100</v>
      </c>
      <c r="G34" s="3510" t="s">
        <v>3337</v>
      </c>
      <c r="H34" s="538">
        <f>SUMIF(105:105,G34,106:106)-SUMIF(105:105,C34,106:106)+100</f>
        <v>100</v>
      </c>
      <c r="I34" s="3510" t="s">
        <v>3337</v>
      </c>
      <c r="J34" s="538">
        <f>SUMIF(105:105,I34,106:106)-SUMIF(105:105,C34,106:106)+100</f>
        <v>100</v>
      </c>
      <c r="K34" s="581"/>
      <c r="L34" s="2135"/>
      <c r="M34" s="2127"/>
      <c r="N34" s="2127"/>
      <c r="O34" s="2134"/>
      <c r="P34" s="3767"/>
      <c r="Q34" s="1564" t="str">
        <f t="shared" si="11"/>
        <v>建筑结构</v>
      </c>
      <c r="R34" s="1565" t="s">
        <v>8</v>
      </c>
      <c r="S34" s="1566">
        <f t="shared" si="12"/>
        <v>100</v>
      </c>
      <c r="T34" s="1565" t="s">
        <v>8</v>
      </c>
      <c r="U34" s="1566">
        <f t="shared" si="13"/>
        <v>100</v>
      </c>
      <c r="V34" s="1565" t="s">
        <v>8</v>
      </c>
      <c r="W34" s="1566">
        <f t="shared" si="14"/>
        <v>100</v>
      </c>
      <c r="X34" s="1559"/>
      <c r="Y34" s="3767"/>
      <c r="Z34" s="1567" t="str">
        <f t="shared" si="15"/>
        <v>建筑结构</v>
      </c>
      <c r="AA34" s="1568">
        <f t="shared" si="3"/>
        <v>1</v>
      </c>
      <c r="AB34" s="1568">
        <f t="shared" si="4"/>
        <v>1</v>
      </c>
      <c r="AC34" s="1568">
        <f t="shared" si="5"/>
        <v>1</v>
      </c>
    </row>
    <row r="35" spans="1:29" ht="15">
      <c r="A35" s="591"/>
      <c r="B35" s="525" t="s">
        <v>764</v>
      </c>
      <c r="C35" s="3494" t="s">
        <v>3305</v>
      </c>
      <c r="D35" s="538">
        <v>100</v>
      </c>
      <c r="E35" s="3494" t="s">
        <v>3305</v>
      </c>
      <c r="F35" s="572">
        <f>SUMIF(107:107,E35,108:108)-SUMIF(107:107,C35,108:108)+100</f>
        <v>100</v>
      </c>
      <c r="G35" s="3494" t="s">
        <v>3305</v>
      </c>
      <c r="H35" s="538">
        <f>SUMIF(107:107,G35,108:108)-SUMIF(107:107,C35,108:108)+100</f>
        <v>100</v>
      </c>
      <c r="I35" s="3494" t="s">
        <v>3305</v>
      </c>
      <c r="J35" s="538">
        <f>SUMIF(107:107,I35,108:108)-SUMIF(107:107,C35,108:108)+100</f>
        <v>100</v>
      </c>
      <c r="K35" s="581"/>
      <c r="L35" s="2135"/>
      <c r="M35" s="2127"/>
      <c r="N35" s="2127"/>
      <c r="O35" s="2134"/>
      <c r="P35" s="3767"/>
      <c r="Q35" s="1564" t="str">
        <f t="shared" si="11"/>
        <v>公共部分装修</v>
      </c>
      <c r="R35" s="1565" t="s">
        <v>8</v>
      </c>
      <c r="S35" s="1566">
        <f t="shared" si="12"/>
        <v>100</v>
      </c>
      <c r="T35" s="1565" t="s">
        <v>8</v>
      </c>
      <c r="U35" s="1566">
        <f t="shared" si="13"/>
        <v>100</v>
      </c>
      <c r="V35" s="1565" t="s">
        <v>8</v>
      </c>
      <c r="W35" s="1566">
        <f t="shared" si="14"/>
        <v>100</v>
      </c>
      <c r="X35" s="1559"/>
      <c r="Y35" s="3767"/>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67"/>
      <c r="Q36" s="1564" t="str">
        <f t="shared" si="11"/>
        <v>成新度</v>
      </c>
      <c r="R36" s="1565" t="s">
        <v>8</v>
      </c>
      <c r="S36" s="1566">
        <f t="shared" si="12"/>
        <v>100</v>
      </c>
      <c r="T36" s="1565" t="s">
        <v>8</v>
      </c>
      <c r="U36" s="1566">
        <f t="shared" si="13"/>
        <v>100</v>
      </c>
      <c r="V36" s="1565" t="s">
        <v>8</v>
      </c>
      <c r="W36" s="1566">
        <f t="shared" si="14"/>
        <v>100</v>
      </c>
      <c r="X36" s="1559"/>
      <c r="Y36" s="3767"/>
      <c r="Z36" s="1567" t="str">
        <f t="shared" si="15"/>
        <v>成新度</v>
      </c>
      <c r="AA36" s="1568">
        <f t="shared" si="3"/>
        <v>1</v>
      </c>
      <c r="AB36" s="1568">
        <f t="shared" si="4"/>
        <v>1</v>
      </c>
      <c r="AC36" s="1568">
        <f t="shared" si="5"/>
        <v>1</v>
      </c>
    </row>
    <row r="37" spans="1:29" s="1213" customFormat="1" ht="15">
      <c r="A37" s="597"/>
      <c r="B37" s="1888" t="s">
        <v>2569</v>
      </c>
      <c r="C37" s="3494" t="s">
        <v>3310</v>
      </c>
      <c r="D37" s="253">
        <v>100</v>
      </c>
      <c r="E37" s="3494" t="s">
        <v>3310</v>
      </c>
      <c r="F37" s="572">
        <f>SUMIF(112:112,E37,113:113)-SUMIF(112:112,C37,113:113)+100</f>
        <v>100</v>
      </c>
      <c r="G37" s="3494" t="s">
        <v>3310</v>
      </c>
      <c r="H37" s="538">
        <f>SUMIF(112:112,G37,113:113)-SUMIF(112:112,C37,113:113)+100</f>
        <v>100</v>
      </c>
      <c r="I37" s="3494" t="s">
        <v>3404</v>
      </c>
      <c r="J37" s="538">
        <f>SUMIF(112:112,I37,113:113)-SUMIF(112:112,C37,113:113)+100</f>
        <v>100</v>
      </c>
      <c r="K37" s="581"/>
      <c r="L37" s="2128"/>
      <c r="M37" s="2129"/>
      <c r="N37" s="2129"/>
      <c r="O37" s="2130"/>
      <c r="P37" s="3767"/>
      <c r="Q37" s="1144" t="str">
        <f t="shared" si="11"/>
        <v>市政基础设施</v>
      </c>
      <c r="R37" s="1560" t="s">
        <v>8</v>
      </c>
      <c r="S37" s="1561">
        <f t="shared" si="12"/>
        <v>100</v>
      </c>
      <c r="T37" s="1560" t="s">
        <v>8</v>
      </c>
      <c r="U37" s="1561">
        <f t="shared" si="13"/>
        <v>100</v>
      </c>
      <c r="V37" s="1560" t="s">
        <v>8</v>
      </c>
      <c r="W37" s="1561">
        <f t="shared" si="14"/>
        <v>100</v>
      </c>
      <c r="X37" s="1562"/>
      <c r="Y37" s="3767"/>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67" t="s">
        <v>767</v>
      </c>
      <c r="Q38" s="1564" t="str">
        <f t="shared" si="11"/>
        <v>业态</v>
      </c>
      <c r="R38" s="1565" t="s">
        <v>8</v>
      </c>
      <c r="S38" s="1566">
        <f t="shared" si="12"/>
        <v>100</v>
      </c>
      <c r="T38" s="1565" t="s">
        <v>8</v>
      </c>
      <c r="U38" s="1566">
        <f t="shared" si="13"/>
        <v>100</v>
      </c>
      <c r="V38" s="1565" t="s">
        <v>8</v>
      </c>
      <c r="W38" s="1566">
        <f t="shared" si="14"/>
        <v>100</v>
      </c>
      <c r="X38" s="1559"/>
      <c r="Y38" s="3767"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7"/>
      <c r="Q39" s="1564" t="str">
        <f t="shared" si="11"/>
        <v>层高</v>
      </c>
      <c r="R39" s="1565" t="s">
        <v>8</v>
      </c>
      <c r="S39" s="1566">
        <f t="shared" si="12"/>
        <v>100</v>
      </c>
      <c r="T39" s="1565" t="s">
        <v>8</v>
      </c>
      <c r="U39" s="1566">
        <f t="shared" si="13"/>
        <v>100</v>
      </c>
      <c r="V39" s="1565" t="s">
        <v>8</v>
      </c>
      <c r="W39" s="1566">
        <f t="shared" si="14"/>
        <v>100</v>
      </c>
      <c r="X39" s="1559"/>
      <c r="Y39" s="3767"/>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67"/>
      <c r="Q40" s="1564" t="str">
        <f t="shared" si="11"/>
        <v>单套建筑面积</v>
      </c>
      <c r="R40" s="1565" t="s">
        <v>8</v>
      </c>
      <c r="S40" s="1566">
        <f t="shared" si="12"/>
        <v>100</v>
      </c>
      <c r="T40" s="1565" t="s">
        <v>8</v>
      </c>
      <c r="U40" s="1566">
        <f t="shared" si="13"/>
        <v>100</v>
      </c>
      <c r="V40" s="1565" t="s">
        <v>8</v>
      </c>
      <c r="W40" s="1566">
        <f t="shared" si="14"/>
        <v>100</v>
      </c>
      <c r="X40" s="1559"/>
      <c r="Y40" s="3767"/>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67"/>
      <c r="Q41" s="1597" t="str">
        <f t="shared" si="11"/>
        <v>进深比</v>
      </c>
      <c r="R41" s="1569" t="s">
        <v>8</v>
      </c>
      <c r="S41" s="1570">
        <f t="shared" si="12"/>
        <v>100</v>
      </c>
      <c r="T41" s="1569" t="s">
        <v>8</v>
      </c>
      <c r="U41" s="1570">
        <f t="shared" si="13"/>
        <v>100</v>
      </c>
      <c r="V41" s="1569" t="s">
        <v>8</v>
      </c>
      <c r="W41" s="1570">
        <f t="shared" si="14"/>
        <v>100</v>
      </c>
      <c r="X41" s="1571"/>
      <c r="Y41" s="3767"/>
      <c r="Z41" s="1572" t="str">
        <f t="shared" si="15"/>
        <v>进深比</v>
      </c>
      <c r="AA41" s="1568">
        <f t="shared" si="3"/>
        <v>1</v>
      </c>
      <c r="AB41" s="1568">
        <f t="shared" si="4"/>
        <v>1</v>
      </c>
      <c r="AC41" s="1568">
        <f t="shared" si="5"/>
        <v>1</v>
      </c>
    </row>
    <row r="42" spans="1:29" ht="15">
      <c r="A42" s="591"/>
      <c r="B42" s="525" t="s">
        <v>771</v>
      </c>
      <c r="C42" s="3494" t="s">
        <v>3338</v>
      </c>
      <c r="D42" s="538">
        <v>100</v>
      </c>
      <c r="E42" s="3494" t="s">
        <v>3338</v>
      </c>
      <c r="F42" s="572">
        <f>SUMIF(122:122,E42,123:123)-SUMIF(122:122,C42,123:123)+100</f>
        <v>100</v>
      </c>
      <c r="G42" s="3494" t="s">
        <v>3338</v>
      </c>
      <c r="H42" s="538">
        <f>SUMIF(122:122,G42,123:123)-SUMIF(122:122,C42,123:123)+100</f>
        <v>100</v>
      </c>
      <c r="I42" s="3494" t="s">
        <v>3338</v>
      </c>
      <c r="J42" s="538">
        <f>SUMIF(122:122,I42,123:123)-SUMIF(122:122,C42,123:123)+100</f>
        <v>100</v>
      </c>
      <c r="K42" s="581"/>
      <c r="L42" s="2135"/>
      <c r="M42" s="2127"/>
      <c r="N42" s="2127"/>
      <c r="O42" s="2134"/>
      <c r="P42" s="3767"/>
      <c r="Q42" s="1564" t="str">
        <f t="shared" si="11"/>
        <v>内部装修</v>
      </c>
      <c r="R42" s="1565" t="s">
        <v>8</v>
      </c>
      <c r="S42" s="1566">
        <f t="shared" si="12"/>
        <v>100</v>
      </c>
      <c r="T42" s="1565" t="s">
        <v>8</v>
      </c>
      <c r="U42" s="1566">
        <f t="shared" si="13"/>
        <v>100</v>
      </c>
      <c r="V42" s="1565" t="s">
        <v>8</v>
      </c>
      <c r="W42" s="1566">
        <f t="shared" si="14"/>
        <v>100</v>
      </c>
      <c r="X42" s="1559"/>
      <c r="Y42" s="3767"/>
      <c r="Z42" s="1567" t="str">
        <f t="shared" si="15"/>
        <v>内部装修</v>
      </c>
      <c r="AA42" s="1568">
        <f t="shared" si="3"/>
        <v>1</v>
      </c>
      <c r="AB42" s="1568">
        <f t="shared" si="4"/>
        <v>1</v>
      </c>
      <c r="AC42" s="1568">
        <f t="shared" si="5"/>
        <v>1</v>
      </c>
    </row>
    <row r="43" spans="1:29" ht="27">
      <c r="A43" s="591"/>
      <c r="B43" s="525" t="s">
        <v>736</v>
      </c>
      <c r="C43" s="3494" t="s">
        <v>3305</v>
      </c>
      <c r="D43" s="538">
        <v>100</v>
      </c>
      <c r="E43" s="3494" t="s">
        <v>3305</v>
      </c>
      <c r="F43" s="572">
        <f>SUMIF(124:124,E43,125:125)-SUMIF(124:124,C43,125:125)+100</f>
        <v>100</v>
      </c>
      <c r="G43" s="3494" t="s">
        <v>3305</v>
      </c>
      <c r="H43" s="538">
        <f>SUMIF(124:124,G43,125:125)-SUMIF(124:124,C43,125:125)+100</f>
        <v>100</v>
      </c>
      <c r="I43" s="3494" t="s">
        <v>3305</v>
      </c>
      <c r="J43" s="538">
        <f>SUMIF(124:124,I43,125:125)-SUMIF(124:124,C43,125:125)+100</f>
        <v>100</v>
      </c>
      <c r="K43" s="581"/>
      <c r="L43" s="2135"/>
      <c r="M43" s="2127"/>
      <c r="N43" s="2127"/>
      <c r="O43" s="2134"/>
      <c r="P43" s="3767"/>
      <c r="Q43" s="1564" t="str">
        <f t="shared" si="11"/>
        <v>内部装修维护情况</v>
      </c>
      <c r="R43" s="1565" t="s">
        <v>8</v>
      </c>
      <c r="S43" s="1566">
        <f t="shared" si="12"/>
        <v>100</v>
      </c>
      <c r="T43" s="1565" t="s">
        <v>8</v>
      </c>
      <c r="U43" s="1566">
        <f t="shared" si="13"/>
        <v>100</v>
      </c>
      <c r="V43" s="1565" t="s">
        <v>8</v>
      </c>
      <c r="W43" s="1566">
        <f t="shared" si="14"/>
        <v>100</v>
      </c>
      <c r="X43" s="1559"/>
      <c r="Y43" s="3767"/>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67"/>
      <c r="Q44" s="1144">
        <f t="shared" si="11"/>
        <v>111</v>
      </c>
      <c r="R44" s="1560" t="s">
        <v>8</v>
      </c>
      <c r="S44" s="1561">
        <f t="shared" si="12"/>
        <v>100</v>
      </c>
      <c r="T44" s="1560" t="s">
        <v>8</v>
      </c>
      <c r="U44" s="1561">
        <f t="shared" si="13"/>
        <v>100</v>
      </c>
      <c r="V44" s="1560" t="s">
        <v>8</v>
      </c>
      <c r="W44" s="1561">
        <f t="shared" si="14"/>
        <v>100</v>
      </c>
      <c r="X44" s="1562"/>
      <c r="Y44" s="3767"/>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67"/>
      <c r="Q45" s="1564">
        <f t="shared" si="11"/>
        <v>111</v>
      </c>
      <c r="R45" s="1565" t="s">
        <v>8</v>
      </c>
      <c r="S45" s="1566">
        <f t="shared" si="12"/>
        <v>100</v>
      </c>
      <c r="T45" s="1565" t="s">
        <v>8</v>
      </c>
      <c r="U45" s="1566">
        <f t="shared" si="13"/>
        <v>100</v>
      </c>
      <c r="V45" s="1565" t="s">
        <v>8</v>
      </c>
      <c r="W45" s="1566">
        <f t="shared" si="14"/>
        <v>100</v>
      </c>
      <c r="X45" s="1559"/>
      <c r="Y45" s="3767"/>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3"/>
      <c r="Q46" s="1564">
        <f t="shared" si="11"/>
        <v>111</v>
      </c>
      <c r="R46" s="1565" t="s">
        <v>8</v>
      </c>
      <c r="S46" s="1566">
        <f t="shared" si="12"/>
        <v>100</v>
      </c>
      <c r="T46" s="1565" t="s">
        <v>8</v>
      </c>
      <c r="U46" s="1566">
        <f t="shared" si="13"/>
        <v>100</v>
      </c>
      <c r="V46" s="1565" t="s">
        <v>8</v>
      </c>
      <c r="W46" s="1566">
        <f t="shared" si="14"/>
        <v>100</v>
      </c>
      <c r="X46" s="1559"/>
      <c r="Y46" s="3843"/>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30" t="str">
        <f>A47</f>
        <v>成交单价（元/平方米）</v>
      </c>
      <c r="Q47" s="3730"/>
      <c r="R47" s="3842">
        <f>E47</f>
        <v>30000</v>
      </c>
      <c r="S47" s="3842"/>
      <c r="T47" s="3842">
        <f>G47</f>
        <v>25000</v>
      </c>
      <c r="U47" s="3842"/>
      <c r="V47" s="3842">
        <f>I47</f>
        <v>30000</v>
      </c>
      <c r="W47" s="3842"/>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30" t="str">
        <f>A48</f>
        <v>比较价格（元/平方米）</v>
      </c>
      <c r="Q48" s="3730"/>
      <c r="R48" s="3842">
        <f>IF(F1="售价",ROUND(PRODUCT(R47,AA7:AA46),0),ROUND(PRODUCT(R47,AA7:AA46),1))</f>
        <v>30612</v>
      </c>
      <c r="S48" s="3842"/>
      <c r="T48" s="3842">
        <f>IF(F1="售价",ROUND(PRODUCT(T47,AB7:AB46),0),ROUND(PRODUCT(T47,AB7:AB46),1))</f>
        <v>26573</v>
      </c>
      <c r="U48" s="3842"/>
      <c r="V48" s="3842">
        <f>IF(F1="售价",ROUND(PRODUCT(V47,AC7:AC46),0),ROUND(PRODUCT(V47,AC7:AC46),1))</f>
        <v>30000</v>
      </c>
      <c r="W48" s="3842"/>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27" t="str">
        <f>A49</f>
        <v>估价对象XX用房的比较价格（楼面单价，元/平方米）</v>
      </c>
      <c r="Q49" s="3728"/>
      <c r="R49" s="3841">
        <f>IF(F1="售价",ROUND(AVERAGE(R48:V48),0),ROUND(AVERAGE(R48:V48),1))</f>
        <v>29062</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2" t="s">
        <v>3333</v>
      </c>
      <c r="D100" s="3512" t="s">
        <v>3335</v>
      </c>
      <c r="E100" s="3512" t="s">
        <v>3343</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3400</v>
      </c>
      <c r="C5" s="3536" t="s">
        <v>3401</v>
      </c>
      <c r="D5" s="3537" t="s">
        <v>3402</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50" t="s">
        <v>20</v>
      </c>
      <c r="D22" s="3851"/>
      <c r="E22" s="3851"/>
      <c r="F22" s="3851"/>
      <c r="G22" s="3851"/>
      <c r="H22" s="3851"/>
      <c r="I22" s="3851"/>
      <c r="J22" s="3851"/>
      <c r="K22" s="3851"/>
      <c r="L22" s="3851"/>
      <c r="M22" s="3851"/>
      <c r="N22" s="3851"/>
      <c r="O22" s="3851"/>
      <c r="P22" s="3851"/>
      <c r="Q22" s="3852"/>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3394</v>
      </c>
      <c r="B24" s="954">
        <f>面积!B20</f>
        <v>30731.75</v>
      </c>
      <c r="C24" s="955">
        <v>1</v>
      </c>
      <c r="D24" s="3538" t="s">
        <v>3403</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3395</v>
      </c>
      <c r="B25" s="137">
        <f>面积!C20</f>
        <v>30419.75</v>
      </c>
      <c r="C25" s="53">
        <f>IF(B25="",1,(LOOKUP(B25,$3:$3,$4:$4)-LOOKUP($B$24,$3:$3,$4:$4)+100)/100)</f>
        <v>1</v>
      </c>
      <c r="D25" s="3538"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3396</v>
      </c>
      <c r="B26" s="137">
        <f>面积!D20</f>
        <v>19094.25</v>
      </c>
      <c r="C26" s="53">
        <f t="shared" ref="C26:C89" si="12">IF(B26="",1,(LOOKUP(B26,$3:$3,$4:$4)-LOOKUP($B$24,$3:$3,$4:$4)+100)/100)</f>
        <v>1.04</v>
      </c>
      <c r="D26" s="3538" t="s">
        <v>3401</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3397</v>
      </c>
      <c r="B27" s="137">
        <f>面积!E20</f>
        <v>19094.25</v>
      </c>
      <c r="C27" s="53">
        <f t="shared" si="12"/>
        <v>1.04</v>
      </c>
      <c r="D27" s="3538" t="s">
        <v>3401</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3"/>
      <c r="B28" s="137"/>
      <c r="C28" s="53">
        <f t="shared" si="12"/>
        <v>1</v>
      </c>
      <c r="D28" s="3538"/>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4"/>
      <c r="B29" s="137"/>
      <c r="C29" s="53">
        <f t="shared" si="12"/>
        <v>1</v>
      </c>
      <c r="D29" s="3538"/>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A32" sqref="A32"/>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3400</v>
      </c>
      <c r="C5" s="3536" t="s">
        <v>3401</v>
      </c>
      <c r="D5" s="3537" t="s">
        <v>3402</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222815</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18947</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117601</v>
      </c>
      <c r="C22" s="3850" t="s">
        <v>20</v>
      </c>
      <c r="D22" s="3851"/>
      <c r="E22" s="3851"/>
      <c r="F22" s="3851"/>
      <c r="G22" s="3851"/>
      <c r="H22" s="3851"/>
      <c r="I22" s="3851"/>
      <c r="J22" s="3851"/>
      <c r="K22" s="3851"/>
      <c r="L22" s="3851"/>
      <c r="M22" s="3851"/>
      <c r="N22" s="3851"/>
      <c r="O22" s="3851"/>
      <c r="P22" s="3851"/>
      <c r="Q22" s="3852"/>
      <c r="R22" s="488">
        <f>ROUND(S22*10000/B22,0)</f>
        <v>18947</v>
      </c>
      <c r="S22" s="53">
        <f>SUM(S24:S10000)</f>
        <v>222815</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3394</v>
      </c>
      <c r="B24" s="954">
        <f>面积!B20-面积!B16</f>
        <v>30419.75</v>
      </c>
      <c r="C24" s="955">
        <v>1</v>
      </c>
      <c r="D24" s="3538" t="s">
        <v>3403</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88406</v>
      </c>
      <c r="T24" s="1966"/>
      <c r="U24" s="1966"/>
      <c r="V24" s="1966"/>
      <c r="W24" s="1966"/>
      <c r="X24" s="1966"/>
      <c r="Y24" s="1966"/>
      <c r="Z24" s="1966"/>
      <c r="AA24" s="1966"/>
      <c r="AB24" s="1966"/>
      <c r="AC24" s="1966"/>
      <c r="AD24" s="1966"/>
      <c r="AE24" s="1966"/>
      <c r="AF24" s="1966"/>
      <c r="AG24" s="1966"/>
      <c r="AH24" s="1966"/>
      <c r="AI24" s="1966"/>
    </row>
    <row r="25" spans="1:45">
      <c r="A25" s="958" t="s">
        <v>3395</v>
      </c>
      <c r="B25" s="137">
        <f>面积!C20</f>
        <v>30419.75</v>
      </c>
      <c r="C25" s="53">
        <f>IF(B25="",1,(LOOKUP(B25,$3:$3,$4:$4)-LOOKUP($B$24,$3:$3,$4:$4)+100)/100)</f>
        <v>1</v>
      </c>
      <c r="D25" s="3538"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3396</v>
      </c>
      <c r="B26" s="137">
        <f>面积!D20</f>
        <v>19094.25</v>
      </c>
      <c r="C26" s="53">
        <f t="shared" ref="C26:C89" si="6">IF(B26="",1,(LOOKUP(B26,$3:$3,$4:$4)-LOOKUP($B$24,$3:$3,$4:$4)+100)/100)</f>
        <v>1.04</v>
      </c>
      <c r="D26" s="3538" t="s">
        <v>3401</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3397</v>
      </c>
      <c r="B27" s="137">
        <f>面积!E20</f>
        <v>19094.25</v>
      </c>
      <c r="C27" s="53">
        <f t="shared" si="6"/>
        <v>1.04</v>
      </c>
      <c r="D27" s="3538" t="s">
        <v>3401</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3" t="s">
        <v>3398</v>
      </c>
      <c r="B28" s="137">
        <f>面积!B21</f>
        <v>4029</v>
      </c>
      <c r="C28" s="53">
        <f t="shared" si="6"/>
        <v>1.06</v>
      </c>
      <c r="D28" s="3538" t="s">
        <v>3402</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4" t="s">
        <v>3399</v>
      </c>
      <c r="B29" s="137">
        <f>'数据-汇总表'!G22</f>
        <v>14544</v>
      </c>
      <c r="C29" s="53">
        <f t="shared" si="6"/>
        <v>1.04</v>
      </c>
      <c r="D29" s="3538" t="s">
        <v>3401</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70" zoomScaleNormal="70" workbookViewId="0">
      <selection activeCell="H32" sqref="H3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4" t="s">
        <v>3301</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17733</v>
      </c>
      <c r="C2" s="2050"/>
      <c r="D2" s="2048"/>
      <c r="E2" s="2049"/>
      <c r="F2" s="2049"/>
      <c r="G2" s="1582"/>
      <c r="H2" s="2050"/>
      <c r="I2" s="2050"/>
      <c r="J2" s="2050"/>
      <c r="K2" s="2051"/>
      <c r="L2" s="2050"/>
      <c r="M2" s="2050"/>
    </row>
    <row r="3" spans="1:33" ht="18" customHeight="1" thickBot="1">
      <c r="A3" s="830" t="s">
        <v>1726</v>
      </c>
      <c r="B3" s="831">
        <f ca="1">IF(ISERROR(B2*10000/F43),0,ROUND(B2*10000/F43,0))</f>
        <v>2252</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1552</v>
      </c>
      <c r="D6" s="2514" t="s">
        <v>2465</v>
      </c>
      <c r="E6" s="781" t="s">
        <v>1737</v>
      </c>
      <c r="F6" s="782">
        <f ca="1">INDIRECT("'数据-取费表'!u"&amp;$G$1)</f>
        <v>0.6</v>
      </c>
      <c r="G6" s="1584"/>
      <c r="H6" s="2521" t="s">
        <v>2472</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78730.2</v>
      </c>
      <c r="G7" s="1584"/>
      <c r="H7" s="2506"/>
      <c r="I7" s="3805"/>
      <c r="J7" s="785"/>
      <c r="K7" s="786"/>
      <c r="L7" s="781" t="s">
        <v>1738</v>
      </c>
      <c r="M7" s="782">
        <f ca="1">F7</f>
        <v>78730.2</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3454</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26933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18518</v>
      </c>
      <c r="D14" s="1972" t="s">
        <v>1744</v>
      </c>
      <c r="E14" s="1973"/>
      <c r="F14" s="802"/>
      <c r="G14" s="1584"/>
      <c r="H14" s="1641" t="s">
        <v>1829</v>
      </c>
      <c r="I14" s="2224" t="s">
        <v>2830</v>
      </c>
      <c r="J14" s="53">
        <f ca="1">C29</f>
        <v>26933</v>
      </c>
      <c r="K14" s="26"/>
      <c r="L14" s="798"/>
      <c r="M14" s="799"/>
    </row>
    <row r="15" spans="1:33" s="2057" customFormat="1" ht="18" customHeight="1" thickBot="1">
      <c r="A15" s="1640" t="s">
        <v>1884</v>
      </c>
      <c r="B15" s="781" t="s">
        <v>648</v>
      </c>
      <c r="C15" s="53">
        <f ca="1">ROUND(C14*F15,0)</f>
        <v>556</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646</v>
      </c>
      <c r="K16" s="1814" t="s">
        <v>1749</v>
      </c>
      <c r="L16" s="2503"/>
      <c r="M16" s="2508"/>
    </row>
    <row r="17" spans="1:33" s="2057" customFormat="1" ht="18" customHeight="1">
      <c r="A17" s="1640" t="s">
        <v>1886</v>
      </c>
      <c r="B17" s="781" t="s">
        <v>654</v>
      </c>
      <c r="C17" s="53">
        <f ca="1">ROUND(F17*(F43+INDIRECT("'数据-取费表'!S"&amp;$G$1))/10000,0)</f>
        <v>1683</v>
      </c>
      <c r="D17" s="781" t="s">
        <v>1750</v>
      </c>
      <c r="E17" s="781" t="s">
        <v>1751</v>
      </c>
      <c r="F17" s="56">
        <f>'数据-取费表'!B35</f>
        <v>200</v>
      </c>
      <c r="G17" s="1585"/>
      <c r="H17" s="1641" t="s">
        <v>1829</v>
      </c>
      <c r="I17" s="781" t="s">
        <v>657</v>
      </c>
      <c r="J17" s="53">
        <f ca="1">ROUND(IF(项目基本情况!B11="自然人",J5*M17,J18+J19+J20),0)</f>
        <v>242</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278</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21035</v>
      </c>
      <c r="D19" s="259" t="s">
        <v>1756</v>
      </c>
      <c r="E19" s="1975"/>
      <c r="F19" s="56"/>
      <c r="G19" s="1584"/>
      <c r="H19" s="1640" t="s">
        <v>1884</v>
      </c>
      <c r="I19" s="781" t="s">
        <v>1757</v>
      </c>
      <c r="J19" s="53">
        <f ca="1">IF(K19="按租金收入计税",ROUND(J5*M19,1),ROUND(C29*F33*0.7,1))</f>
        <v>226.2</v>
      </c>
      <c r="K19" s="808" t="s">
        <v>666</v>
      </c>
      <c r="L19" s="781" t="s">
        <v>1746</v>
      </c>
      <c r="M19" s="806">
        <f>IF(K19="按租金收入计税",'数据-取费表'!B51,'数据-取费表'!B50)</f>
        <v>1.2E-2</v>
      </c>
    </row>
    <row r="20" spans="1:33" s="2057" customFormat="1" ht="18" customHeight="1">
      <c r="A20" s="1641" t="s">
        <v>1888</v>
      </c>
      <c r="B20" s="781" t="s">
        <v>667</v>
      </c>
      <c r="C20" s="53">
        <f ca="1">ROUND(C19*F20,0)</f>
        <v>631</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11459.179999999998</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404</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-646</v>
      </c>
      <c r="K25" s="2565" t="s">
        <v>1776</v>
      </c>
      <c r="L25" s="2566"/>
      <c r="M25" s="2567"/>
    </row>
    <row r="26" spans="1:33" ht="18" customHeight="1">
      <c r="A26" s="1640" t="s">
        <v>1830</v>
      </c>
      <c r="B26" s="781" t="s">
        <v>2440</v>
      </c>
      <c r="C26" s="53">
        <f ca="1">ROUND((C19+C20)*F26,0)</f>
        <v>1083</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26933</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800</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226.2</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11459.179999999998</v>
      </c>
      <c r="G35" s="2055"/>
      <c r="H35" s="2058"/>
      <c r="I35" s="834" t="s">
        <v>1813</v>
      </c>
      <c r="J35" s="835">
        <f ca="1">ROUND(C13*J36,0)</f>
        <v>2289</v>
      </c>
      <c r="K35" s="2071"/>
      <c r="L35" s="2070"/>
      <c r="M35" s="2070"/>
    </row>
    <row r="36" spans="1:18" ht="18" customHeight="1">
      <c r="A36" s="1641" t="s">
        <v>1888</v>
      </c>
      <c r="B36" s="781" t="s">
        <v>1801</v>
      </c>
      <c r="C36" s="53">
        <f ca="1">ROUND(C29*F36,1)</f>
        <v>404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40.4</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752</v>
      </c>
      <c r="D39" s="2565" t="s">
        <v>1805</v>
      </c>
      <c r="E39" s="2566"/>
      <c r="F39" s="2567"/>
      <c r="G39" s="2055"/>
      <c r="H39" s="2070"/>
      <c r="I39" s="834" t="s">
        <v>1817</v>
      </c>
      <c r="J39" s="842">
        <f ca="1">ROUND(J35/C39,3)</f>
        <v>3.044</v>
      </c>
      <c r="K39" s="2076"/>
      <c r="L39" s="2070"/>
      <c r="M39" s="2070"/>
    </row>
    <row r="40" spans="1:18" ht="18" customHeight="1">
      <c r="A40" s="778" t="s">
        <v>1894</v>
      </c>
      <c r="B40" s="2225" t="s">
        <v>2302</v>
      </c>
      <c r="C40" s="780">
        <f ca="1">ROUND(C39*(1-((1+F42)/(1+F40))^F41)/(F40-F42),0)</f>
        <v>17733</v>
      </c>
      <c r="D40" s="811" t="s">
        <v>1806</v>
      </c>
      <c r="E40" s="781" t="s">
        <v>2421</v>
      </c>
      <c r="F40" s="791">
        <f ca="1">INDIRECT("'数据-取费表'!I"&amp;$G$1)</f>
        <v>0.05</v>
      </c>
      <c r="G40" s="2055"/>
      <c r="H40" s="2055"/>
      <c r="I40" s="834" t="s">
        <v>1818</v>
      </c>
      <c r="J40" s="842">
        <f ca="1">1-J39</f>
        <v>-2.044</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1.5189999999999999</v>
      </c>
      <c r="K42" s="2075"/>
      <c r="L42" s="1981"/>
      <c r="M42" s="1981"/>
    </row>
    <row r="43" spans="1:18" ht="18" customHeight="1" thickBot="1">
      <c r="A43" s="820" t="s">
        <v>1786</v>
      </c>
      <c r="B43" s="821" t="s">
        <v>1809</v>
      </c>
      <c r="C43" s="822">
        <f ca="1">ROUND(C40*10000/F43,0)</f>
        <v>2252</v>
      </c>
      <c r="D43" s="823" t="s">
        <v>1810</v>
      </c>
      <c r="E43" s="824" t="s">
        <v>1811</v>
      </c>
      <c r="F43" s="825">
        <f ca="1">INDIRECT("'数据-取费表'!k"&amp;$G$1)</f>
        <v>78730.2</v>
      </c>
      <c r="G43" s="2055"/>
      <c r="H43" s="1981"/>
      <c r="I43" s="844" t="s">
        <v>1821</v>
      </c>
      <c r="J43" s="845">
        <f ca="1">1-J42</f>
        <v>-0.51899999999999991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-29737</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3302</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17733</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26933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-29632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6" t="s">
        <v>2969</v>
      </c>
      <c r="L53" s="3857"/>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17733</v>
      </c>
      <c r="R54" s="2420" t="s">
        <v>2394</v>
      </c>
    </row>
    <row r="55" spans="1:18" s="2052" customFormat="1" ht="18" customHeight="1" thickTop="1" thickBot="1">
      <c r="A55" s="794">
        <v>2</v>
      </c>
      <c r="B55" s="795" t="s">
        <v>645</v>
      </c>
      <c r="C55" s="796">
        <f ca="1">C13</f>
        <v>26933</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26933</v>
      </c>
      <c r="D56" s="2657"/>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687</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17733</v>
      </c>
      <c r="R57" s="2416" t="s">
        <v>2382</v>
      </c>
    </row>
    <row r="58" spans="1:18" s="2052" customFormat="1" ht="28.5" customHeight="1" thickBot="1">
      <c r="A58" s="1641" t="s">
        <v>1823</v>
      </c>
      <c r="B58" s="781" t="s">
        <v>657</v>
      </c>
      <c r="C58" s="53">
        <f ca="1">ROUND(IF(项目基本情况!B11="自然人",C47*F58,C59+C60+C61),1)</f>
        <v>242.2</v>
      </c>
      <c r="D58" s="2656" t="s">
        <v>658</v>
      </c>
      <c r="E58" s="2657"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226.2</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11459.179999999998</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404</v>
      </c>
      <c r="D63" s="2657" t="s">
        <v>1802</v>
      </c>
      <c r="E63" s="781" t="s">
        <v>1746</v>
      </c>
      <c r="F63" s="814">
        <f t="shared" ca="1" si="0"/>
        <v>1.4999999999999999E-2</v>
      </c>
      <c r="I63" s="2402" t="s">
        <v>2372</v>
      </c>
      <c r="J63" s="2403">
        <v>70</v>
      </c>
      <c r="K63" s="2403">
        <v>50</v>
      </c>
      <c r="L63" s="2403">
        <v>80</v>
      </c>
      <c r="M63" s="3118">
        <v>0.02</v>
      </c>
      <c r="O63" s="2415" t="s">
        <v>2393</v>
      </c>
      <c r="P63" s="2416" t="s">
        <v>2410</v>
      </c>
      <c r="Q63" s="2417">
        <f ca="1">Q57+Q58</f>
        <v>17733</v>
      </c>
      <c r="R63" s="2420" t="s">
        <v>2394</v>
      </c>
    </row>
    <row r="64" spans="1:18" s="2052" customFormat="1" ht="16.5" thickBot="1">
      <c r="A64" s="1641" t="s">
        <v>1889</v>
      </c>
      <c r="B64" s="781" t="s">
        <v>680</v>
      </c>
      <c r="C64" s="53">
        <f ca="1">ROUND(C55*F64,1)</f>
        <v>40.4</v>
      </c>
      <c r="D64" s="2657"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-687</v>
      </c>
      <c r="D66" s="2656" t="s">
        <v>701</v>
      </c>
      <c r="E66" s="2655"/>
      <c r="F66" s="817"/>
      <c r="K66" s="2079"/>
      <c r="O66" s="2415" t="s">
        <v>2381</v>
      </c>
      <c r="P66" s="2416" t="s">
        <v>2411</v>
      </c>
      <c r="Q66" s="2417">
        <f ca="1">C40+J29</f>
        <v>17733</v>
      </c>
      <c r="R66" s="2416" t="s">
        <v>2382</v>
      </c>
    </row>
    <row r="67" spans="1:18" s="2052" customFormat="1" ht="20.25" thickBot="1">
      <c r="A67" s="778" t="s">
        <v>1779</v>
      </c>
      <c r="B67" s="2225" t="s">
        <v>2302</v>
      </c>
      <c r="C67" s="780">
        <f ca="1">ROUND(C66*(1-((1+F69)/(1+F67))^F68)/(F67-F69),0)</f>
        <v>-12004</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-29632</v>
      </c>
      <c r="R68" s="2423" t="s">
        <v>2418</v>
      </c>
    </row>
    <row r="69" spans="1:18" ht="20.25" thickBot="1">
      <c r="A69" s="787"/>
      <c r="B69" s="788"/>
      <c r="C69" s="789"/>
      <c r="D69" s="813"/>
      <c r="E69" s="781" t="s">
        <v>711</v>
      </c>
      <c r="F69" s="2364"/>
      <c r="O69" s="2418" t="s">
        <v>2386</v>
      </c>
      <c r="P69" s="2424" t="s">
        <v>2400</v>
      </c>
      <c r="Q69" s="2417">
        <f ca="1">ROUND(Q70-Q71*Q72,0)</f>
        <v>-1537</v>
      </c>
      <c r="R69" s="2420"/>
    </row>
    <row r="70" spans="1:18" ht="15.75" thickBot="1">
      <c r="A70" s="820" t="s">
        <v>1786</v>
      </c>
      <c r="B70" s="821" t="s">
        <v>1809</v>
      </c>
      <c r="C70" s="822">
        <f ca="1">ROUND(C67*10000/F70,0)</f>
        <v>-1525</v>
      </c>
      <c r="D70" s="823" t="s">
        <v>1810</v>
      </c>
      <c r="E70" s="824" t="s">
        <v>1811</v>
      </c>
      <c r="F70" s="825">
        <f ca="1">F43</f>
        <v>78730.2</v>
      </c>
      <c r="O70" s="2418" t="s">
        <v>2401</v>
      </c>
      <c r="P70" s="2424" t="s">
        <v>2402</v>
      </c>
      <c r="Q70" s="2417">
        <f ca="1">C39</f>
        <v>752</v>
      </c>
      <c r="R70" s="2416" t="s">
        <v>2382</v>
      </c>
    </row>
    <row r="71" spans="1:18" ht="15.75" thickBot="1">
      <c r="O71" s="2418" t="s">
        <v>2403</v>
      </c>
      <c r="P71" s="2424" t="s">
        <v>2404</v>
      </c>
      <c r="Q71" s="2417">
        <f ca="1">C13</f>
        <v>26933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17733</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3216</v>
      </c>
      <c r="D1" s="3144" t="s">
        <v>3301</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200185</v>
      </c>
      <c r="C2" s="2050"/>
      <c r="D2" s="2048"/>
      <c r="E2" s="2049"/>
      <c r="F2" s="2049"/>
      <c r="G2" s="1582"/>
      <c r="H2" s="2050"/>
      <c r="I2" s="2050"/>
      <c r="J2" s="2050"/>
      <c r="K2" s="2051"/>
      <c r="L2" s="2050"/>
      <c r="M2" s="2050"/>
    </row>
    <row r="3" spans="1:33" ht="18" customHeight="1" thickBot="1">
      <c r="A3" s="830" t="s">
        <v>1726</v>
      </c>
      <c r="B3" s="831">
        <f ca="1">IF(ISERROR(B2*10000/F43),0,ROUND(B2*10000/F43,0))</f>
        <v>20151</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11438</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11422</v>
      </c>
      <c r="D6" s="2514" t="s">
        <v>2465</v>
      </c>
      <c r="E6" s="781" t="s">
        <v>1737</v>
      </c>
      <c r="F6" s="782">
        <f ca="1">INDIRECT("'数据-取费表'!u"&amp;$G$1)</f>
        <v>3.5</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99340</v>
      </c>
      <c r="G7" s="1584"/>
      <c r="H7" s="2506"/>
      <c r="I7" s="3805"/>
      <c r="J7" s="785"/>
      <c r="K7" s="786"/>
      <c r="L7" s="781" t="s">
        <v>1738</v>
      </c>
      <c r="M7" s="782">
        <f ca="1">F7</f>
        <v>99340</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3299</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52829</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31313</v>
      </c>
      <c r="D14" s="3483" t="s">
        <v>1744</v>
      </c>
      <c r="E14" s="3484"/>
      <c r="F14" s="802"/>
      <c r="G14" s="1584"/>
      <c r="H14" s="1641" t="s">
        <v>1823</v>
      </c>
      <c r="I14" s="2224" t="s">
        <v>2829</v>
      </c>
      <c r="J14" s="53">
        <f ca="1">C29</f>
        <v>52829</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5"/>
      <c r="M16" s="2508"/>
    </row>
    <row r="17" spans="1:33" s="2057" customFormat="1" ht="18" customHeight="1">
      <c r="A17" s="1640" t="s">
        <v>1886</v>
      </c>
      <c r="B17" s="781" t="s">
        <v>654</v>
      </c>
      <c r="C17" s="53">
        <f ca="1">ROUND(F17*(F43+INDIRECT("'数据-取费表'!S"&amp;$G$1))/10000,0)</f>
        <v>2124</v>
      </c>
      <c r="D17" s="781" t="s">
        <v>1750</v>
      </c>
      <c r="E17" s="781" t="s">
        <v>1751</v>
      </c>
      <c r="F17" s="56">
        <f>'数据-取费表'!B35</f>
        <v>200</v>
      </c>
      <c r="G17" s="1585"/>
      <c r="H17" s="1641" t="s">
        <v>1823</v>
      </c>
      <c r="I17" s="781" t="s">
        <v>657</v>
      </c>
      <c r="J17" s="53">
        <f ca="1">ROUND(IF(项目基本情况!B11="自然人",J5*M17,J18+J19+J20),0)</f>
        <v>464</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470</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34846</v>
      </c>
      <c r="D19" s="259" t="s">
        <v>1756</v>
      </c>
      <c r="E19" s="3488"/>
      <c r="F19" s="56"/>
      <c r="G19" s="1584"/>
      <c r="H19" s="1640" t="s">
        <v>1831</v>
      </c>
      <c r="I19" s="781" t="s">
        <v>1757</v>
      </c>
      <c r="J19" s="53">
        <f ca="1">IF(K19="按租金收入计税",ROUND(J5*M19,1),ROUND(C29*F33*0.7,1))</f>
        <v>443.8</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14458.94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792</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3036</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8973</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52829</v>
      </c>
      <c r="D29" s="2562"/>
      <c r="E29" s="2563"/>
      <c r="F29" s="2564"/>
      <c r="G29" s="1585"/>
      <c r="H29" s="820" t="s">
        <v>1786</v>
      </c>
      <c r="I29" s="821" t="s">
        <v>1787</v>
      </c>
      <c r="J29" s="822">
        <f ca="1">ROUND(J26/(1+F40)^F41,0)</f>
        <v>0</v>
      </c>
      <c r="K29" s="823" t="s">
        <v>1788</v>
      </c>
      <c r="L29" s="824"/>
      <c r="M29" s="825">
        <f ca="1">INDIRECT("'数据-取费表'!k"&amp;$G$1)</f>
        <v>99340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2174</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1074</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610</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443.8</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14458.94</v>
      </c>
      <c r="G35" s="2055"/>
      <c r="H35" s="2058"/>
      <c r="I35" s="834" t="s">
        <v>1813</v>
      </c>
      <c r="J35" s="835">
        <f ca="1">ROUND(C13*J36,0)</f>
        <v>4490</v>
      </c>
      <c r="K35" s="2071"/>
      <c r="L35" s="2070"/>
      <c r="M35" s="2070"/>
    </row>
    <row r="36" spans="1:18" ht="18" customHeight="1">
      <c r="A36" s="1641" t="s">
        <v>1888</v>
      </c>
      <c r="B36" s="781" t="s">
        <v>1767</v>
      </c>
      <c r="C36" s="53">
        <f ca="1">ROUND(C29*F36,1)</f>
        <v>792.4</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9264</v>
      </c>
      <c r="D39" s="2565" t="s">
        <v>1776</v>
      </c>
      <c r="E39" s="2566"/>
      <c r="F39" s="2567"/>
      <c r="G39" s="2055"/>
      <c r="H39" s="2070"/>
      <c r="I39" s="834" t="s">
        <v>1817</v>
      </c>
      <c r="J39" s="842">
        <f ca="1">ROUND(J35/C39,3)</f>
        <v>0.48499999999999999</v>
      </c>
      <c r="K39" s="2076"/>
      <c r="L39" s="2070"/>
      <c r="M39" s="2070"/>
    </row>
    <row r="40" spans="1:18" ht="18" customHeight="1">
      <c r="A40" s="778" t="s">
        <v>1779</v>
      </c>
      <c r="B40" s="2225" t="s">
        <v>2302</v>
      </c>
      <c r="C40" s="780">
        <f ca="1">ROUND(C39*(1-((1+F42)/(1+F40))^F41)/(F40-F42),0)</f>
        <v>200185</v>
      </c>
      <c r="D40" s="811" t="s">
        <v>1780</v>
      </c>
      <c r="E40" s="781" t="s">
        <v>2421</v>
      </c>
      <c r="F40" s="791">
        <f ca="1">INDIRECT("'数据-取费表'!I"&amp;$G$1)</f>
        <v>5.5E-2</v>
      </c>
      <c r="G40" s="2055"/>
      <c r="H40" s="2055"/>
      <c r="I40" s="834" t="s">
        <v>1818</v>
      </c>
      <c r="J40" s="842">
        <f ca="1">1-J39</f>
        <v>0.51500000000000001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0.26400000000000001</v>
      </c>
      <c r="K42" s="2075"/>
      <c r="L42" s="1981"/>
      <c r="M42" s="1981"/>
    </row>
    <row r="43" spans="1:18" ht="18" customHeight="1" thickBot="1">
      <c r="A43" s="820" t="s">
        <v>1786</v>
      </c>
      <c r="B43" s="821" t="s">
        <v>1809</v>
      </c>
      <c r="C43" s="822">
        <f ca="1">ROUND(C40*10000/F43,0)</f>
        <v>20151</v>
      </c>
      <c r="D43" s="823" t="s">
        <v>1810</v>
      </c>
      <c r="E43" s="824" t="s">
        <v>1811</v>
      </c>
      <c r="F43" s="825">
        <f ca="1">INDIRECT("'数据-取费表'!k"&amp;$G$1)</f>
        <v>99340</v>
      </c>
      <c r="G43" s="2055"/>
      <c r="H43" s="1981"/>
      <c r="I43" s="844" t="s">
        <v>1821</v>
      </c>
      <c r="J43" s="845">
        <f ca="1">1-J42</f>
        <v>0.73599999999999999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-220190</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3302</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200185</v>
      </c>
      <c r="R48" s="2416" t="s">
        <v>2382</v>
      </c>
    </row>
    <row r="49" spans="1:18" s="2052" customFormat="1" ht="18" customHeight="1" thickBot="1">
      <c r="A49" s="783"/>
      <c r="B49" s="784"/>
      <c r="C49" s="785"/>
      <c r="D49" s="786"/>
      <c r="E49" s="781" t="s">
        <v>1738</v>
      </c>
      <c r="F49" s="782">
        <f ca="1">F7</f>
        <v>99340</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52829</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78906</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200185</v>
      </c>
      <c r="R54" s="2420" t="s">
        <v>2394</v>
      </c>
    </row>
    <row r="55" spans="1:18" s="2052" customFormat="1" ht="18" customHeight="1" thickTop="1" thickBot="1">
      <c r="A55" s="794">
        <v>2</v>
      </c>
      <c r="B55" s="795" t="s">
        <v>645</v>
      </c>
      <c r="C55" s="796">
        <f ca="1">C13</f>
        <v>52829</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52829</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1336</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200185</v>
      </c>
      <c r="R57" s="2416" t="s">
        <v>2382</v>
      </c>
    </row>
    <row r="58" spans="1:18" s="2052" customFormat="1" ht="28.5" customHeight="1" thickBot="1">
      <c r="A58" s="1641" t="s">
        <v>1823</v>
      </c>
      <c r="B58" s="781" t="s">
        <v>657</v>
      </c>
      <c r="C58" s="53">
        <f ca="1">ROUND(IF(项目基本情况!B11="自然人",C47*F58,C59+C60+C61),1)</f>
        <v>464</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443.8</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14458.94</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792.4</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200185</v>
      </c>
      <c r="R63" s="2420" t="s">
        <v>2394</v>
      </c>
    </row>
    <row r="64" spans="1:18" s="2052" customFormat="1" ht="16.5" thickBot="1">
      <c r="A64" s="1641" t="s">
        <v>1889</v>
      </c>
      <c r="B64" s="781" t="s">
        <v>680</v>
      </c>
      <c r="C64" s="53">
        <f ca="1">ROUND(C55*F64,1)</f>
        <v>79.2</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-1336</v>
      </c>
      <c r="D66" s="3483" t="s">
        <v>701</v>
      </c>
      <c r="E66" s="3487"/>
      <c r="F66" s="817"/>
      <c r="K66" s="2079"/>
      <c r="O66" s="2415" t="s">
        <v>2381</v>
      </c>
      <c r="P66" s="2416" t="s">
        <v>2407</v>
      </c>
      <c r="Q66" s="2417">
        <f ca="1">C40+J29</f>
        <v>200185</v>
      </c>
      <c r="R66" s="2416" t="s">
        <v>2382</v>
      </c>
    </row>
    <row r="67" spans="1:18" s="2052" customFormat="1" ht="20.25" thickBot="1">
      <c r="A67" s="778" t="s">
        <v>1779</v>
      </c>
      <c r="B67" s="2225" t="s">
        <v>2302</v>
      </c>
      <c r="C67" s="780">
        <f ca="1">ROUND(C66*(1-((1+F69)/(1+F67))^F68)/(F67-F69),0)</f>
        <v>-20005</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78906</v>
      </c>
      <c r="R68" s="2423" t="s">
        <v>2418</v>
      </c>
    </row>
    <row r="69" spans="1:18" ht="20.25" thickBot="1">
      <c r="A69" s="787"/>
      <c r="B69" s="788"/>
      <c r="C69" s="789"/>
      <c r="D69" s="813"/>
      <c r="E69" s="781" t="s">
        <v>711</v>
      </c>
      <c r="F69" s="2364"/>
      <c r="O69" s="2418" t="s">
        <v>2386</v>
      </c>
      <c r="P69" s="2424" t="s">
        <v>2400</v>
      </c>
      <c r="Q69" s="2417">
        <f ca="1">ROUND(Q70-Q71*Q72,0)</f>
        <v>4774</v>
      </c>
      <c r="R69" s="2420"/>
    </row>
    <row r="70" spans="1:18" ht="15.75" thickBot="1">
      <c r="A70" s="820" t="s">
        <v>1786</v>
      </c>
      <c r="B70" s="821" t="s">
        <v>1809</v>
      </c>
      <c r="C70" s="822">
        <f ca="1">ROUND(C67*10000/F70,0)</f>
        <v>-2014</v>
      </c>
      <c r="D70" s="823" t="s">
        <v>1810</v>
      </c>
      <c r="E70" s="824" t="s">
        <v>1811</v>
      </c>
      <c r="F70" s="825">
        <f ca="1">F43</f>
        <v>99340</v>
      </c>
      <c r="O70" s="2418" t="s">
        <v>2401</v>
      </c>
      <c r="P70" s="2424" t="s">
        <v>2402</v>
      </c>
      <c r="Q70" s="2417">
        <f ca="1">C39</f>
        <v>9264</v>
      </c>
      <c r="R70" s="2416" t="s">
        <v>2382</v>
      </c>
    </row>
    <row r="71" spans="1:18" ht="15.75" thickBot="1">
      <c r="O71" s="2418" t="s">
        <v>2403</v>
      </c>
      <c r="P71" s="2424" t="s">
        <v>2404</v>
      </c>
      <c r="Q71" s="2417">
        <f ca="1">C13</f>
        <v>52829</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200185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4" t="s">
        <v>3301</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184324</v>
      </c>
      <c r="C2" s="2050"/>
      <c r="D2" s="2048"/>
      <c r="E2" s="2049"/>
      <c r="F2" s="2049"/>
      <c r="G2" s="1582"/>
      <c r="H2" s="2050"/>
      <c r="I2" s="2050"/>
      <c r="J2" s="2050"/>
      <c r="K2" s="2051"/>
      <c r="L2" s="2050"/>
      <c r="M2" s="2050"/>
    </row>
    <row r="3" spans="1:33" ht="18" customHeight="1" thickBot="1">
      <c r="A3" s="830" t="s">
        <v>1726</v>
      </c>
      <c r="B3" s="831">
        <f ca="1">IF(ISERROR(B2*10000/F43),0,ROUND(B2*10000/F43,0))</f>
        <v>10216</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11854</v>
      </c>
      <c r="D6" s="2514" t="s">
        <v>2465</v>
      </c>
      <c r="E6" s="781" t="s">
        <v>1737</v>
      </c>
      <c r="F6" s="782">
        <f ca="1">INDIRECT("'数据-取费表'!u"&amp;$G$1)</f>
        <v>2</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180419</v>
      </c>
      <c r="G7" s="1584"/>
      <c r="H7" s="2506"/>
      <c r="I7" s="3805"/>
      <c r="J7" s="785"/>
      <c r="K7" s="786"/>
      <c r="L7" s="781" t="s">
        <v>1738</v>
      </c>
      <c r="M7" s="782">
        <f ca="1">F7</f>
        <v>180419</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3299</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97693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60477</v>
      </c>
      <c r="D14" s="3483" t="s">
        <v>1744</v>
      </c>
      <c r="E14" s="3484"/>
      <c r="F14" s="802"/>
      <c r="G14" s="1584"/>
      <c r="H14" s="1641" t="s">
        <v>1823</v>
      </c>
      <c r="I14" s="2224" t="s">
        <v>2829</v>
      </c>
      <c r="J14" s="53">
        <f ca="1">C29</f>
        <v>97693</v>
      </c>
      <c r="K14" s="26"/>
      <c r="L14" s="798"/>
      <c r="M14" s="799"/>
    </row>
    <row r="15" spans="1:33" s="2057" customFormat="1" ht="18" customHeight="1" thickBot="1">
      <c r="A15" s="1640" t="s">
        <v>1831</v>
      </c>
      <c r="B15" s="781" t="s">
        <v>648</v>
      </c>
      <c r="C15" s="53">
        <f ca="1">ROUND(C14*F15,0)</f>
        <v>1814</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2323</v>
      </c>
      <c r="K16" s="1814" t="s">
        <v>1749</v>
      </c>
      <c r="L16" s="3485"/>
      <c r="M16" s="2508"/>
    </row>
    <row r="17" spans="1:33" s="2057" customFormat="1" ht="18" customHeight="1">
      <c r="A17" s="1640" t="s">
        <v>1886</v>
      </c>
      <c r="B17" s="781" t="s">
        <v>654</v>
      </c>
      <c r="C17" s="53">
        <f ca="1">ROUND(F17*(F43+INDIRECT("'数据-取费表'!S"&amp;$G$1))/10000,0)</f>
        <v>3858</v>
      </c>
      <c r="D17" s="781" t="s">
        <v>1750</v>
      </c>
      <c r="E17" s="781" t="s">
        <v>1751</v>
      </c>
      <c r="F17" s="56">
        <f>'数据-取费表'!B35</f>
        <v>200</v>
      </c>
      <c r="G17" s="1585"/>
      <c r="H17" s="1641" t="s">
        <v>1823</v>
      </c>
      <c r="I17" s="781" t="s">
        <v>657</v>
      </c>
      <c r="J17" s="53">
        <f ca="1">ROUND(IF(项目基本情况!B11="自然人",J5*M17,J18+J19+J20),0)</f>
        <v>858</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907</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67056</v>
      </c>
      <c r="D19" s="259" t="s">
        <v>1756</v>
      </c>
      <c r="E19" s="3488"/>
      <c r="F19" s="56"/>
      <c r="G19" s="1584"/>
      <c r="H19" s="1640" t="s">
        <v>1831</v>
      </c>
      <c r="I19" s="781" t="s">
        <v>1757</v>
      </c>
      <c r="J19" s="53">
        <f ca="1">IF(K19="按租金收入计税",ROUND(J5*M19,1),ROUND(C29*F33*0.7,1))</f>
        <v>820.6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2012</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26260</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1465</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5843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-2323</v>
      </c>
      <c r="K25" s="2565" t="s">
        <v>1776</v>
      </c>
      <c r="L25" s="2566"/>
      <c r="M25" s="2567"/>
    </row>
    <row r="26" spans="1:33" ht="18" customHeight="1">
      <c r="A26" s="1640" t="s">
        <v>1830</v>
      </c>
      <c r="B26" s="781" t="s">
        <v>2440</v>
      </c>
      <c r="C26" s="53">
        <f ca="1">ROUND((C19+C20)*F26,0)</f>
        <v>13814</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97693</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3340</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1490.5</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820.6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36.799999999999997</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26260</v>
      </c>
      <c r="G35" s="2055"/>
      <c r="H35" s="2058"/>
      <c r="I35" s="834" t="s">
        <v>1813</v>
      </c>
      <c r="J35" s="835">
        <f ca="1">ROUND(C13*J36,0)</f>
        <v>8304</v>
      </c>
      <c r="K35" s="2071"/>
      <c r="L35" s="2070"/>
      <c r="M35" s="2070"/>
    </row>
    <row r="36" spans="1:18" ht="18" customHeight="1">
      <c r="A36" s="1641" t="s">
        <v>1888</v>
      </c>
      <c r="B36" s="781" t="s">
        <v>1767</v>
      </c>
      <c r="C36" s="53">
        <f ca="1">ROUND(C29*F36,1)</f>
        <v>1465.4</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146.5</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8530</v>
      </c>
      <c r="D39" s="2565" t="s">
        <v>1776</v>
      </c>
      <c r="E39" s="2566"/>
      <c r="F39" s="2567"/>
      <c r="G39" s="2055"/>
      <c r="H39" s="2070"/>
      <c r="I39" s="834" t="s">
        <v>1817</v>
      </c>
      <c r="J39" s="842">
        <f ca="1">ROUND(J35/C39,3)</f>
        <v>0.97399999999999998</v>
      </c>
      <c r="K39" s="2076"/>
      <c r="L39" s="2070"/>
      <c r="M39" s="2070"/>
    </row>
    <row r="40" spans="1:18" ht="18" customHeight="1">
      <c r="A40" s="778" t="s">
        <v>1779</v>
      </c>
      <c r="B40" s="2225" t="s">
        <v>2302</v>
      </c>
      <c r="C40" s="780">
        <f ca="1">ROUND(C39*(1-((1+F42)/(1+F40))^F41)/(F40-F42),0)</f>
        <v>184324</v>
      </c>
      <c r="D40" s="811" t="s">
        <v>1780</v>
      </c>
      <c r="E40" s="781" t="s">
        <v>2421</v>
      </c>
      <c r="F40" s="791">
        <f ca="1">INDIRECT("'数据-取费表'!I"&amp;$G$1)</f>
        <v>5.5E-2</v>
      </c>
      <c r="G40" s="2055"/>
      <c r="H40" s="2055"/>
      <c r="I40" s="834" t="s">
        <v>1818</v>
      </c>
      <c r="J40" s="842">
        <f ca="1">1-J39</f>
        <v>2.6000000000000023E-2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v>
      </c>
      <c r="K42" s="2075"/>
      <c r="L42" s="1981"/>
      <c r="M42" s="1981"/>
    </row>
    <row r="43" spans="1:18" ht="18" customHeight="1" thickBot="1">
      <c r="A43" s="820" t="s">
        <v>1786</v>
      </c>
      <c r="B43" s="821" t="s">
        <v>1809</v>
      </c>
      <c r="C43" s="822">
        <f ca="1">ROUND(C40*10000/F43,0)</f>
        <v>10216</v>
      </c>
      <c r="D43" s="823" t="s">
        <v>1810</v>
      </c>
      <c r="E43" s="824" t="s">
        <v>1811</v>
      </c>
      <c r="F43" s="825">
        <f ca="1">INDIRECT("'数据-取费表'!k"&amp;$G$1)</f>
        <v>180419</v>
      </c>
      <c r="G43" s="2055"/>
      <c r="H43" s="1981"/>
      <c r="I43" s="844" t="s">
        <v>1821</v>
      </c>
      <c r="J43" s="845">
        <f ca="1">1-J42</f>
        <v>0.47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-221294</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3302</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184324</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97693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3737</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184324</v>
      </c>
      <c r="R54" s="2420" t="s">
        <v>2394</v>
      </c>
    </row>
    <row r="55" spans="1:18" s="2052" customFormat="1" ht="18" customHeight="1" thickTop="1" thickBot="1">
      <c r="A55" s="794">
        <v>2</v>
      </c>
      <c r="B55" s="795" t="s">
        <v>645</v>
      </c>
      <c r="C55" s="796">
        <f ca="1">C13</f>
        <v>97693</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97693</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2469</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184324</v>
      </c>
      <c r="R57" s="2416" t="s">
        <v>2382</v>
      </c>
    </row>
    <row r="58" spans="1:18" s="2052" customFormat="1" ht="28.5" customHeight="1" thickBot="1">
      <c r="A58" s="1641" t="s">
        <v>1823</v>
      </c>
      <c r="B58" s="781" t="s">
        <v>657</v>
      </c>
      <c r="C58" s="53">
        <f ca="1">ROUND(IF(项目基本情况!B11="自然人",C47*F58,C59+C60+C61),1)</f>
        <v>857.4</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820.6</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36.799999999999997</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26260</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1465.4</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184324</v>
      </c>
      <c r="R63" s="2420" t="s">
        <v>2394</v>
      </c>
    </row>
    <row r="64" spans="1:18" s="2052" customFormat="1" ht="16.5" thickBot="1">
      <c r="A64" s="1641" t="s">
        <v>1889</v>
      </c>
      <c r="B64" s="781" t="s">
        <v>680</v>
      </c>
      <c r="C64" s="53">
        <f ca="1">ROUND(C55*F64,1)</f>
        <v>146.5</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-2469</v>
      </c>
      <c r="D66" s="3483" t="s">
        <v>701</v>
      </c>
      <c r="E66" s="3487"/>
      <c r="F66" s="817"/>
      <c r="K66" s="2079"/>
      <c r="O66" s="2415" t="s">
        <v>2381</v>
      </c>
      <c r="P66" s="2416" t="s">
        <v>2407</v>
      </c>
      <c r="Q66" s="2417">
        <f ca="1">C40+J29</f>
        <v>184324</v>
      </c>
      <c r="R66" s="2416" t="s">
        <v>2382</v>
      </c>
    </row>
    <row r="67" spans="1:18" s="2052" customFormat="1" ht="20.25" thickBot="1">
      <c r="A67" s="778" t="s">
        <v>1779</v>
      </c>
      <c r="B67" s="2225" t="s">
        <v>2302</v>
      </c>
      <c r="C67" s="780">
        <f ca="1">ROUND(C66*(1-((1+F69)/(1+F67))^F68)/(F67-F69),0)</f>
        <v>-36970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3737</v>
      </c>
      <c r="R68" s="2423" t="s">
        <v>2418</v>
      </c>
    </row>
    <row r="69" spans="1:18" ht="20.25" thickBot="1">
      <c r="A69" s="787"/>
      <c r="B69" s="788"/>
      <c r="C69" s="789"/>
      <c r="D69" s="813"/>
      <c r="E69" s="781" t="s">
        <v>711</v>
      </c>
      <c r="F69" s="2364"/>
      <c r="O69" s="2418" t="s">
        <v>2386</v>
      </c>
      <c r="P69" s="2424" t="s">
        <v>2400</v>
      </c>
      <c r="Q69" s="2417">
        <f ca="1">ROUND(Q70-Q71*Q72,0)</f>
        <v>226</v>
      </c>
      <c r="R69" s="2420"/>
    </row>
    <row r="70" spans="1:18" ht="15.75" thickBot="1">
      <c r="A70" s="820" t="s">
        <v>1786</v>
      </c>
      <c r="B70" s="821" t="s">
        <v>1809</v>
      </c>
      <c r="C70" s="822">
        <f ca="1">ROUND(C67*10000/F70,0)</f>
        <v>-2049</v>
      </c>
      <c r="D70" s="823" t="s">
        <v>1810</v>
      </c>
      <c r="E70" s="824" t="s">
        <v>1811</v>
      </c>
      <c r="F70" s="825">
        <f ca="1">F43</f>
        <v>180419</v>
      </c>
      <c r="O70" s="2418" t="s">
        <v>2401</v>
      </c>
      <c r="P70" s="2424" t="s">
        <v>2402</v>
      </c>
      <c r="Q70" s="2417">
        <f ca="1">C39</f>
        <v>8530</v>
      </c>
      <c r="R70" s="2416" t="s">
        <v>2382</v>
      </c>
    </row>
    <row r="71" spans="1:18" ht="15.75" thickBot="1">
      <c r="O71" s="2418" t="s">
        <v>2403</v>
      </c>
      <c r="P71" s="2424" t="s">
        <v>2404</v>
      </c>
      <c r="Q71" s="2417">
        <f ca="1">C13</f>
        <v>97693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184324</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36" t="s">
        <v>523</v>
      </c>
      <c r="D4" s="3737"/>
      <c r="E4" s="3771" t="s">
        <v>524</v>
      </c>
      <c r="F4" s="3772"/>
      <c r="G4" s="3736" t="s">
        <v>525</v>
      </c>
      <c r="H4" s="3737"/>
      <c r="I4" s="3736" t="s">
        <v>526</v>
      </c>
      <c r="J4" s="3737"/>
      <c r="K4" s="512"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4" t="s">
        <v>525</v>
      </c>
      <c r="AC4" s="3733" t="s">
        <v>526</v>
      </c>
    </row>
    <row r="5" spans="1:29" ht="15">
      <c r="A5" s="513"/>
      <c r="B5" s="514"/>
      <c r="C5" s="3752" t="s">
        <v>2929</v>
      </c>
      <c r="D5" s="3753"/>
      <c r="E5" s="3773" t="s">
        <v>2930</v>
      </c>
      <c r="F5" s="3774"/>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61" t="s">
        <v>531</v>
      </c>
      <c r="Q7" s="3763"/>
      <c r="R7" s="1560" t="s">
        <v>8</v>
      </c>
      <c r="S7" s="1561">
        <f t="shared" ref="S7:S15" si="0">F7</f>
        <v>0</v>
      </c>
      <c r="T7" s="1560" t="s">
        <v>8</v>
      </c>
      <c r="U7" s="1561">
        <f t="shared" ref="U7:U15" si="1">H7</f>
        <v>0</v>
      </c>
      <c r="V7" s="1560" t="s">
        <v>8</v>
      </c>
      <c r="W7" s="1561">
        <f t="shared" ref="W7:W15"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30"/>
      <c r="Q11" s="1144" t="str">
        <f t="shared" si="6"/>
        <v>容积率</v>
      </c>
      <c r="R11" s="1560" t="s">
        <v>8</v>
      </c>
      <c r="S11" s="1561" t="e">
        <f t="shared" si="0"/>
        <v>#N/A</v>
      </c>
      <c r="T11" s="1560" t="s">
        <v>8</v>
      </c>
      <c r="U11" s="1561" t="e">
        <f t="shared" si="1"/>
        <v>#N/A</v>
      </c>
      <c r="V11" s="1560" t="s">
        <v>8</v>
      </c>
      <c r="W11" s="1561" t="e">
        <f t="shared" si="2"/>
        <v>#N/A</v>
      </c>
      <c r="X11" s="1562"/>
      <c r="Y11" s="3676"/>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64" t="s">
        <v>541</v>
      </c>
      <c r="Q15" s="1564" t="str">
        <f t="shared" si="6"/>
        <v>产业集聚程度</v>
      </c>
      <c r="R15" s="1565" t="s">
        <v>8</v>
      </c>
      <c r="S15" s="1566">
        <f t="shared" si="0"/>
        <v>100</v>
      </c>
      <c r="T15" s="1565" t="s">
        <v>8</v>
      </c>
      <c r="U15" s="1566">
        <f t="shared" si="1"/>
        <v>100</v>
      </c>
      <c r="V15" s="1565" t="s">
        <v>8</v>
      </c>
      <c r="W15" s="1566">
        <f t="shared" si="2"/>
        <v>100</v>
      </c>
      <c r="X15" s="1559"/>
      <c r="Y15" s="3764"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65"/>
      <c r="Q16" s="1564"/>
      <c r="R16" s="1565"/>
      <c r="S16" s="1566"/>
      <c r="T16" s="1565"/>
      <c r="U16" s="1566"/>
      <c r="V16" s="1565"/>
      <c r="W16" s="1566"/>
      <c r="X16" s="1559"/>
      <c r="Y16" s="3765"/>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65"/>
      <c r="Q18" s="1564"/>
      <c r="R18" s="1565"/>
      <c r="S18" s="1566"/>
      <c r="T18" s="1565"/>
      <c r="U18" s="1566"/>
      <c r="V18" s="1565"/>
      <c r="W18" s="1566"/>
      <c r="X18" s="1559"/>
      <c r="Y18" s="3765"/>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65"/>
      <c r="Q20" s="1564"/>
      <c r="R20" s="1565"/>
      <c r="S20" s="1566"/>
      <c r="T20" s="1565"/>
      <c r="U20" s="1566"/>
      <c r="V20" s="1565"/>
      <c r="W20" s="1566"/>
      <c r="X20" s="1559"/>
      <c r="Y20" s="3765"/>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65"/>
      <c r="Q22" s="2596"/>
      <c r="R22" s="1565"/>
      <c r="S22" s="1566"/>
      <c r="T22" s="1565"/>
      <c r="U22" s="1566"/>
      <c r="V22" s="1565"/>
      <c r="W22" s="1566"/>
      <c r="X22" s="2598"/>
      <c r="Y22" s="3765"/>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65"/>
      <c r="Q23" s="1564" t="str">
        <f>B23</f>
        <v>环境质量</v>
      </c>
      <c r="R23" s="1565" t="s">
        <v>8</v>
      </c>
      <c r="S23" s="1566">
        <f>F23</f>
        <v>100</v>
      </c>
      <c r="T23" s="1565" t="s">
        <v>8</v>
      </c>
      <c r="U23" s="1566">
        <f>H23</f>
        <v>100</v>
      </c>
      <c r="V23" s="1565" t="s">
        <v>8</v>
      </c>
      <c r="W23" s="1566">
        <f>J23</f>
        <v>100</v>
      </c>
      <c r="X23" s="1559"/>
      <c r="Y23" s="3765"/>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65"/>
      <c r="Q25" s="1564">
        <f>B25</f>
        <v>111</v>
      </c>
      <c r="R25" s="1565" t="s">
        <v>8</v>
      </c>
      <c r="S25" s="1566">
        <f>F25</f>
        <v>100</v>
      </c>
      <c r="T25" s="1565" t="s">
        <v>8</v>
      </c>
      <c r="U25" s="1566">
        <f>H25</f>
        <v>100</v>
      </c>
      <c r="V25" s="1565" t="s">
        <v>8</v>
      </c>
      <c r="W25" s="1566">
        <f>J25</f>
        <v>100</v>
      </c>
      <c r="X25" s="1559"/>
      <c r="Y25" s="3765"/>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65"/>
      <c r="Q26" s="1564">
        <f t="shared" ref="Q26:Q40" si="11">B26</f>
        <v>111</v>
      </c>
      <c r="R26" s="1565" t="s">
        <v>8</v>
      </c>
      <c r="S26" s="1566">
        <f>F26</f>
        <v>100</v>
      </c>
      <c r="T26" s="1565" t="s">
        <v>8</v>
      </c>
      <c r="U26" s="1566">
        <f>H26</f>
        <v>100</v>
      </c>
      <c r="V26" s="1565" t="s">
        <v>8</v>
      </c>
      <c r="W26" s="1566">
        <f>J26</f>
        <v>100</v>
      </c>
      <c r="X26" s="1559"/>
      <c r="Y26" s="3765"/>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65"/>
      <c r="Q27" s="1144">
        <f t="shared" si="11"/>
        <v>111</v>
      </c>
      <c r="R27" s="1560" t="s">
        <v>8</v>
      </c>
      <c r="S27" s="1561">
        <f>F27</f>
        <v>100</v>
      </c>
      <c r="T27" s="1560" t="s">
        <v>8</v>
      </c>
      <c r="U27" s="1561">
        <f>H27</f>
        <v>100</v>
      </c>
      <c r="V27" s="1560" t="s">
        <v>8</v>
      </c>
      <c r="W27" s="1561">
        <f>J27</f>
        <v>100</v>
      </c>
      <c r="X27" s="1562"/>
      <c r="Y27" s="3765"/>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65"/>
      <c r="Q28" s="1564">
        <f t="shared" si="11"/>
        <v>111</v>
      </c>
      <c r="R28" s="1565" t="s">
        <v>8</v>
      </c>
      <c r="S28" s="1566">
        <f t="shared" ref="S28:S40" si="12">F28</f>
        <v>100</v>
      </c>
      <c r="T28" s="1565" t="s">
        <v>8</v>
      </c>
      <c r="U28" s="1566">
        <f t="shared" ref="U28:U40" si="13">H28</f>
        <v>100</v>
      </c>
      <c r="V28" s="1565" t="s">
        <v>8</v>
      </c>
      <c r="W28" s="1566">
        <f t="shared" ref="W28:W40" si="14">J28</f>
        <v>100</v>
      </c>
      <c r="X28" s="1559"/>
      <c r="Y28" s="3765"/>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66" t="s">
        <v>551</v>
      </c>
      <c r="Q29" s="1564" t="str">
        <f t="shared" si="11"/>
        <v>建筑类型</v>
      </c>
      <c r="R29" s="1565" t="s">
        <v>8</v>
      </c>
      <c r="S29" s="1566">
        <f t="shared" si="12"/>
        <v>100</v>
      </c>
      <c r="T29" s="1565" t="s">
        <v>8</v>
      </c>
      <c r="U29" s="1566">
        <f t="shared" si="13"/>
        <v>100</v>
      </c>
      <c r="V29" s="1565" t="s">
        <v>8</v>
      </c>
      <c r="W29" s="1566">
        <f t="shared" si="14"/>
        <v>100</v>
      </c>
      <c r="X29" s="1559"/>
      <c r="Y29" s="3767"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67"/>
      <c r="Q30" s="1597" t="str">
        <f t="shared" si="11"/>
        <v>项目建筑规模</v>
      </c>
      <c r="R30" s="1569" t="s">
        <v>8</v>
      </c>
      <c r="S30" s="1570" t="e">
        <f t="shared" si="12"/>
        <v>#N/A</v>
      </c>
      <c r="T30" s="1569" t="s">
        <v>8</v>
      </c>
      <c r="U30" s="1570" t="e">
        <f t="shared" si="13"/>
        <v>#N/A</v>
      </c>
      <c r="V30" s="1569" t="s">
        <v>8</v>
      </c>
      <c r="W30" s="1570" t="e">
        <f t="shared" si="14"/>
        <v>#N/A</v>
      </c>
      <c r="X30" s="1571"/>
      <c r="Y30" s="3767"/>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67"/>
      <c r="Q31" s="1564" t="str">
        <f t="shared" si="11"/>
        <v>建筑结构</v>
      </c>
      <c r="R31" s="1565" t="s">
        <v>8</v>
      </c>
      <c r="S31" s="1566">
        <f t="shared" si="12"/>
        <v>100</v>
      </c>
      <c r="T31" s="1565" t="s">
        <v>8</v>
      </c>
      <c r="U31" s="1566">
        <f t="shared" si="13"/>
        <v>100</v>
      </c>
      <c r="V31" s="1565" t="s">
        <v>8</v>
      </c>
      <c r="W31" s="1566">
        <f t="shared" si="14"/>
        <v>100</v>
      </c>
      <c r="X31" s="1559"/>
      <c r="Y31" s="3767"/>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67"/>
      <c r="Q32" s="1564" t="str">
        <f t="shared" si="11"/>
        <v>公共部分装修</v>
      </c>
      <c r="R32" s="1565" t="s">
        <v>8</v>
      </c>
      <c r="S32" s="1566">
        <f t="shared" si="12"/>
        <v>100</v>
      </c>
      <c r="T32" s="1565" t="s">
        <v>8</v>
      </c>
      <c r="U32" s="1566">
        <f t="shared" si="13"/>
        <v>100</v>
      </c>
      <c r="V32" s="1565" t="s">
        <v>8</v>
      </c>
      <c r="W32" s="1566">
        <f t="shared" si="14"/>
        <v>100</v>
      </c>
      <c r="X32" s="1559"/>
      <c r="Y32" s="3767"/>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67"/>
      <c r="Q33" s="1564" t="str">
        <f t="shared" si="11"/>
        <v>成新度</v>
      </c>
      <c r="R33" s="1565" t="s">
        <v>8</v>
      </c>
      <c r="S33" s="1566" t="e">
        <f t="shared" si="12"/>
        <v>#N/A</v>
      </c>
      <c r="T33" s="1565" t="s">
        <v>8</v>
      </c>
      <c r="U33" s="1566" t="e">
        <f t="shared" si="13"/>
        <v>#N/A</v>
      </c>
      <c r="V33" s="1565" t="s">
        <v>8</v>
      </c>
      <c r="W33" s="1566" t="e">
        <f t="shared" si="14"/>
        <v>#N/A</v>
      </c>
      <c r="X33" s="1559"/>
      <c r="Y33" s="3767"/>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67"/>
      <c r="Q34" s="1144" t="str">
        <f t="shared" si="11"/>
        <v>物业管理</v>
      </c>
      <c r="R34" s="1560" t="s">
        <v>8</v>
      </c>
      <c r="S34" s="1561">
        <f t="shared" si="12"/>
        <v>100</v>
      </c>
      <c r="T34" s="1560" t="s">
        <v>8</v>
      </c>
      <c r="U34" s="1561">
        <f t="shared" si="13"/>
        <v>100</v>
      </c>
      <c r="V34" s="1560" t="s">
        <v>8</v>
      </c>
      <c r="W34" s="1561">
        <f t="shared" si="14"/>
        <v>100</v>
      </c>
      <c r="X34" s="1562"/>
      <c r="Y34" s="3767"/>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67" t="s">
        <v>551</v>
      </c>
      <c r="Q35" s="1564" t="str">
        <f t="shared" si="11"/>
        <v>市政基础设施</v>
      </c>
      <c r="R35" s="1565" t="s">
        <v>8</v>
      </c>
      <c r="S35" s="1566">
        <f t="shared" si="12"/>
        <v>100</v>
      </c>
      <c r="T35" s="1565" t="s">
        <v>8</v>
      </c>
      <c r="U35" s="1566">
        <f t="shared" si="13"/>
        <v>100</v>
      </c>
      <c r="V35" s="1565" t="s">
        <v>8</v>
      </c>
      <c r="W35" s="1566">
        <f t="shared" si="14"/>
        <v>100</v>
      </c>
      <c r="X35" s="1559"/>
      <c r="Y35" s="3767"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67"/>
      <c r="Q36" s="1564" t="str">
        <f t="shared" si="11"/>
        <v>内部装修</v>
      </c>
      <c r="R36" s="1565" t="s">
        <v>8</v>
      </c>
      <c r="S36" s="1566">
        <f t="shared" si="12"/>
        <v>100</v>
      </c>
      <c r="T36" s="1565" t="s">
        <v>8</v>
      </c>
      <c r="U36" s="1566">
        <f t="shared" si="13"/>
        <v>100</v>
      </c>
      <c r="V36" s="1565" t="s">
        <v>8</v>
      </c>
      <c r="W36" s="1566">
        <f t="shared" si="14"/>
        <v>100</v>
      </c>
      <c r="X36" s="1559"/>
      <c r="Y36" s="3767"/>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67"/>
      <c r="Q37" s="1564" t="str">
        <f t="shared" si="11"/>
        <v>内部装修状况</v>
      </c>
      <c r="R37" s="1565" t="s">
        <v>8</v>
      </c>
      <c r="S37" s="1566">
        <f t="shared" si="12"/>
        <v>100</v>
      </c>
      <c r="T37" s="1565" t="s">
        <v>8</v>
      </c>
      <c r="U37" s="1566">
        <f t="shared" si="13"/>
        <v>100</v>
      </c>
      <c r="V37" s="1565" t="s">
        <v>8</v>
      </c>
      <c r="W37" s="1566">
        <f t="shared" si="14"/>
        <v>100</v>
      </c>
      <c r="X37" s="1559"/>
      <c r="Y37" s="3767"/>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67"/>
      <c r="Q38" s="1597">
        <f t="shared" si="11"/>
        <v>111</v>
      </c>
      <c r="R38" s="1569" t="s">
        <v>8</v>
      </c>
      <c r="S38" s="1570">
        <f t="shared" si="12"/>
        <v>100</v>
      </c>
      <c r="T38" s="1569" t="s">
        <v>8</v>
      </c>
      <c r="U38" s="1570">
        <f t="shared" si="13"/>
        <v>100</v>
      </c>
      <c r="V38" s="1569" t="s">
        <v>8</v>
      </c>
      <c r="W38" s="1570">
        <f t="shared" si="14"/>
        <v>100</v>
      </c>
      <c r="X38" s="1571"/>
      <c r="Y38" s="3767"/>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67"/>
      <c r="Q39" s="1564">
        <f t="shared" si="11"/>
        <v>111</v>
      </c>
      <c r="R39" s="1565" t="s">
        <v>8</v>
      </c>
      <c r="S39" s="1566">
        <f t="shared" si="12"/>
        <v>100</v>
      </c>
      <c r="T39" s="1565" t="s">
        <v>8</v>
      </c>
      <c r="U39" s="1566">
        <f t="shared" si="13"/>
        <v>100</v>
      </c>
      <c r="V39" s="1565" t="s">
        <v>8</v>
      </c>
      <c r="W39" s="1566">
        <f t="shared" si="14"/>
        <v>100</v>
      </c>
      <c r="X39" s="1559"/>
      <c r="Y39" s="3767"/>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3"/>
      <c r="Q40" s="1564">
        <f t="shared" si="11"/>
        <v>111</v>
      </c>
      <c r="R40" s="1565" t="s">
        <v>8</v>
      </c>
      <c r="S40" s="1566">
        <f t="shared" si="12"/>
        <v>100</v>
      </c>
      <c r="T40" s="1565" t="s">
        <v>8</v>
      </c>
      <c r="U40" s="1566">
        <f t="shared" si="13"/>
        <v>100</v>
      </c>
      <c r="V40" s="1565" t="s">
        <v>8</v>
      </c>
      <c r="W40" s="1566">
        <f t="shared" si="14"/>
        <v>100</v>
      </c>
      <c r="X40" s="1559"/>
      <c r="Y40" s="3843"/>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30" t="str">
        <f>A41</f>
        <v>成交单价（元/平方米）</v>
      </c>
      <c r="Q41" s="3730"/>
      <c r="R41" s="3842">
        <f>E41</f>
        <v>0</v>
      </c>
      <c r="S41" s="3842"/>
      <c r="T41" s="3842">
        <f>G41</f>
        <v>0</v>
      </c>
      <c r="U41" s="3842"/>
      <c r="V41" s="3842">
        <f>I41</f>
        <v>0</v>
      </c>
      <c r="W41" s="3842"/>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30" t="str">
        <f>A42</f>
        <v>比较价格（元/平方米）</v>
      </c>
      <c r="Q42" s="3730"/>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27" t="str">
        <f>A43</f>
        <v>估价对象XX用房的比较价格（楼面单价，元/平方米）</v>
      </c>
      <c r="Q43" s="3728"/>
      <c r="R43" s="3841" t="e">
        <f>IF(F1="售价",ROUND(AVERAGE(R42:V42),0),ROUND(AVERAGE(R42:V42),1))</f>
        <v>#DIV/0!</v>
      </c>
      <c r="S43" s="3841"/>
      <c r="T43" s="3841"/>
      <c r="U43" s="3841"/>
      <c r="V43" s="3841"/>
      <c r="W43" s="3841"/>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6" t="s">
        <v>799</v>
      </c>
      <c r="D4" s="3737"/>
      <c r="E4" s="3736" t="s">
        <v>800</v>
      </c>
      <c r="F4" s="3737"/>
      <c r="G4" s="3736" t="s">
        <v>801</v>
      </c>
      <c r="H4" s="3737"/>
      <c r="I4" s="3736" t="s">
        <v>802</v>
      </c>
      <c r="J4" s="3737"/>
      <c r="K4" s="512" t="s">
        <v>803</v>
      </c>
      <c r="L4" s="2126"/>
      <c r="M4" s="2127"/>
      <c r="N4" s="2127"/>
      <c r="O4" s="2127"/>
      <c r="P4" s="3738" t="s">
        <v>804</v>
      </c>
      <c r="Q4" s="3739"/>
      <c r="R4" s="3744" t="s">
        <v>800</v>
      </c>
      <c r="S4" s="3745"/>
      <c r="T4" s="3744" t="s">
        <v>801</v>
      </c>
      <c r="U4" s="3745"/>
      <c r="V4" s="3731" t="s">
        <v>802</v>
      </c>
      <c r="W4" s="3731"/>
      <c r="X4" s="1559"/>
      <c r="Y4" s="3744" t="s">
        <v>804</v>
      </c>
      <c r="Z4" s="3745"/>
      <c r="AA4" s="3733" t="s">
        <v>800</v>
      </c>
      <c r="AB4" s="3734" t="s">
        <v>801</v>
      </c>
      <c r="AC4" s="3733" t="s">
        <v>802</v>
      </c>
    </row>
    <row r="5" spans="1:29" ht="15">
      <c r="A5" s="513"/>
      <c r="B5" s="514"/>
      <c r="C5" s="3752" t="s">
        <v>2929</v>
      </c>
      <c r="D5" s="3753"/>
      <c r="E5" s="3752" t="s">
        <v>2930</v>
      </c>
      <c r="F5" s="3753"/>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54" t="s">
        <v>2933</v>
      </c>
      <c r="F6" s="3755"/>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61" t="s">
        <v>531</v>
      </c>
      <c r="Q7" s="3763"/>
      <c r="R7" s="1560" t="s">
        <v>8</v>
      </c>
      <c r="S7" s="1561">
        <f t="shared" ref="S7:S14" si="0">F7</f>
        <v>0</v>
      </c>
      <c r="T7" s="1560" t="s">
        <v>8</v>
      </c>
      <c r="U7" s="1561">
        <f t="shared" ref="U7:U14" si="1">H7</f>
        <v>0</v>
      </c>
      <c r="V7" s="1560" t="s">
        <v>8</v>
      </c>
      <c r="W7" s="1561">
        <f t="shared" ref="W7:W14"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30" t="s">
        <v>536</v>
      </c>
      <c r="Q9" s="1144" t="str">
        <f t="shared" ref="Q9:Q14" si="6">B9</f>
        <v>用途</v>
      </c>
      <c r="R9" s="1560" t="s">
        <v>8</v>
      </c>
      <c r="S9" s="1561">
        <f t="shared" si="0"/>
        <v>100</v>
      </c>
      <c r="T9" s="1560" t="s">
        <v>8</v>
      </c>
      <c r="U9" s="1561">
        <f t="shared" si="1"/>
        <v>100</v>
      </c>
      <c r="V9" s="1560" t="s">
        <v>8</v>
      </c>
      <c r="W9" s="1561">
        <f t="shared" si="2"/>
        <v>100</v>
      </c>
      <c r="X9" s="1562"/>
      <c r="Y9" s="3676"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30"/>
      <c r="Q11" s="1144">
        <f t="shared" si="6"/>
        <v>111</v>
      </c>
      <c r="R11" s="1560" t="s">
        <v>8</v>
      </c>
      <c r="S11" s="1561">
        <f t="shared" si="0"/>
        <v>100</v>
      </c>
      <c r="T11" s="1560" t="s">
        <v>8</v>
      </c>
      <c r="U11" s="1561">
        <f t="shared" si="1"/>
        <v>100</v>
      </c>
      <c r="V11" s="1560" t="s">
        <v>8</v>
      </c>
      <c r="W11" s="1561">
        <f t="shared" si="2"/>
        <v>100</v>
      </c>
      <c r="X11" s="1562"/>
      <c r="Y11" s="3676"/>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64" t="s">
        <v>541</v>
      </c>
      <c r="Q14" s="1564" t="str">
        <f t="shared" si="6"/>
        <v>交通便捷度</v>
      </c>
      <c r="R14" s="1565" t="s">
        <v>8</v>
      </c>
      <c r="S14" s="1566">
        <f t="shared" si="0"/>
        <v>100</v>
      </c>
      <c r="T14" s="1565" t="s">
        <v>8</v>
      </c>
      <c r="U14" s="1566">
        <f t="shared" si="1"/>
        <v>100</v>
      </c>
      <c r="V14" s="1565" t="s">
        <v>8</v>
      </c>
      <c r="W14" s="1566">
        <f t="shared" si="2"/>
        <v>100</v>
      </c>
      <c r="X14" s="1559"/>
      <c r="Y14" s="3764"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65"/>
      <c r="Q15" s="1564"/>
      <c r="R15" s="1565"/>
      <c r="S15" s="1566"/>
      <c r="T15" s="1565"/>
      <c r="U15" s="1566"/>
      <c r="V15" s="1565"/>
      <c r="W15" s="1566"/>
      <c r="X15" s="1559"/>
      <c r="Y15" s="3765"/>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65"/>
      <c r="Q16" s="1564" t="str">
        <f>B16</f>
        <v>公共配套设施</v>
      </c>
      <c r="R16" s="1565" t="s">
        <v>8</v>
      </c>
      <c r="S16" s="1566">
        <f>F16</f>
        <v>100</v>
      </c>
      <c r="T16" s="1565" t="s">
        <v>8</v>
      </c>
      <c r="U16" s="1566">
        <f>H16</f>
        <v>100</v>
      </c>
      <c r="V16" s="1565" t="s">
        <v>8</v>
      </c>
      <c r="W16" s="1566">
        <f>J16</f>
        <v>100</v>
      </c>
      <c r="X16" s="1559"/>
      <c r="Y16" s="3765"/>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65"/>
      <c r="Q17" s="1564"/>
      <c r="R17" s="1565"/>
      <c r="S17" s="1566"/>
      <c r="T17" s="1565"/>
      <c r="U17" s="1566"/>
      <c r="V17" s="1565"/>
      <c r="W17" s="1566"/>
      <c r="X17" s="1559"/>
      <c r="Y17" s="3765"/>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65"/>
      <c r="Q18" s="2596" t="str">
        <f>B18</f>
        <v>基础设施水平</v>
      </c>
      <c r="R18" s="1565" t="s">
        <v>8</v>
      </c>
      <c r="S18" s="1566">
        <f>F18</f>
        <v>100</v>
      </c>
      <c r="T18" s="1565" t="s">
        <v>8</v>
      </c>
      <c r="U18" s="1566">
        <f>H18</f>
        <v>100</v>
      </c>
      <c r="V18" s="1565" t="s">
        <v>8</v>
      </c>
      <c r="W18" s="1566">
        <f>J18</f>
        <v>100</v>
      </c>
      <c r="X18" s="2598"/>
      <c r="Y18" s="3765"/>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65"/>
      <c r="Q19" s="2596"/>
      <c r="R19" s="1565"/>
      <c r="S19" s="1566"/>
      <c r="T19" s="1565"/>
      <c r="U19" s="1566"/>
      <c r="V19" s="1565"/>
      <c r="W19" s="1566"/>
      <c r="X19" s="2598"/>
      <c r="Y19" s="3765"/>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65"/>
      <c r="Q20" s="1564" t="str">
        <f>B20</f>
        <v>自然及人文环境</v>
      </c>
      <c r="R20" s="1565" t="s">
        <v>8</v>
      </c>
      <c r="S20" s="1566">
        <f>F20</f>
        <v>100</v>
      </c>
      <c r="T20" s="1565" t="s">
        <v>8</v>
      </c>
      <c r="U20" s="1566">
        <f>H20</f>
        <v>100</v>
      </c>
      <c r="V20" s="1565" t="s">
        <v>8</v>
      </c>
      <c r="W20" s="1566">
        <f>J20</f>
        <v>100</v>
      </c>
      <c r="X20" s="1559"/>
      <c r="Y20" s="3765"/>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65"/>
      <c r="Q21" s="1564"/>
      <c r="R21" s="1565"/>
      <c r="S21" s="1566"/>
      <c r="T21" s="1565"/>
      <c r="U21" s="1566"/>
      <c r="V21" s="1565"/>
      <c r="W21" s="1566"/>
      <c r="X21" s="1559"/>
      <c r="Y21" s="3765"/>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65"/>
      <c r="Q22" s="1564" t="str">
        <f>B22</f>
        <v>楼层</v>
      </c>
      <c r="R22" s="1565" t="s">
        <v>8</v>
      </c>
      <c r="S22" s="1566">
        <f>F22</f>
        <v>100</v>
      </c>
      <c r="T22" s="1565" t="s">
        <v>8</v>
      </c>
      <c r="U22" s="1566">
        <f>H22</f>
        <v>100</v>
      </c>
      <c r="V22" s="1565" t="s">
        <v>8</v>
      </c>
      <c r="W22" s="1566">
        <f>J22</f>
        <v>100</v>
      </c>
      <c r="X22" s="1559"/>
      <c r="Y22" s="3765"/>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65"/>
      <c r="Q23" s="1564">
        <f>B23</f>
        <v>111</v>
      </c>
      <c r="R23" s="1565" t="s">
        <v>8</v>
      </c>
      <c r="S23" s="1566">
        <f>F23</f>
        <v>100</v>
      </c>
      <c r="T23" s="1565" t="s">
        <v>8</v>
      </c>
      <c r="U23" s="1566">
        <f>H23</f>
        <v>100</v>
      </c>
      <c r="V23" s="1565" t="s">
        <v>8</v>
      </c>
      <c r="W23" s="1566">
        <f>J23</f>
        <v>100</v>
      </c>
      <c r="X23" s="1559"/>
      <c r="Y23" s="3765"/>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65"/>
      <c r="Q24" s="1564">
        <f t="shared" ref="Q24:Q36" si="11">B24</f>
        <v>111</v>
      </c>
      <c r="R24" s="1565" t="s">
        <v>8</v>
      </c>
      <c r="S24" s="1566">
        <f>F24</f>
        <v>100</v>
      </c>
      <c r="T24" s="1565" t="s">
        <v>8</v>
      </c>
      <c r="U24" s="1566">
        <f>H24</f>
        <v>100</v>
      </c>
      <c r="V24" s="1565" t="s">
        <v>8</v>
      </c>
      <c r="W24" s="1566">
        <f>J24</f>
        <v>100</v>
      </c>
      <c r="X24" s="1559"/>
      <c r="Y24" s="3765"/>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65"/>
      <c r="Q25" s="1144">
        <f t="shared" si="11"/>
        <v>111</v>
      </c>
      <c r="R25" s="1560" t="s">
        <v>8</v>
      </c>
      <c r="S25" s="1561">
        <f>F25</f>
        <v>100</v>
      </c>
      <c r="T25" s="1560" t="s">
        <v>8</v>
      </c>
      <c r="U25" s="1561">
        <f>H25</f>
        <v>100</v>
      </c>
      <c r="V25" s="1560" t="s">
        <v>8</v>
      </c>
      <c r="W25" s="1561">
        <f>J25</f>
        <v>100</v>
      </c>
      <c r="X25" s="1562"/>
      <c r="Y25" s="3765"/>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66"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67"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67"/>
      <c r="Q27" s="1597" t="str">
        <f t="shared" si="11"/>
        <v>项目停车位配比</v>
      </c>
      <c r="R27" s="1569" t="s">
        <v>8</v>
      </c>
      <c r="S27" s="1570">
        <f t="shared" si="12"/>
        <v>100</v>
      </c>
      <c r="T27" s="1569" t="s">
        <v>8</v>
      </c>
      <c r="U27" s="1570">
        <f t="shared" si="13"/>
        <v>100</v>
      </c>
      <c r="V27" s="1569" t="s">
        <v>8</v>
      </c>
      <c r="W27" s="1570">
        <f t="shared" si="14"/>
        <v>100</v>
      </c>
      <c r="X27" s="1571"/>
      <c r="Y27" s="3767"/>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67"/>
      <c r="Q28" s="1564" t="str">
        <f t="shared" si="11"/>
        <v>公共部分装修</v>
      </c>
      <c r="R28" s="1565" t="s">
        <v>8</v>
      </c>
      <c r="S28" s="1566">
        <f t="shared" si="12"/>
        <v>100</v>
      </c>
      <c r="T28" s="1565" t="s">
        <v>8</v>
      </c>
      <c r="U28" s="1566">
        <f t="shared" si="13"/>
        <v>100</v>
      </c>
      <c r="V28" s="1565" t="s">
        <v>8</v>
      </c>
      <c r="W28" s="1566">
        <f t="shared" si="14"/>
        <v>100</v>
      </c>
      <c r="X28" s="1559"/>
      <c r="Y28" s="3767"/>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67"/>
      <c r="Q29" s="1564" t="str">
        <f t="shared" si="11"/>
        <v>成新率</v>
      </c>
      <c r="R29" s="1565" t="s">
        <v>8</v>
      </c>
      <c r="S29" s="1566" t="e">
        <f t="shared" si="12"/>
        <v>#N/A</v>
      </c>
      <c r="T29" s="1565" t="s">
        <v>8</v>
      </c>
      <c r="U29" s="1566" t="e">
        <f t="shared" si="13"/>
        <v>#N/A</v>
      </c>
      <c r="V29" s="1565" t="s">
        <v>8</v>
      </c>
      <c r="W29" s="1566" t="e">
        <f t="shared" si="14"/>
        <v>#N/A</v>
      </c>
      <c r="X29" s="1559"/>
      <c r="Y29" s="3767"/>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67"/>
      <c r="Q30" s="1564" t="str">
        <f t="shared" si="11"/>
        <v>物业等级</v>
      </c>
      <c r="R30" s="1565" t="s">
        <v>8</v>
      </c>
      <c r="S30" s="1566">
        <f t="shared" si="12"/>
        <v>100</v>
      </c>
      <c r="T30" s="1565" t="s">
        <v>8</v>
      </c>
      <c r="U30" s="1566">
        <f t="shared" si="13"/>
        <v>100</v>
      </c>
      <c r="V30" s="1565" t="s">
        <v>8</v>
      </c>
      <c r="W30" s="1566">
        <f t="shared" si="14"/>
        <v>100</v>
      </c>
      <c r="X30" s="1559"/>
      <c r="Y30" s="3767"/>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67"/>
      <c r="Q31" s="1144" t="str">
        <f t="shared" si="11"/>
        <v>停车位面积</v>
      </c>
      <c r="R31" s="1560" t="s">
        <v>8</v>
      </c>
      <c r="S31" s="1561" t="e">
        <f t="shared" si="12"/>
        <v>#N/A</v>
      </c>
      <c r="T31" s="1560" t="s">
        <v>8</v>
      </c>
      <c r="U31" s="1561" t="e">
        <f t="shared" si="13"/>
        <v>#N/A</v>
      </c>
      <c r="V31" s="1560" t="s">
        <v>8</v>
      </c>
      <c r="W31" s="1561" t="e">
        <f t="shared" si="14"/>
        <v>#N/A</v>
      </c>
      <c r="X31" s="1562"/>
      <c r="Y31" s="3767"/>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67" t="s">
        <v>551</v>
      </c>
      <c r="Q32" s="1564" t="str">
        <f t="shared" si="11"/>
        <v>车位类型</v>
      </c>
      <c r="R32" s="1565" t="s">
        <v>8</v>
      </c>
      <c r="S32" s="1566">
        <f t="shared" si="12"/>
        <v>100</v>
      </c>
      <c r="T32" s="1565" t="s">
        <v>8</v>
      </c>
      <c r="U32" s="1566">
        <f t="shared" si="13"/>
        <v>100</v>
      </c>
      <c r="V32" s="1565" t="s">
        <v>8</v>
      </c>
      <c r="W32" s="1566">
        <f t="shared" si="14"/>
        <v>100</v>
      </c>
      <c r="X32" s="1559"/>
      <c r="Y32" s="3767"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67"/>
      <c r="Q33" s="1564" t="str">
        <f t="shared" si="11"/>
        <v>是否直接入户</v>
      </c>
      <c r="R33" s="1565" t="s">
        <v>8</v>
      </c>
      <c r="S33" s="1566">
        <f t="shared" si="12"/>
        <v>100</v>
      </c>
      <c r="T33" s="1565" t="s">
        <v>8</v>
      </c>
      <c r="U33" s="1566">
        <f t="shared" si="13"/>
        <v>100</v>
      </c>
      <c r="V33" s="1565" t="s">
        <v>8</v>
      </c>
      <c r="W33" s="1566">
        <f t="shared" si="14"/>
        <v>100</v>
      </c>
      <c r="X33" s="1559"/>
      <c r="Y33" s="3767"/>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67"/>
      <c r="Q34" s="1564">
        <f t="shared" si="11"/>
        <v>111</v>
      </c>
      <c r="R34" s="1565" t="s">
        <v>8</v>
      </c>
      <c r="S34" s="1566">
        <f t="shared" si="12"/>
        <v>100</v>
      </c>
      <c r="T34" s="1565" t="s">
        <v>8</v>
      </c>
      <c r="U34" s="1566">
        <f t="shared" si="13"/>
        <v>100</v>
      </c>
      <c r="V34" s="1565" t="s">
        <v>8</v>
      </c>
      <c r="W34" s="1566">
        <f t="shared" si="14"/>
        <v>100</v>
      </c>
      <c r="X34" s="1559"/>
      <c r="Y34" s="3767"/>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67"/>
      <c r="Q35" s="1597">
        <f t="shared" si="11"/>
        <v>111</v>
      </c>
      <c r="R35" s="1569" t="s">
        <v>8</v>
      </c>
      <c r="S35" s="1570">
        <f t="shared" si="12"/>
        <v>100</v>
      </c>
      <c r="T35" s="1569" t="s">
        <v>8</v>
      </c>
      <c r="U35" s="1570">
        <f t="shared" si="13"/>
        <v>100</v>
      </c>
      <c r="V35" s="1569" t="s">
        <v>8</v>
      </c>
      <c r="W35" s="1570">
        <f t="shared" si="14"/>
        <v>100</v>
      </c>
      <c r="X35" s="1571"/>
      <c r="Y35" s="3767"/>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67"/>
      <c r="Q36" s="1564">
        <f t="shared" si="11"/>
        <v>111</v>
      </c>
      <c r="R36" s="1565" t="s">
        <v>8</v>
      </c>
      <c r="S36" s="1566">
        <f t="shared" si="12"/>
        <v>100</v>
      </c>
      <c r="T36" s="1565" t="s">
        <v>8</v>
      </c>
      <c r="U36" s="1566">
        <f t="shared" si="13"/>
        <v>100</v>
      </c>
      <c r="V36" s="1565" t="s">
        <v>8</v>
      </c>
      <c r="W36" s="1566">
        <f t="shared" si="14"/>
        <v>100</v>
      </c>
      <c r="X36" s="1559"/>
      <c r="Y36" s="3767"/>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30" t="str">
        <f>A37</f>
        <v>成交单价</v>
      </c>
      <c r="Q37" s="3730"/>
      <c r="R37" s="3842">
        <f>E37</f>
        <v>0</v>
      </c>
      <c r="S37" s="3842"/>
      <c r="T37" s="3842">
        <f>G37</f>
        <v>0</v>
      </c>
      <c r="U37" s="3842"/>
      <c r="V37" s="3842">
        <f>I37</f>
        <v>0</v>
      </c>
      <c r="W37" s="3842"/>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30" t="str">
        <f>A38</f>
        <v>比较价格（元/平方米）</v>
      </c>
      <c r="Q38" s="3730"/>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27" t="str">
        <f>A39</f>
        <v>估价对象XX用房的比较价格（楼面单价，元/平方米）</v>
      </c>
      <c r="Q39" s="3728"/>
      <c r="R39" s="3841" t="e">
        <f>IF(F1="售价",ROUND(AVERAGE(R38:V38),0),ROUND(AVERAGE(R38:V38),1))</f>
        <v>#DIV/0!</v>
      </c>
      <c r="S39" s="3841"/>
      <c r="T39" s="3841"/>
      <c r="U39" s="3841"/>
      <c r="V39" s="3841"/>
      <c r="W39" s="3841"/>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6" t="s">
        <v>799</v>
      </c>
      <c r="D4" s="3737"/>
      <c r="E4" s="3771" t="s">
        <v>800</v>
      </c>
      <c r="F4" s="3772"/>
      <c r="G4" s="3736" t="s">
        <v>801</v>
      </c>
      <c r="H4" s="3737"/>
      <c r="I4" s="3736" t="s">
        <v>802</v>
      </c>
      <c r="J4" s="3737"/>
      <c r="K4" s="512" t="s">
        <v>803</v>
      </c>
      <c r="L4" s="2126"/>
      <c r="M4" s="2127"/>
      <c r="N4" s="2127"/>
      <c r="O4" s="2127"/>
      <c r="P4" s="3738" t="s">
        <v>804</v>
      </c>
      <c r="Q4" s="3739"/>
      <c r="R4" s="3744" t="s">
        <v>800</v>
      </c>
      <c r="S4" s="3745"/>
      <c r="T4" s="3744" t="s">
        <v>801</v>
      </c>
      <c r="U4" s="3745"/>
      <c r="V4" s="3731" t="s">
        <v>802</v>
      </c>
      <c r="W4" s="3731"/>
      <c r="X4" s="1559"/>
      <c r="Y4" s="3744" t="s">
        <v>804</v>
      </c>
      <c r="Z4" s="3745"/>
      <c r="AA4" s="3733" t="s">
        <v>800</v>
      </c>
      <c r="AB4" s="3734" t="s">
        <v>801</v>
      </c>
      <c r="AC4" s="3733" t="s">
        <v>802</v>
      </c>
    </row>
    <row r="5" spans="1:29" ht="15">
      <c r="A5" s="513"/>
      <c r="B5" s="514"/>
      <c r="C5" s="3752" t="s">
        <v>2929</v>
      </c>
      <c r="D5" s="3753"/>
      <c r="E5" s="3773" t="s">
        <v>2930</v>
      </c>
      <c r="F5" s="3774"/>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61" t="s">
        <v>531</v>
      </c>
      <c r="Q7" s="3763"/>
      <c r="R7" s="1560" t="s">
        <v>8</v>
      </c>
      <c r="S7" s="1561">
        <f t="shared" ref="S7:S14" si="0">F7</f>
        <v>0</v>
      </c>
      <c r="T7" s="1560" t="s">
        <v>8</v>
      </c>
      <c r="U7" s="1561">
        <f t="shared" ref="U7:U14" si="1">H7</f>
        <v>0</v>
      </c>
      <c r="V7" s="1560" t="s">
        <v>8</v>
      </c>
      <c r="W7" s="1561">
        <f t="shared" ref="W7:W14"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30" t="s">
        <v>536</v>
      </c>
      <c r="Q9" s="1144" t="str">
        <f t="shared" ref="Q9:Q14" si="6">B9</f>
        <v>用途</v>
      </c>
      <c r="R9" s="1560" t="s">
        <v>8</v>
      </c>
      <c r="S9" s="1561">
        <f t="shared" si="0"/>
        <v>100</v>
      </c>
      <c r="T9" s="1560" t="s">
        <v>8</v>
      </c>
      <c r="U9" s="1561">
        <f t="shared" si="1"/>
        <v>100</v>
      </c>
      <c r="V9" s="1560" t="s">
        <v>8</v>
      </c>
      <c r="W9" s="1561">
        <f t="shared" si="2"/>
        <v>100</v>
      </c>
      <c r="X9" s="1562"/>
      <c r="Y9" s="3676"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30"/>
      <c r="Q11" s="1144">
        <f t="shared" si="6"/>
        <v>111</v>
      </c>
      <c r="R11" s="1560" t="s">
        <v>8</v>
      </c>
      <c r="S11" s="1561">
        <f t="shared" si="0"/>
        <v>100</v>
      </c>
      <c r="T11" s="1560" t="s">
        <v>8</v>
      </c>
      <c r="U11" s="1561">
        <f t="shared" si="1"/>
        <v>100</v>
      </c>
      <c r="V11" s="1560" t="s">
        <v>8</v>
      </c>
      <c r="W11" s="1561">
        <f t="shared" si="2"/>
        <v>100</v>
      </c>
      <c r="X11" s="1562"/>
      <c r="Y11" s="3676"/>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64" t="s">
        <v>541</v>
      </c>
      <c r="Q14" s="1564" t="str">
        <f t="shared" si="6"/>
        <v>交通便捷度</v>
      </c>
      <c r="R14" s="1565" t="s">
        <v>8</v>
      </c>
      <c r="S14" s="1566">
        <f t="shared" si="0"/>
        <v>100</v>
      </c>
      <c r="T14" s="1565" t="s">
        <v>8</v>
      </c>
      <c r="U14" s="1566">
        <f t="shared" si="1"/>
        <v>100</v>
      </c>
      <c r="V14" s="1565" t="s">
        <v>8</v>
      </c>
      <c r="W14" s="1566">
        <f t="shared" si="2"/>
        <v>100</v>
      </c>
      <c r="X14" s="1559"/>
      <c r="Y14" s="3764"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65"/>
      <c r="Q15" s="1564"/>
      <c r="R15" s="1565"/>
      <c r="S15" s="1566"/>
      <c r="T15" s="1565"/>
      <c r="U15" s="1566"/>
      <c r="V15" s="1565"/>
      <c r="W15" s="1566"/>
      <c r="X15" s="1559"/>
      <c r="Y15" s="3765"/>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65"/>
      <c r="Q16" s="1564" t="str">
        <f>B16</f>
        <v>公共配套设施</v>
      </c>
      <c r="R16" s="1565" t="s">
        <v>8</v>
      </c>
      <c r="S16" s="1566">
        <f>F16</f>
        <v>100</v>
      </c>
      <c r="T16" s="1565" t="s">
        <v>8</v>
      </c>
      <c r="U16" s="1566">
        <f>H16</f>
        <v>100</v>
      </c>
      <c r="V16" s="1565" t="s">
        <v>8</v>
      </c>
      <c r="W16" s="1566">
        <f>J16</f>
        <v>100</v>
      </c>
      <c r="X16" s="1559"/>
      <c r="Y16" s="3765"/>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65"/>
      <c r="Q17" s="1564"/>
      <c r="R17" s="1565"/>
      <c r="S17" s="1566"/>
      <c r="T17" s="1565"/>
      <c r="U17" s="1566"/>
      <c r="V17" s="1565"/>
      <c r="W17" s="1566"/>
      <c r="X17" s="1559"/>
      <c r="Y17" s="3765"/>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65"/>
      <c r="Q18" s="2596" t="str">
        <f>B18</f>
        <v>基础设施水平</v>
      </c>
      <c r="R18" s="1565" t="s">
        <v>8</v>
      </c>
      <c r="S18" s="1566">
        <f>F18</f>
        <v>100</v>
      </c>
      <c r="T18" s="1565" t="s">
        <v>8</v>
      </c>
      <c r="U18" s="1566">
        <f>H18</f>
        <v>100</v>
      </c>
      <c r="V18" s="1565" t="s">
        <v>8</v>
      </c>
      <c r="W18" s="1566">
        <f>J18</f>
        <v>100</v>
      </c>
      <c r="X18" s="2598"/>
      <c r="Y18" s="3765"/>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65"/>
      <c r="Q19" s="2596"/>
      <c r="R19" s="1565"/>
      <c r="S19" s="1566"/>
      <c r="T19" s="1565"/>
      <c r="U19" s="1566"/>
      <c r="V19" s="1565"/>
      <c r="W19" s="1566"/>
      <c r="X19" s="2598"/>
      <c r="Y19" s="3765"/>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65"/>
      <c r="Q20" s="1564" t="str">
        <f>B20</f>
        <v>自然及人文环境</v>
      </c>
      <c r="R20" s="1565" t="s">
        <v>8</v>
      </c>
      <c r="S20" s="1566">
        <f>F20</f>
        <v>100</v>
      </c>
      <c r="T20" s="1565" t="s">
        <v>8</v>
      </c>
      <c r="U20" s="1566">
        <f>H20</f>
        <v>100</v>
      </c>
      <c r="V20" s="1565" t="s">
        <v>8</v>
      </c>
      <c r="W20" s="1566">
        <f>J20</f>
        <v>100</v>
      </c>
      <c r="X20" s="1559"/>
      <c r="Y20" s="3765"/>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65"/>
      <c r="Q21" s="1564"/>
      <c r="R21" s="1565"/>
      <c r="S21" s="1566"/>
      <c r="T21" s="1565"/>
      <c r="U21" s="1566"/>
      <c r="V21" s="1565"/>
      <c r="W21" s="1566"/>
      <c r="X21" s="1559"/>
      <c r="Y21" s="3765"/>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65"/>
      <c r="Q22" s="1564" t="str">
        <f>B22</f>
        <v>楼层</v>
      </c>
      <c r="R22" s="1565" t="s">
        <v>8</v>
      </c>
      <c r="S22" s="1566">
        <f>F22</f>
        <v>100</v>
      </c>
      <c r="T22" s="1565" t="s">
        <v>8</v>
      </c>
      <c r="U22" s="1566">
        <f>H22</f>
        <v>100</v>
      </c>
      <c r="V22" s="1565" t="s">
        <v>8</v>
      </c>
      <c r="W22" s="1566">
        <f>J22</f>
        <v>100</v>
      </c>
      <c r="X22" s="1559"/>
      <c r="Y22" s="3765"/>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65"/>
      <c r="Q23" s="1564">
        <f>B23</f>
        <v>111</v>
      </c>
      <c r="R23" s="1565" t="s">
        <v>8</v>
      </c>
      <c r="S23" s="1566">
        <f>F23</f>
        <v>100</v>
      </c>
      <c r="T23" s="1565" t="s">
        <v>8</v>
      </c>
      <c r="U23" s="1566">
        <f>H23</f>
        <v>100</v>
      </c>
      <c r="V23" s="1565" t="s">
        <v>8</v>
      </c>
      <c r="W23" s="1566">
        <f>J23</f>
        <v>100</v>
      </c>
      <c r="X23" s="1559"/>
      <c r="Y23" s="3765"/>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65"/>
      <c r="Q24" s="1564">
        <f t="shared" ref="Q24:Q34" si="11">B24</f>
        <v>111</v>
      </c>
      <c r="R24" s="1565" t="s">
        <v>8</v>
      </c>
      <c r="S24" s="1566">
        <f>F24</f>
        <v>100</v>
      </c>
      <c r="T24" s="1565" t="s">
        <v>8</v>
      </c>
      <c r="U24" s="1566">
        <f>H24</f>
        <v>100</v>
      </c>
      <c r="V24" s="1565" t="s">
        <v>8</v>
      </c>
      <c r="W24" s="1566">
        <f>J24</f>
        <v>100</v>
      </c>
      <c r="X24" s="1559"/>
      <c r="Y24" s="3765"/>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65"/>
      <c r="Q25" s="1144">
        <f t="shared" si="11"/>
        <v>111</v>
      </c>
      <c r="R25" s="1560" t="s">
        <v>8</v>
      </c>
      <c r="S25" s="1561">
        <f>F25</f>
        <v>100</v>
      </c>
      <c r="T25" s="1560" t="s">
        <v>8</v>
      </c>
      <c r="U25" s="1561">
        <f>H25</f>
        <v>100</v>
      </c>
      <c r="V25" s="1560" t="s">
        <v>8</v>
      </c>
      <c r="W25" s="1561">
        <f>J25</f>
        <v>100</v>
      </c>
      <c r="X25" s="1562"/>
      <c r="Y25" s="3765"/>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66"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67"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67"/>
      <c r="Q27" s="1597" t="str">
        <f t="shared" si="11"/>
        <v>成新率</v>
      </c>
      <c r="R27" s="1569" t="s">
        <v>8</v>
      </c>
      <c r="S27" s="1570" t="e">
        <f t="shared" si="12"/>
        <v>#N/A</v>
      </c>
      <c r="T27" s="1569" t="s">
        <v>8</v>
      </c>
      <c r="U27" s="1570" t="e">
        <f t="shared" si="13"/>
        <v>#N/A</v>
      </c>
      <c r="V27" s="1569" t="s">
        <v>8</v>
      </c>
      <c r="W27" s="1570" t="e">
        <f t="shared" si="14"/>
        <v>#N/A</v>
      </c>
      <c r="X27" s="1571"/>
      <c r="Y27" s="3767"/>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67"/>
      <c r="Q28" s="1564" t="str">
        <f t="shared" si="11"/>
        <v>物业等级</v>
      </c>
      <c r="R28" s="1565" t="s">
        <v>8</v>
      </c>
      <c r="S28" s="1566">
        <f t="shared" si="12"/>
        <v>100</v>
      </c>
      <c r="T28" s="1565" t="s">
        <v>8</v>
      </c>
      <c r="U28" s="1566">
        <f t="shared" si="13"/>
        <v>100</v>
      </c>
      <c r="V28" s="1565" t="s">
        <v>8</v>
      </c>
      <c r="W28" s="1566">
        <f t="shared" si="14"/>
        <v>100</v>
      </c>
      <c r="X28" s="1559"/>
      <c r="Y28" s="3767"/>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67"/>
      <c r="Q29" s="1564" t="str">
        <f t="shared" si="11"/>
        <v>有无电梯</v>
      </c>
      <c r="R29" s="1565" t="s">
        <v>8</v>
      </c>
      <c r="S29" s="1566">
        <f t="shared" si="12"/>
        <v>100</v>
      </c>
      <c r="T29" s="1565" t="s">
        <v>8</v>
      </c>
      <c r="U29" s="1566">
        <f t="shared" si="13"/>
        <v>100</v>
      </c>
      <c r="V29" s="1565" t="s">
        <v>8</v>
      </c>
      <c r="W29" s="1566">
        <f t="shared" si="14"/>
        <v>100</v>
      </c>
      <c r="X29" s="1559"/>
      <c r="Y29" s="3767"/>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67"/>
      <c r="Q30" s="1564" t="str">
        <f t="shared" si="11"/>
        <v>建筑面积</v>
      </c>
      <c r="R30" s="1565" t="s">
        <v>8</v>
      </c>
      <c r="S30" s="1566" t="e">
        <f t="shared" si="12"/>
        <v>#N/A</v>
      </c>
      <c r="T30" s="1565" t="s">
        <v>8</v>
      </c>
      <c r="U30" s="1566" t="e">
        <f t="shared" si="13"/>
        <v>#N/A</v>
      </c>
      <c r="V30" s="1565" t="s">
        <v>8</v>
      </c>
      <c r="W30" s="1566" t="e">
        <f t="shared" si="14"/>
        <v>#N/A</v>
      </c>
      <c r="X30" s="1559"/>
      <c r="Y30" s="3767"/>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67"/>
      <c r="Q31" s="1144" t="str">
        <f t="shared" si="11"/>
        <v>是否封闭</v>
      </c>
      <c r="R31" s="1560" t="s">
        <v>8</v>
      </c>
      <c r="S31" s="1561">
        <f t="shared" si="12"/>
        <v>100</v>
      </c>
      <c r="T31" s="1560" t="s">
        <v>8</v>
      </c>
      <c r="U31" s="1561">
        <f t="shared" si="13"/>
        <v>100</v>
      </c>
      <c r="V31" s="1560" t="s">
        <v>8</v>
      </c>
      <c r="W31" s="1561">
        <f t="shared" si="14"/>
        <v>100</v>
      </c>
      <c r="X31" s="1562"/>
      <c r="Y31" s="3767"/>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67" t="s">
        <v>551</v>
      </c>
      <c r="Q32" s="1564">
        <f t="shared" si="11"/>
        <v>111</v>
      </c>
      <c r="R32" s="1565" t="s">
        <v>8</v>
      </c>
      <c r="S32" s="1566">
        <f t="shared" si="12"/>
        <v>100</v>
      </c>
      <c r="T32" s="1565" t="s">
        <v>8</v>
      </c>
      <c r="U32" s="1566">
        <f t="shared" si="13"/>
        <v>100</v>
      </c>
      <c r="V32" s="1565" t="s">
        <v>8</v>
      </c>
      <c r="W32" s="1566">
        <f t="shared" si="14"/>
        <v>100</v>
      </c>
      <c r="X32" s="1559"/>
      <c r="Y32" s="3767"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67"/>
      <c r="Q33" s="1564">
        <f t="shared" si="11"/>
        <v>111</v>
      </c>
      <c r="R33" s="1565" t="s">
        <v>8</v>
      </c>
      <c r="S33" s="1566">
        <f t="shared" si="12"/>
        <v>100</v>
      </c>
      <c r="T33" s="1565" t="s">
        <v>8</v>
      </c>
      <c r="U33" s="1566">
        <f t="shared" si="13"/>
        <v>100</v>
      </c>
      <c r="V33" s="1565" t="s">
        <v>8</v>
      </c>
      <c r="W33" s="1566">
        <f t="shared" si="14"/>
        <v>100</v>
      </c>
      <c r="X33" s="1559"/>
      <c r="Y33" s="3767"/>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67"/>
      <c r="Q34" s="1564">
        <f t="shared" si="11"/>
        <v>111</v>
      </c>
      <c r="R34" s="1565" t="s">
        <v>8</v>
      </c>
      <c r="S34" s="1566">
        <f t="shared" si="12"/>
        <v>100</v>
      </c>
      <c r="T34" s="1565" t="s">
        <v>8</v>
      </c>
      <c r="U34" s="1566">
        <f t="shared" si="13"/>
        <v>100</v>
      </c>
      <c r="V34" s="1565" t="s">
        <v>8</v>
      </c>
      <c r="W34" s="1566">
        <f t="shared" si="14"/>
        <v>100</v>
      </c>
      <c r="X34" s="1559"/>
      <c r="Y34" s="3767"/>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30" t="str">
        <f>A35</f>
        <v>成交单价（元/平方米）</v>
      </c>
      <c r="Q35" s="3730"/>
      <c r="R35" s="3842">
        <f>E35</f>
        <v>0</v>
      </c>
      <c r="S35" s="3842"/>
      <c r="T35" s="3842">
        <f>G35</f>
        <v>0</v>
      </c>
      <c r="U35" s="3842"/>
      <c r="V35" s="3842">
        <f>I35</f>
        <v>0</v>
      </c>
      <c r="W35" s="3842"/>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30" t="str">
        <f>A36</f>
        <v>比较价格（元/平方米）</v>
      </c>
      <c r="Q36" s="3730"/>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27" t="str">
        <f>A37</f>
        <v>估价对象XX用房的比较价格（楼面单价，元/平方米）</v>
      </c>
      <c r="Q37" s="3728"/>
      <c r="R37" s="3841" t="e">
        <f>IF(F1="售价",ROUND(AVERAGE(R36:V36),0),ROUND(AVERAGE(R36:V36),1))</f>
        <v>#DIV/0!</v>
      </c>
      <c r="S37" s="3841"/>
      <c r="T37" s="3841"/>
      <c r="U37" s="3841"/>
      <c r="V37" s="3841"/>
      <c r="W37" s="3841"/>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7" t="s">
        <v>2039</v>
      </c>
      <c r="B1" s="3567"/>
      <c r="C1" s="3567"/>
      <c r="D1" s="3567"/>
      <c r="E1" s="3567"/>
      <c r="F1" s="3567"/>
      <c r="G1" s="3567"/>
      <c r="H1" s="3567"/>
      <c r="I1" s="3567"/>
      <c r="J1" s="3567"/>
      <c r="K1" s="3567"/>
      <c r="L1" s="3567"/>
      <c r="M1" s="3567"/>
      <c r="N1" s="3567"/>
      <c r="O1" s="3567"/>
      <c r="P1" s="3567"/>
      <c r="Q1" s="3567"/>
      <c r="R1" s="3567"/>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8" t="s">
        <v>2030</v>
      </c>
      <c r="B3" s="3568" t="s">
        <v>2735</v>
      </c>
      <c r="C3" s="3569" t="s">
        <v>2031</v>
      </c>
      <c r="D3" s="3568" t="s">
        <v>2739</v>
      </c>
      <c r="E3" s="3563" t="s">
        <v>2032</v>
      </c>
      <c r="F3" s="3563"/>
      <c r="G3" s="3563"/>
      <c r="H3" s="3563" t="s">
        <v>2033</v>
      </c>
      <c r="I3" s="3563"/>
      <c r="J3" s="3563"/>
      <c r="K3" s="3569" t="s">
        <v>2034</v>
      </c>
      <c r="L3" s="3569" t="s">
        <v>2035</v>
      </c>
      <c r="M3" s="3568" t="s">
        <v>2736</v>
      </c>
      <c r="N3" s="3570" t="str">
        <f>"（分摊）"&amp;项目基本情况!B16&amp;"国有建设用地使用权面积/㎡"</f>
        <v>（分摊）出让国有建设用地使用权面积/㎡</v>
      </c>
      <c r="O3" s="3568" t="s">
        <v>2064</v>
      </c>
      <c r="P3" s="3569" t="s">
        <v>2044</v>
      </c>
      <c r="Q3" s="3569" t="s">
        <v>2065</v>
      </c>
      <c r="R3" s="3569" t="s">
        <v>2036</v>
      </c>
    </row>
    <row r="4" spans="1:18" ht="36.75" customHeight="1">
      <c r="A4" s="3568"/>
      <c r="B4" s="3568"/>
      <c r="C4" s="3569"/>
      <c r="D4" s="3568"/>
      <c r="E4" s="2667" t="s">
        <v>2043</v>
      </c>
      <c r="F4" s="2667" t="s">
        <v>2748</v>
      </c>
      <c r="G4" s="2667" t="s">
        <v>2037</v>
      </c>
      <c r="H4" s="2667" t="s">
        <v>2038</v>
      </c>
      <c r="I4" s="2667" t="s">
        <v>2749</v>
      </c>
      <c r="J4" s="2667" t="s">
        <v>2037</v>
      </c>
      <c r="K4" s="3569"/>
      <c r="L4" s="3569"/>
      <c r="M4" s="3568"/>
      <c r="N4" s="3570"/>
      <c r="O4" s="3568"/>
      <c r="P4" s="3569"/>
      <c r="Q4" s="3569"/>
      <c r="R4" s="3569"/>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69347.5</v>
      </c>
      <c r="O5" s="1803">
        <f>项目基本情况!C21</f>
        <v>509385</v>
      </c>
      <c r="P5" s="1803">
        <f ca="1">结果表!E42</f>
        <v>22948</v>
      </c>
      <c r="Q5" s="1803">
        <f ca="1">结果表!D42</f>
        <v>3124</v>
      </c>
      <c r="R5" s="1804">
        <f ca="1">结果表!C42</f>
        <v>159137</v>
      </c>
    </row>
    <row r="6" spans="1:18">
      <c r="A6" s="3564" t="str">
        <f>IF(项目基本情况!B9="市场价格","——","抵押价格")</f>
        <v>抵押价格</v>
      </c>
      <c r="B6" s="3565"/>
      <c r="C6" s="3565"/>
      <c r="D6" s="3565"/>
      <c r="E6" s="3565"/>
      <c r="F6" s="3565"/>
      <c r="G6" s="3565"/>
      <c r="H6" s="3565"/>
      <c r="I6" s="3565"/>
      <c r="J6" s="3565"/>
      <c r="K6" s="3565"/>
      <c r="L6" s="3565"/>
      <c r="M6" s="3565"/>
      <c r="N6" s="3565"/>
      <c r="O6" s="3565"/>
      <c r="P6" s="3565"/>
      <c r="Q6" s="3566"/>
      <c r="R6" s="1805" t="str">
        <f>结果表!O39</f>
        <v>——</v>
      </c>
    </row>
    <row r="7" spans="1:18">
      <c r="A7" s="3564" t="str">
        <f>IF(项目基本情况!B9="市场价格","——",IF(项目基本情况!E8="已注销及未注销","抵押担保权已注销时的抵押价格","——"))</f>
        <v>——</v>
      </c>
      <c r="B7" s="3565"/>
      <c r="C7" s="3565"/>
      <c r="D7" s="3565"/>
      <c r="E7" s="3565"/>
      <c r="F7" s="3565"/>
      <c r="G7" s="3565"/>
      <c r="H7" s="3565"/>
      <c r="I7" s="3565"/>
      <c r="J7" s="3565"/>
      <c r="K7" s="3565"/>
      <c r="L7" s="3565"/>
      <c r="M7" s="3565"/>
      <c r="N7" s="3565"/>
      <c r="O7" s="3565"/>
      <c r="P7" s="3565"/>
      <c r="Q7" s="3566"/>
      <c r="R7" s="1805" t="str">
        <f>结果表!O40</f>
        <v>——</v>
      </c>
    </row>
    <row r="8" spans="1:18">
      <c r="A8" s="3564">
        <f>IF(项目基本情况!B9="市场价格","——",项目基本情况!E9)</f>
        <v>0</v>
      </c>
      <c r="B8" s="3565"/>
      <c r="C8" s="3565"/>
      <c r="D8" s="3565"/>
      <c r="E8" s="3565"/>
      <c r="F8" s="3565"/>
      <c r="G8" s="3565"/>
      <c r="H8" s="3565"/>
      <c r="I8" s="3565"/>
      <c r="J8" s="3565"/>
      <c r="K8" s="3565"/>
      <c r="L8" s="3565"/>
      <c r="M8" s="3565"/>
      <c r="N8" s="3565"/>
      <c r="O8" s="3565"/>
      <c r="P8" s="3565"/>
      <c r="Q8" s="3566"/>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72" t="s">
        <v>2066</v>
      </c>
      <c r="B1" s="3572"/>
      <c r="C1" s="3572"/>
      <c r="D1" s="3572"/>
    </row>
    <row r="2" spans="1:4" ht="47.25" customHeight="1">
      <c r="A2" s="3573" t="str">
        <f>"1.权利限制："&amp;项目基本情况!L24&amp;"未设定租赁等其他他项权利。"</f>
        <v>1.权利限制：根据估价对象《不动产权证书》原件、《国有土地使用权》复印件，截至估价期日，估价对象抵押权未见登记。未设定租赁等其他他项权利。</v>
      </c>
      <c r="B2" s="3573"/>
      <c r="C2" s="3573"/>
      <c r="D2" s="3573"/>
    </row>
    <row r="3" spans="1:4" ht="48" customHeight="1">
      <c r="A3" s="35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2"/>
      <c r="C3" s="3572"/>
      <c r="D3" s="3572"/>
    </row>
    <row r="4" spans="1:4" ht="36.75" customHeight="1">
      <c r="A4" s="3572" t="str">
        <f>"3.估价规划限制条件：详见"&amp;项目基本情况!E21&amp;"。"</f>
        <v>3.估价规划限制条件：详见《建设工程规划许可证》[]、《出让合同》[]。</v>
      </c>
      <c r="B4" s="3572"/>
      <c r="C4" s="3572"/>
      <c r="D4" s="3572"/>
    </row>
    <row r="5" spans="1:4">
      <c r="A5" s="3571" t="s">
        <v>2067</v>
      </c>
      <c r="B5" s="3571"/>
      <c r="C5" s="3571"/>
      <c r="D5" s="3571"/>
    </row>
    <row r="6" spans="1:4">
      <c r="A6" s="3572" t="s">
        <v>2045</v>
      </c>
      <c r="B6" s="3572"/>
      <c r="C6" s="3572"/>
      <c r="D6" s="3572"/>
    </row>
    <row r="7" spans="1:4" ht="33" customHeight="1">
      <c r="A7" s="3572" t="s">
        <v>2579</v>
      </c>
      <c r="B7" s="3572"/>
      <c r="C7" s="3572"/>
      <c r="D7" s="3572"/>
    </row>
    <row r="8" spans="1:4" ht="32.25" customHeight="1">
      <c r="A8" s="35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2"/>
      <c r="C8" s="3572"/>
      <c r="D8" s="3572"/>
    </row>
    <row r="9" spans="1:4" ht="33.75" customHeight="1">
      <c r="A9" s="35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2"/>
      <c r="C9" s="3572"/>
      <c r="D9" s="3572"/>
    </row>
    <row r="10" spans="1:4">
      <c r="A10" s="3572" t="str">
        <f>IF(项目基本情况!B8="抵押","4.估价师所知悉的法定优先受偿款情况为：","——")</f>
        <v>4.估价师所知悉的法定优先受偿款情况为：</v>
      </c>
      <c r="B10" s="3572"/>
      <c r="C10" s="3572"/>
      <c r="D10" s="3572"/>
    </row>
    <row r="11" spans="1:4" ht="37.5" customHeight="1">
      <c r="A11" s="35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4"/>
      <c r="C11" s="3574"/>
      <c r="D11" s="3574"/>
    </row>
    <row r="12" spans="1:4" ht="168" customHeight="1">
      <c r="A12" s="3571" t="s">
        <v>2069</v>
      </c>
      <c r="B12" s="3571"/>
      <c r="C12" s="3571"/>
      <c r="D12" s="3571"/>
    </row>
    <row r="13" spans="1:4">
      <c r="A13" s="3575" t="s">
        <v>2750</v>
      </c>
      <c r="B13" s="3575"/>
      <c r="C13" s="3575"/>
      <c r="D13" s="3575"/>
    </row>
    <row r="14" spans="1:4">
      <c r="A14" s="3574" t="str">
        <f>IF(项目基本情况!B8="抵押","综上，"&amp;结果表!K47,"——")</f>
        <v>综上，本次评估不存在估价师知悉的法定优先受偿款</v>
      </c>
      <c r="B14" s="3574"/>
      <c r="C14" s="3574"/>
      <c r="D14" s="3574"/>
    </row>
    <row r="15" spans="1:4" ht="58.5" customHeight="1">
      <c r="A15" s="35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2"/>
      <c r="C15" s="3572"/>
      <c r="D15" s="3572"/>
    </row>
    <row r="16" spans="1:4" ht="70.5" customHeight="1">
      <c r="A16" s="35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2"/>
      <c r="C16" s="3572"/>
      <c r="D16" s="3572"/>
    </row>
    <row r="17" spans="1:4">
      <c r="A17" s="3572" t="s">
        <v>2706</v>
      </c>
      <c r="B17" s="3572"/>
      <c r="C17" s="3572"/>
      <c r="D17" s="3572"/>
    </row>
    <row r="18" spans="1:4">
      <c r="A18" s="3572" t="s">
        <v>2698</v>
      </c>
      <c r="B18" s="3572"/>
      <c r="C18" s="3572"/>
      <c r="D18" s="3572"/>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72" t="s">
        <v>2703</v>
      </c>
      <c r="B23" s="3572"/>
      <c r="C23" s="3572"/>
      <c r="D23" s="3572"/>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3" t="s">
        <v>53</v>
      </c>
      <c r="B15" s="3584" t="s">
        <v>846</v>
      </c>
      <c r="C15" s="3580"/>
    </row>
    <row r="16" spans="1:7" ht="14.25">
      <c r="A16" s="3583"/>
      <c r="B16" s="3581" t="s">
        <v>54</v>
      </c>
      <c r="C16" s="1165" t="s">
        <v>53</v>
      </c>
    </row>
    <row r="17" spans="1:3" ht="14.25">
      <c r="A17" s="3583"/>
      <c r="B17" s="3581"/>
      <c r="C17" s="1165" t="s">
        <v>55</v>
      </c>
    </row>
    <row r="18" spans="1:3" ht="14.25">
      <c r="A18" s="3583"/>
      <c r="B18" s="3581"/>
      <c r="C18" s="1165" t="s">
        <v>56</v>
      </c>
    </row>
    <row r="19" spans="1:3" ht="14.25">
      <c r="A19" s="3583"/>
      <c r="B19" s="3579" t="s">
        <v>57</v>
      </c>
      <c r="C19" s="3580"/>
    </row>
    <row r="20" spans="1:3" ht="14.25">
      <c r="A20" s="1166" t="s">
        <v>58</v>
      </c>
      <c r="B20" s="1167"/>
      <c r="C20" s="1168"/>
    </row>
    <row r="21" spans="1:3" ht="14.25">
      <c r="A21" s="3582" t="s">
        <v>59</v>
      </c>
      <c r="B21" s="3579" t="s">
        <v>60</v>
      </c>
      <c r="C21" s="3580"/>
    </row>
    <row r="22" spans="1:3" ht="14.25">
      <c r="A22" s="3582"/>
      <c r="B22" s="3579" t="s">
        <v>61</v>
      </c>
      <c r="C22" s="3580"/>
    </row>
    <row r="23" spans="1:3" ht="14.25">
      <c r="A23" s="3582"/>
      <c r="B23" s="3579" t="s">
        <v>62</v>
      </c>
      <c r="C23" s="3580"/>
    </row>
    <row r="24" spans="1:3" ht="14.25">
      <c r="A24" s="3582"/>
      <c r="B24" s="3585" t="s">
        <v>63</v>
      </c>
      <c r="C24" s="1169" t="s">
        <v>837</v>
      </c>
    </row>
    <row r="25" spans="1:3" ht="14.25">
      <c r="A25" s="3582"/>
      <c r="B25" s="3586"/>
      <c r="C25" s="1169" t="s">
        <v>838</v>
      </c>
    </row>
    <row r="26" spans="1:3" ht="14.25">
      <c r="A26" s="3582"/>
      <c r="B26" s="3586"/>
      <c r="C26" s="1169" t="s">
        <v>839</v>
      </c>
    </row>
    <row r="27" spans="1:3" ht="14.25">
      <c r="A27" s="3582"/>
      <c r="B27" s="3586"/>
      <c r="C27" s="1169" t="s">
        <v>840</v>
      </c>
    </row>
    <row r="28" spans="1:3" ht="14.25">
      <c r="A28" s="3582"/>
      <c r="B28" s="3586"/>
      <c r="C28" s="1169" t="s">
        <v>841</v>
      </c>
    </row>
    <row r="29" spans="1:3" ht="14.25">
      <c r="A29" s="3582"/>
      <c r="B29" s="3586"/>
      <c r="C29" s="1169" t="s">
        <v>842</v>
      </c>
    </row>
    <row r="30" spans="1:3" ht="14.25">
      <c r="A30" s="3582"/>
      <c r="B30" s="3586"/>
      <c r="C30" s="1169" t="s">
        <v>843</v>
      </c>
    </row>
    <row r="31" spans="1:3" ht="14.25">
      <c r="A31" s="3582"/>
      <c r="B31" s="3586"/>
      <c r="C31" s="1169" t="s">
        <v>844</v>
      </c>
    </row>
    <row r="32" spans="1:3" ht="14.25">
      <c r="A32" s="3582"/>
      <c r="B32" s="3586"/>
      <c r="C32" s="1169" t="s">
        <v>1647</v>
      </c>
    </row>
    <row r="33" spans="1:3" ht="14.25">
      <c r="A33" s="3582"/>
      <c r="B33" s="3576" t="s">
        <v>1653</v>
      </c>
      <c r="C33" s="1169" t="s">
        <v>1648</v>
      </c>
    </row>
    <row r="34" spans="1:3" ht="14.25">
      <c r="A34" s="3582"/>
      <c r="B34" s="3577"/>
      <c r="C34" s="1174" t="s">
        <v>1649</v>
      </c>
    </row>
    <row r="35" spans="1:3" ht="14.25">
      <c r="A35" s="3582"/>
      <c r="B35" s="3577"/>
      <c r="C35" s="1175" t="s">
        <v>1650</v>
      </c>
    </row>
    <row r="36" spans="1:3" ht="14.25">
      <c r="A36" s="3582"/>
      <c r="B36" s="3577"/>
      <c r="C36" s="1175" t="s">
        <v>1651</v>
      </c>
    </row>
    <row r="37" spans="1:3" ht="14.25">
      <c r="A37" s="3582"/>
      <c r="B37" s="3578"/>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43279</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f ca="1">IF(C22&lt;B2,"已过期",1120020033)</f>
        <v>1120020033</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7" t="s">
        <v>1927</v>
      </c>
      <c r="B25" s="3587"/>
      <c r="C25" s="3587"/>
      <c r="D25" s="3587"/>
      <c r="E25" s="3587"/>
      <c r="F25" s="3587"/>
      <c r="G25" s="3587"/>
    </row>
    <row r="26" spans="1:7" ht="20.25" customHeight="1">
      <c r="A26" s="3588" t="s">
        <v>1928</v>
      </c>
      <c r="B26" s="3588"/>
      <c r="C26" s="3588"/>
      <c r="D26" s="3588" t="s">
        <v>1929</v>
      </c>
      <c r="E26" s="3588"/>
      <c r="F26" s="3588"/>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2018-06-28T03:25:39Z</dcterms:modified>
</cp:coreProperties>
</file>