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8"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比较法-商业" sheetId="33" r:id="rId23"/>
    <sheet name="典型户型修正商业" sheetId="31" r:id="rId24"/>
    <sheet name="结果表 (2)" sheetId="80"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典型户型修正车位" sheetId="81" r:id="rId46"/>
    <sheet name="结果表 (3)" sheetId="85" state="hidden" r:id="rId47"/>
    <sheet name="Sheet1" sheetId="77" r:id="rId48"/>
    <sheet name="Pivot" sheetId="78" r:id="rId49"/>
    <sheet name="Adj RR" sheetId="79" r:id="rId50"/>
    <sheet name="车库清单" sheetId="83" r:id="rId51"/>
  </sheets>
  <definedNames>
    <definedName name="_xlnm._FilterDatabase" localSheetId="49" hidden="1">'Adj RR'!$B$4:$P$79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5">典型户型修正车位!$5:$5</definedName>
    <definedName name="一修多修正项2">典型户型修正商业!$5:$5</definedName>
    <definedName name="一修多修正项3" localSheetId="45">典型户型修正车位!$7:$7</definedName>
    <definedName name="一修多修正项3">典型户型修正商业!$7:$7</definedName>
    <definedName name="一修多修正项4" localSheetId="45">典型户型修正车位!$9:$9</definedName>
    <definedName name="一修多修正项4">典型户型修正商业!$9:$9</definedName>
    <definedName name="一修多修正项5" localSheetId="45">典型户型修正车位!$11:$11</definedName>
    <definedName name="一修多修正项5">典型户型修正商业!$11:$11</definedName>
    <definedName name="一修多修正项6" localSheetId="45">典型户型修正车位!$13:$13</definedName>
    <definedName name="一修多修正项6">典型户型修正商业!$13:$13</definedName>
    <definedName name="一修多修正项7" localSheetId="45">典型户型修正车位!$15:$15</definedName>
    <definedName name="一修多修正项7">典型户型修正商业!$15:$15</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pivotCaches>
    <pivotCache cacheId="0" r:id="rId52"/>
  </pivotCaches>
</workbook>
</file>

<file path=xl/calcChain.xml><?xml version="1.0" encoding="utf-8"?>
<calcChain xmlns="http://schemas.openxmlformats.org/spreadsheetml/2006/main">
  <c r="H12" i="77" l="1"/>
  <c r="F12" i="77" s="1"/>
  <c r="I47" i="33"/>
  <c r="G47" i="33"/>
  <c r="E47" i="33"/>
  <c r="E12" i="77"/>
  <c r="G10" i="77"/>
  <c r="G9" i="77"/>
  <c r="G8" i="77"/>
  <c r="G7" i="77"/>
  <c r="H9" i="77"/>
  <c r="R24" i="81"/>
  <c r="AA18" i="1" l="1"/>
  <c r="N18" i="1"/>
  <c r="A120" i="85" l="1"/>
  <c r="E111" i="85"/>
  <c r="A126" i="85" s="1"/>
  <c r="H109" i="85"/>
  <c r="D124" i="85" s="1"/>
  <c r="D125" i="85" s="1"/>
  <c r="E109" i="85"/>
  <c r="A124" i="85" s="1"/>
  <c r="E107" i="85"/>
  <c r="A122" i="85" s="1"/>
  <c r="H106" i="85"/>
  <c r="H105" i="85"/>
  <c r="H104" i="85"/>
  <c r="H103" i="85"/>
  <c r="D120" i="85" s="1"/>
  <c r="D101" i="85"/>
  <c r="C101" i="85"/>
  <c r="C91" i="85"/>
  <c r="E90" i="85"/>
  <c r="D89" i="85"/>
  <c r="C89" i="85" s="1"/>
  <c r="C87" i="85" s="1"/>
  <c r="H77" i="85"/>
  <c r="D77" i="85"/>
  <c r="C76" i="85"/>
  <c r="F59" i="85"/>
  <c r="E59" i="85"/>
  <c r="D59" i="85"/>
  <c r="F56" i="85"/>
  <c r="O54" i="85" s="1"/>
  <c r="O55" i="85"/>
  <c r="N55" i="85"/>
  <c r="M55" i="85"/>
  <c r="K55" i="85"/>
  <c r="J55" i="85"/>
  <c r="I55" i="85"/>
  <c r="F55" i="85" s="1"/>
  <c r="O53" i="85" s="1"/>
  <c r="N54" i="85"/>
  <c r="N53" i="85"/>
  <c r="K49" i="85"/>
  <c r="E48" i="85"/>
  <c r="N52" i="85" s="1"/>
  <c r="F33" i="85"/>
  <c r="D27" i="85"/>
  <c r="C25" i="85"/>
  <c r="C24" i="85"/>
  <c r="D17" i="85"/>
  <c r="C17" i="85"/>
  <c r="L4" i="85"/>
  <c r="K4" i="85"/>
  <c r="H1" i="85"/>
  <c r="O7" i="79"/>
  <c r="C18" i="85" l="1"/>
  <c r="D18" i="85" s="1"/>
  <c r="C92" i="85"/>
  <c r="C94" i="85"/>
  <c r="K120" i="85"/>
  <c r="D121" i="85"/>
  <c r="H110" i="85"/>
  <c r="B25" i="31"/>
  <c r="B26" i="31"/>
  <c r="B27" i="31"/>
  <c r="B28" i="31"/>
  <c r="B24" i="31"/>
  <c r="G36" i="33"/>
  <c r="I36" i="33"/>
  <c r="D59" i="33"/>
  <c r="E59" i="33" s="1"/>
  <c r="F59" i="33" s="1"/>
  <c r="G59" i="33" s="1"/>
  <c r="H59" i="33" s="1"/>
  <c r="I59" i="33" s="1"/>
  <c r="J59" i="33" s="1"/>
  <c r="K59" i="33" s="1"/>
  <c r="L59" i="33" s="1"/>
  <c r="E36" i="33"/>
  <c r="C33" i="33"/>
  <c r="B25" i="81"/>
  <c r="B26" i="81"/>
  <c r="B27" i="81"/>
  <c r="B28" i="81"/>
  <c r="B29" i="81"/>
  <c r="B30" i="81"/>
  <c r="B31" i="81"/>
  <c r="B32" i="81"/>
  <c r="B33" i="81"/>
  <c r="B34" i="81"/>
  <c r="B35" i="81"/>
  <c r="B36" i="81"/>
  <c r="B37" i="81"/>
  <c r="B38" i="81"/>
  <c r="B39" i="81"/>
  <c r="B40" i="81"/>
  <c r="B41" i="81"/>
  <c r="B42" i="81"/>
  <c r="B43" i="81"/>
  <c r="B44" i="81"/>
  <c r="B45" i="81"/>
  <c r="B46" i="81"/>
  <c r="B47" i="81"/>
  <c r="B48" i="81"/>
  <c r="B49" i="81"/>
  <c r="B50" i="81"/>
  <c r="B51" i="81"/>
  <c r="B52" i="81"/>
  <c r="B53" i="81"/>
  <c r="B54" i="81"/>
  <c r="B55" i="81"/>
  <c r="B56" i="81"/>
  <c r="B57" i="81"/>
  <c r="B58" i="81"/>
  <c r="B59" i="81"/>
  <c r="B60" i="81"/>
  <c r="B61" i="81"/>
  <c r="B62" i="81"/>
  <c r="B63" i="81"/>
  <c r="B64" i="81"/>
  <c r="B65" i="81"/>
  <c r="B66" i="81"/>
  <c r="B67" i="81"/>
  <c r="B68" i="81"/>
  <c r="B69" i="81"/>
  <c r="B70" i="81"/>
  <c r="B71" i="81"/>
  <c r="B72" i="81"/>
  <c r="B73" i="81"/>
  <c r="B74" i="81"/>
  <c r="B75" i="81"/>
  <c r="B76" i="81"/>
  <c r="B77" i="81"/>
  <c r="B78" i="81"/>
  <c r="B79" i="81"/>
  <c r="B80" i="81"/>
  <c r="B81" i="81"/>
  <c r="B82" i="81"/>
  <c r="B83" i="81"/>
  <c r="B84" i="81"/>
  <c r="B85" i="81"/>
  <c r="B86" i="81"/>
  <c r="B87" i="81"/>
  <c r="B88" i="81"/>
  <c r="B89" i="81"/>
  <c r="B90" i="81"/>
  <c r="B91" i="81"/>
  <c r="B92" i="81"/>
  <c r="B93" i="81"/>
  <c r="B94" i="81"/>
  <c r="B95" i="81"/>
  <c r="B96" i="81"/>
  <c r="B97" i="81"/>
  <c r="B98" i="81"/>
  <c r="B99" i="81"/>
  <c r="B100" i="81"/>
  <c r="B101" i="81"/>
  <c r="B102" i="81"/>
  <c r="B103" i="81"/>
  <c r="B104" i="81"/>
  <c r="B105" i="81"/>
  <c r="B106" i="81"/>
  <c r="B107" i="81"/>
  <c r="B108" i="81"/>
  <c r="B109" i="81"/>
  <c r="B110" i="81"/>
  <c r="B111" i="81"/>
  <c r="B112" i="81"/>
  <c r="B113" i="81"/>
  <c r="B114" i="81"/>
  <c r="B115" i="81"/>
  <c r="B116" i="81"/>
  <c r="B117" i="81"/>
  <c r="B118" i="81"/>
  <c r="B119" i="81"/>
  <c r="B120" i="81"/>
  <c r="B121" i="81"/>
  <c r="B122" i="81"/>
  <c r="B123" i="81"/>
  <c r="B124" i="81"/>
  <c r="B24" i="81"/>
  <c r="I29" i="35"/>
  <c r="G29" i="35"/>
  <c r="C31" i="35"/>
  <c r="E29" i="35" l="1"/>
  <c r="C104" i="83"/>
  <c r="R524" i="81" l="1"/>
  <c r="S524" i="81" s="1"/>
  <c r="Q524" i="81"/>
  <c r="O524" i="81"/>
  <c r="M524" i="81"/>
  <c r="K524" i="81"/>
  <c r="I524" i="81"/>
  <c r="G524" i="81"/>
  <c r="E524" i="81"/>
  <c r="C524" i="81"/>
  <c r="R523" i="81"/>
  <c r="S523" i="81" s="1"/>
  <c r="Q523" i="81"/>
  <c r="O523" i="81"/>
  <c r="M523" i="81"/>
  <c r="K523" i="81"/>
  <c r="I523" i="81"/>
  <c r="G523" i="81"/>
  <c r="E523" i="81"/>
  <c r="C523" i="81"/>
  <c r="R522" i="81"/>
  <c r="S522" i="81" s="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R518" i="81"/>
  <c r="S518" i="81" s="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R514" i="81"/>
  <c r="S514" i="81" s="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R510" i="81"/>
  <c r="S510" i="81" s="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R507" i="81"/>
  <c r="S507" i="81" s="1"/>
  <c r="Q507" i="81"/>
  <c r="O507" i="81"/>
  <c r="M507" i="81"/>
  <c r="K507" i="81"/>
  <c r="I507" i="81"/>
  <c r="G507" i="81"/>
  <c r="E507" i="81"/>
  <c r="C507" i="81"/>
  <c r="R506" i="81"/>
  <c r="S506" i="81" s="1"/>
  <c r="Q506" i="81"/>
  <c r="O506" i="81"/>
  <c r="M506" i="81"/>
  <c r="K506" i="81"/>
  <c r="I506" i="81"/>
  <c r="G506" i="81"/>
  <c r="E506" i="81"/>
  <c r="C506" i="81"/>
  <c r="R505" i="81"/>
  <c r="S505" i="81" s="1"/>
  <c r="Q505" i="81"/>
  <c r="O505" i="81"/>
  <c r="M505" i="81"/>
  <c r="K505" i="81"/>
  <c r="I505" i="81"/>
  <c r="G505" i="81"/>
  <c r="E505" i="81"/>
  <c r="C505" i="81"/>
  <c r="R504" i="81"/>
  <c r="S504" i="81" s="1"/>
  <c r="Q504" i="81"/>
  <c r="O504" i="81"/>
  <c r="M504" i="81"/>
  <c r="K504" i="81"/>
  <c r="I504" i="81"/>
  <c r="G504" i="81"/>
  <c r="E504" i="81"/>
  <c r="C504" i="81"/>
  <c r="R503" i="81"/>
  <c r="S503" i="81" s="1"/>
  <c r="Q503" i="81"/>
  <c r="O503" i="81"/>
  <c r="M503" i="81"/>
  <c r="K503" i="81"/>
  <c r="I503" i="81"/>
  <c r="G503" i="81"/>
  <c r="E503" i="81"/>
  <c r="C503" i="81"/>
  <c r="R502" i="81"/>
  <c r="S502" i="81" s="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R499" i="81"/>
  <c r="S499" i="81" s="1"/>
  <c r="Q499" i="81"/>
  <c r="O499" i="81"/>
  <c r="M499" i="81"/>
  <c r="K499" i="81"/>
  <c r="I499" i="81"/>
  <c r="G499" i="81"/>
  <c r="E499" i="81"/>
  <c r="C499" i="81"/>
  <c r="R498" i="81"/>
  <c r="S498" i="81" s="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R494" i="81"/>
  <c r="S494" i="81" s="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R491" i="81"/>
  <c r="S491" i="81" s="1"/>
  <c r="Q491" i="81"/>
  <c r="O491" i="81"/>
  <c r="M491" i="81"/>
  <c r="K491" i="81"/>
  <c r="I491" i="81"/>
  <c r="G491" i="81"/>
  <c r="E491" i="81"/>
  <c r="C491" i="81"/>
  <c r="R490" i="81"/>
  <c r="S490" i="81" s="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R487" i="81"/>
  <c r="S487" i="81" s="1"/>
  <c r="Q487" i="81"/>
  <c r="O487" i="81"/>
  <c r="M487" i="81"/>
  <c r="K487" i="81"/>
  <c r="I487" i="81"/>
  <c r="G487" i="81"/>
  <c r="E487" i="81"/>
  <c r="C487" i="81"/>
  <c r="R486" i="81"/>
  <c r="S486" i="81" s="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R482" i="81"/>
  <c r="S482" i="81" s="1"/>
  <c r="Q482" i="81"/>
  <c r="O482" i="81"/>
  <c r="M482" i="81"/>
  <c r="K482" i="81"/>
  <c r="I482" i="81"/>
  <c r="G482" i="81"/>
  <c r="E482" i="81"/>
  <c r="C482" i="81"/>
  <c r="R481" i="81"/>
  <c r="S481" i="81" s="1"/>
  <c r="Q481" i="81"/>
  <c r="O481" i="81"/>
  <c r="M481" i="81"/>
  <c r="K481" i="81"/>
  <c r="I481" i="81"/>
  <c r="G481" i="81"/>
  <c r="E481" i="81"/>
  <c r="C481" i="81"/>
  <c r="R480" i="81"/>
  <c r="S480" i="81" s="1"/>
  <c r="Q480" i="81"/>
  <c r="O480" i="81"/>
  <c r="M480" i="81"/>
  <c r="K480" i="81"/>
  <c r="I480" i="81"/>
  <c r="G480" i="81"/>
  <c r="E480" i="81"/>
  <c r="C480" i="81"/>
  <c r="R479" i="81"/>
  <c r="S479" i="81" s="1"/>
  <c r="Q479" i="81"/>
  <c r="O479" i="81"/>
  <c r="M479" i="81"/>
  <c r="K479" i="81"/>
  <c r="I479" i="81"/>
  <c r="G479" i="81"/>
  <c r="E479" i="81"/>
  <c r="C479" i="81"/>
  <c r="R478" i="81"/>
  <c r="S478" i="81" s="1"/>
  <c r="Q478" i="81"/>
  <c r="O478" i="81"/>
  <c r="M478" i="81"/>
  <c r="K478" i="81"/>
  <c r="I478" i="81"/>
  <c r="G478" i="81"/>
  <c r="E478" i="81"/>
  <c r="C478" i="81"/>
  <c r="R477" i="81"/>
  <c r="S477" i="81" s="1"/>
  <c r="Q477" i="81"/>
  <c r="O477" i="81"/>
  <c r="M477" i="81"/>
  <c r="K477" i="81"/>
  <c r="I477" i="81"/>
  <c r="G477" i="81"/>
  <c r="E477" i="81"/>
  <c r="C477" i="81"/>
  <c r="R476" i="81"/>
  <c r="S476" i="81" s="1"/>
  <c r="Q476" i="81"/>
  <c r="O476" i="81"/>
  <c r="M476" i="81"/>
  <c r="K476" i="81"/>
  <c r="I476" i="81"/>
  <c r="G476" i="81"/>
  <c r="E476" i="81"/>
  <c r="C476" i="81"/>
  <c r="R475" i="81"/>
  <c r="S475" i="81" s="1"/>
  <c r="Q475" i="81"/>
  <c r="O475" i="81"/>
  <c r="M475" i="81"/>
  <c r="K475" i="81"/>
  <c r="I475" i="81"/>
  <c r="G475" i="81"/>
  <c r="E475" i="81"/>
  <c r="C475" i="81"/>
  <c r="R474" i="81"/>
  <c r="S474" i="81" s="1"/>
  <c r="Q474" i="81"/>
  <c r="O474" i="81"/>
  <c r="M474" i="81"/>
  <c r="K474" i="81"/>
  <c r="I474" i="81"/>
  <c r="G474" i="81"/>
  <c r="E474" i="81"/>
  <c r="C474" i="81"/>
  <c r="R473" i="81"/>
  <c r="S473" i="81" s="1"/>
  <c r="Q473" i="81"/>
  <c r="O473" i="81"/>
  <c r="M473" i="81"/>
  <c r="K473" i="81"/>
  <c r="I473" i="81"/>
  <c r="G473" i="81"/>
  <c r="E473" i="81"/>
  <c r="C473" i="81"/>
  <c r="R472" i="81"/>
  <c r="S472" i="81" s="1"/>
  <c r="Q472" i="81"/>
  <c r="O472" i="81"/>
  <c r="M472" i="81"/>
  <c r="K472" i="81"/>
  <c r="I472" i="81"/>
  <c r="G472" i="81"/>
  <c r="E472" i="81"/>
  <c r="C472" i="81"/>
  <c r="R471" i="81"/>
  <c r="S471" i="81" s="1"/>
  <c r="Q471" i="81"/>
  <c r="O471" i="81"/>
  <c r="M471" i="81"/>
  <c r="K471" i="81"/>
  <c r="I471" i="81"/>
  <c r="G471" i="81"/>
  <c r="E471" i="81"/>
  <c r="C471" i="81"/>
  <c r="R470" i="81"/>
  <c r="S470" i="81" s="1"/>
  <c r="Q470" i="81"/>
  <c r="O470" i="81"/>
  <c r="M470" i="81"/>
  <c r="K470" i="81"/>
  <c r="I470" i="81"/>
  <c r="G470" i="81"/>
  <c r="E470" i="81"/>
  <c r="C470" i="81"/>
  <c r="R469" i="81"/>
  <c r="S469" i="81" s="1"/>
  <c r="Q469" i="81"/>
  <c r="O469" i="81"/>
  <c r="M469" i="81"/>
  <c r="K469" i="81"/>
  <c r="I469" i="81"/>
  <c r="G469" i="81"/>
  <c r="E469" i="81"/>
  <c r="C469" i="81"/>
  <c r="R468" i="81"/>
  <c r="S468" i="81" s="1"/>
  <c r="Q468" i="81"/>
  <c r="O468" i="81"/>
  <c r="M468" i="81"/>
  <c r="K468" i="81"/>
  <c r="I468" i="81"/>
  <c r="G468" i="81"/>
  <c r="E468" i="81"/>
  <c r="C468" i="81"/>
  <c r="R467" i="81"/>
  <c r="S467" i="81" s="1"/>
  <c r="Q467" i="81"/>
  <c r="O467" i="81"/>
  <c r="M467" i="81"/>
  <c r="K467" i="81"/>
  <c r="I467" i="81"/>
  <c r="G467" i="81"/>
  <c r="E467" i="81"/>
  <c r="C467" i="81"/>
  <c r="R466" i="81"/>
  <c r="S466" i="81" s="1"/>
  <c r="Q466" i="81"/>
  <c r="O466" i="81"/>
  <c r="M466" i="81"/>
  <c r="K466" i="81"/>
  <c r="I466" i="81"/>
  <c r="G466" i="81"/>
  <c r="E466" i="81"/>
  <c r="C466" i="81"/>
  <c r="R465" i="81"/>
  <c r="S465" i="81" s="1"/>
  <c r="Q465" i="81"/>
  <c r="O465" i="81"/>
  <c r="M465" i="81"/>
  <c r="K465" i="81"/>
  <c r="I465" i="81"/>
  <c r="G465" i="81"/>
  <c r="E465" i="81"/>
  <c r="C465" i="81"/>
  <c r="R464" i="81"/>
  <c r="S464" i="81" s="1"/>
  <c r="Q464" i="81"/>
  <c r="O464" i="81"/>
  <c r="M464" i="81"/>
  <c r="K464" i="81"/>
  <c r="I464" i="81"/>
  <c r="G464" i="81"/>
  <c r="E464" i="81"/>
  <c r="C464" i="81"/>
  <c r="R463" i="81"/>
  <c r="S463" i="81" s="1"/>
  <c r="Q463" i="81"/>
  <c r="O463" i="81"/>
  <c r="M463" i="81"/>
  <c r="K463" i="81"/>
  <c r="I463" i="81"/>
  <c r="G463" i="81"/>
  <c r="E463" i="81"/>
  <c r="C463" i="81"/>
  <c r="R462" i="81"/>
  <c r="S462" i="81" s="1"/>
  <c r="Q462" i="81"/>
  <c r="O462" i="81"/>
  <c r="M462" i="81"/>
  <c r="K462" i="81"/>
  <c r="I462" i="81"/>
  <c r="G462" i="81"/>
  <c r="E462" i="81"/>
  <c r="C462" i="81"/>
  <c r="R461" i="81"/>
  <c r="S461" i="81" s="1"/>
  <c r="Q461" i="81"/>
  <c r="O461" i="81"/>
  <c r="M461" i="81"/>
  <c r="K461" i="81"/>
  <c r="I461" i="81"/>
  <c r="G461" i="81"/>
  <c r="E461" i="81"/>
  <c r="C461" i="81"/>
  <c r="R460" i="81"/>
  <c r="S460" i="81" s="1"/>
  <c r="Q460" i="81"/>
  <c r="O460" i="81"/>
  <c r="M460" i="81"/>
  <c r="K460" i="81"/>
  <c r="I460" i="81"/>
  <c r="G460" i="81"/>
  <c r="E460" i="81"/>
  <c r="C460" i="81"/>
  <c r="R459" i="81"/>
  <c r="S459" i="81" s="1"/>
  <c r="Q459" i="81"/>
  <c r="O459" i="81"/>
  <c r="M459" i="81"/>
  <c r="K459" i="81"/>
  <c r="I459" i="81"/>
  <c r="G459" i="81"/>
  <c r="E459" i="81"/>
  <c r="C459" i="81"/>
  <c r="R458" i="81"/>
  <c r="S458" i="81" s="1"/>
  <c r="Q458" i="81"/>
  <c r="O458" i="81"/>
  <c r="M458" i="81"/>
  <c r="K458" i="81"/>
  <c r="I458" i="81"/>
  <c r="G458" i="81"/>
  <c r="E458" i="81"/>
  <c r="C458" i="81"/>
  <c r="R457" i="81"/>
  <c r="S457" i="81" s="1"/>
  <c r="Q457" i="81"/>
  <c r="O457" i="81"/>
  <c r="M457" i="81"/>
  <c r="K457" i="81"/>
  <c r="I457" i="81"/>
  <c r="G457" i="81"/>
  <c r="E457" i="81"/>
  <c r="C457" i="81"/>
  <c r="R456" i="81"/>
  <c r="S456" i="81" s="1"/>
  <c r="Q456" i="81"/>
  <c r="O456" i="81"/>
  <c r="M456" i="81"/>
  <c r="K456" i="81"/>
  <c r="I456" i="81"/>
  <c r="G456" i="81"/>
  <c r="E456" i="81"/>
  <c r="C456" i="81"/>
  <c r="R455" i="81"/>
  <c r="S455" i="81" s="1"/>
  <c r="Q455" i="81"/>
  <c r="O455" i="81"/>
  <c r="M455" i="81"/>
  <c r="K455" i="81"/>
  <c r="I455" i="81"/>
  <c r="G455" i="81"/>
  <c r="E455" i="81"/>
  <c r="C455" i="81"/>
  <c r="R454" i="81"/>
  <c r="S454" i="81" s="1"/>
  <c r="Q454" i="81"/>
  <c r="O454" i="81"/>
  <c r="M454" i="81"/>
  <c r="K454" i="81"/>
  <c r="I454" i="81"/>
  <c r="G454" i="81"/>
  <c r="E454" i="81"/>
  <c r="C454" i="81"/>
  <c r="R453" i="81"/>
  <c r="S453" i="81" s="1"/>
  <c r="Q453" i="81"/>
  <c r="O453" i="81"/>
  <c r="M453" i="81"/>
  <c r="K453" i="81"/>
  <c r="I453" i="81"/>
  <c r="G453" i="81"/>
  <c r="E453" i="81"/>
  <c r="C453" i="81"/>
  <c r="R452" i="81"/>
  <c r="S452" i="81" s="1"/>
  <c r="Q452" i="81"/>
  <c r="O452" i="81"/>
  <c r="M452" i="81"/>
  <c r="K452" i="81"/>
  <c r="I452" i="81"/>
  <c r="G452" i="81"/>
  <c r="E452" i="81"/>
  <c r="C452" i="81"/>
  <c r="R451" i="81"/>
  <c r="S451" i="81" s="1"/>
  <c r="Q451" i="81"/>
  <c r="O451" i="81"/>
  <c r="M451" i="81"/>
  <c r="K451" i="81"/>
  <c r="I451" i="81"/>
  <c r="G451" i="81"/>
  <c r="E451" i="81"/>
  <c r="C451" i="81"/>
  <c r="R450" i="81"/>
  <c r="S450" i="81" s="1"/>
  <c r="Q450" i="81"/>
  <c r="O450" i="81"/>
  <c r="M450" i="81"/>
  <c r="K450" i="81"/>
  <c r="I450" i="81"/>
  <c r="G450" i="81"/>
  <c r="E450" i="81"/>
  <c r="C450" i="81"/>
  <c r="R449" i="81"/>
  <c r="S449" i="81" s="1"/>
  <c r="Q449" i="81"/>
  <c r="O449" i="81"/>
  <c r="M449" i="81"/>
  <c r="K449" i="81"/>
  <c r="I449" i="81"/>
  <c r="G449" i="81"/>
  <c r="E449" i="81"/>
  <c r="C449" i="81"/>
  <c r="R448" i="81"/>
  <c r="S448" i="81" s="1"/>
  <c r="Q448" i="81"/>
  <c r="O448" i="81"/>
  <c r="M448" i="81"/>
  <c r="K448" i="81"/>
  <c r="I448" i="81"/>
  <c r="G448" i="81"/>
  <c r="E448" i="81"/>
  <c r="C448" i="81"/>
  <c r="R447" i="81"/>
  <c r="S447" i="81" s="1"/>
  <c r="Q447" i="81"/>
  <c r="O447" i="81"/>
  <c r="M447" i="81"/>
  <c r="K447" i="81"/>
  <c r="I447" i="81"/>
  <c r="G447" i="81"/>
  <c r="E447" i="81"/>
  <c r="C447" i="81"/>
  <c r="R446" i="81"/>
  <c r="S446" i="81" s="1"/>
  <c r="Q446" i="81"/>
  <c r="O446" i="81"/>
  <c r="M446" i="81"/>
  <c r="K446" i="81"/>
  <c r="I446" i="81"/>
  <c r="G446" i="81"/>
  <c r="E446" i="81"/>
  <c r="C446" i="81"/>
  <c r="R445" i="81"/>
  <c r="S445" i="81" s="1"/>
  <c r="Q445" i="81"/>
  <c r="O445" i="81"/>
  <c r="M445" i="81"/>
  <c r="K445" i="81"/>
  <c r="I445" i="81"/>
  <c r="G445" i="81"/>
  <c r="E445" i="81"/>
  <c r="C445" i="81"/>
  <c r="R444" i="81"/>
  <c r="S444" i="81" s="1"/>
  <c r="Q444" i="81"/>
  <c r="O444" i="81"/>
  <c r="M444" i="81"/>
  <c r="K444" i="81"/>
  <c r="I444" i="81"/>
  <c r="G444" i="81"/>
  <c r="E444" i="81"/>
  <c r="C444" i="81"/>
  <c r="R443" i="81"/>
  <c r="S443" i="81" s="1"/>
  <c r="Q443" i="81"/>
  <c r="O443" i="81"/>
  <c r="M443" i="81"/>
  <c r="K443" i="81"/>
  <c r="I443" i="81"/>
  <c r="G443" i="81"/>
  <c r="E443" i="81"/>
  <c r="C443" i="81"/>
  <c r="R442" i="81"/>
  <c r="S442" i="81" s="1"/>
  <c r="Q442" i="81"/>
  <c r="O442" i="81"/>
  <c r="M442" i="81"/>
  <c r="K442" i="81"/>
  <c r="I442" i="81"/>
  <c r="G442" i="81"/>
  <c r="E442" i="81"/>
  <c r="C442" i="81"/>
  <c r="R441" i="81"/>
  <c r="S441" i="81" s="1"/>
  <c r="Q441" i="81"/>
  <c r="O441" i="81"/>
  <c r="M441" i="81"/>
  <c r="K441" i="81"/>
  <c r="I441" i="81"/>
  <c r="G441" i="81"/>
  <c r="E441" i="81"/>
  <c r="C441" i="81"/>
  <c r="R440" i="81"/>
  <c r="S440" i="81" s="1"/>
  <c r="Q440" i="81"/>
  <c r="O440" i="81"/>
  <c r="M440" i="81"/>
  <c r="K440" i="81"/>
  <c r="I440" i="81"/>
  <c r="G440" i="81"/>
  <c r="E440" i="81"/>
  <c r="C440" i="81"/>
  <c r="R439" i="81"/>
  <c r="S439" i="81" s="1"/>
  <c r="Q439" i="81"/>
  <c r="O439" i="81"/>
  <c r="M439" i="81"/>
  <c r="K439" i="81"/>
  <c r="I439" i="81"/>
  <c r="G439" i="81"/>
  <c r="E439" i="81"/>
  <c r="C439" i="81"/>
  <c r="R438" i="81"/>
  <c r="S438" i="81" s="1"/>
  <c r="Q438" i="81"/>
  <c r="O438" i="81"/>
  <c r="M438" i="81"/>
  <c r="K438" i="81"/>
  <c r="I438" i="81"/>
  <c r="G438" i="81"/>
  <c r="E438" i="81"/>
  <c r="C438" i="81"/>
  <c r="R437" i="81"/>
  <c r="S437" i="81" s="1"/>
  <c r="Q437" i="81"/>
  <c r="O437" i="81"/>
  <c r="M437" i="81"/>
  <c r="K437" i="81"/>
  <c r="I437" i="81"/>
  <c r="G437" i="81"/>
  <c r="E437" i="81"/>
  <c r="C437" i="81"/>
  <c r="R436" i="81"/>
  <c r="S436" i="81" s="1"/>
  <c r="Q436" i="81"/>
  <c r="O436" i="81"/>
  <c r="M436" i="81"/>
  <c r="K436" i="81"/>
  <c r="I436" i="81"/>
  <c r="G436" i="81"/>
  <c r="E436" i="81"/>
  <c r="C436" i="81"/>
  <c r="R435" i="81"/>
  <c r="S435" i="81" s="1"/>
  <c r="Q435" i="81"/>
  <c r="O435" i="81"/>
  <c r="M435" i="81"/>
  <c r="K435" i="81"/>
  <c r="I435" i="81"/>
  <c r="G435" i="81"/>
  <c r="E435" i="81"/>
  <c r="C435" i="81"/>
  <c r="R434" i="81"/>
  <c r="S434" i="81" s="1"/>
  <c r="Q434" i="81"/>
  <c r="O434" i="81"/>
  <c r="M434" i="81"/>
  <c r="K434" i="81"/>
  <c r="I434" i="81"/>
  <c r="G434" i="81"/>
  <c r="E434" i="81"/>
  <c r="C434" i="81"/>
  <c r="R433" i="81"/>
  <c r="S433" i="81" s="1"/>
  <c r="Q433" i="81"/>
  <c r="O433" i="81"/>
  <c r="M433" i="81"/>
  <c r="K433" i="81"/>
  <c r="I433" i="81"/>
  <c r="G433" i="81"/>
  <c r="E433" i="81"/>
  <c r="C433" i="81"/>
  <c r="R432" i="81"/>
  <c r="S432" i="81" s="1"/>
  <c r="Q432" i="81"/>
  <c r="O432" i="81"/>
  <c r="M432" i="81"/>
  <c r="K432" i="81"/>
  <c r="I432" i="81"/>
  <c r="G432" i="81"/>
  <c r="E432" i="81"/>
  <c r="C432" i="81"/>
  <c r="R431" i="81"/>
  <c r="S431" i="81" s="1"/>
  <c r="Q431" i="81"/>
  <c r="O431" i="81"/>
  <c r="M431" i="81"/>
  <c r="K431" i="81"/>
  <c r="I431" i="81"/>
  <c r="G431" i="81"/>
  <c r="E431" i="81"/>
  <c r="C431" i="81"/>
  <c r="R430" i="81"/>
  <c r="S430" i="81" s="1"/>
  <c r="Q430" i="81"/>
  <c r="O430" i="81"/>
  <c r="M430" i="81"/>
  <c r="K430" i="81"/>
  <c r="I430" i="81"/>
  <c r="G430" i="81"/>
  <c r="E430" i="81"/>
  <c r="C430" i="81"/>
  <c r="R429" i="81"/>
  <c r="S429" i="81" s="1"/>
  <c r="Q429" i="81"/>
  <c r="O429" i="81"/>
  <c r="M429" i="81"/>
  <c r="K429" i="81"/>
  <c r="I429" i="81"/>
  <c r="G429" i="81"/>
  <c r="E429" i="81"/>
  <c r="C429" i="81"/>
  <c r="R428" i="81"/>
  <c r="S428" i="81" s="1"/>
  <c r="Q428" i="81"/>
  <c r="O428" i="81"/>
  <c r="M428" i="81"/>
  <c r="K428" i="81"/>
  <c r="I428" i="81"/>
  <c r="G428" i="81"/>
  <c r="E428" i="81"/>
  <c r="C428" i="81"/>
  <c r="R427" i="81"/>
  <c r="S427" i="81" s="1"/>
  <c r="Q427" i="81"/>
  <c r="O427" i="81"/>
  <c r="M427" i="81"/>
  <c r="K427" i="81"/>
  <c r="I427" i="81"/>
  <c r="G427" i="81"/>
  <c r="E427" i="81"/>
  <c r="C427" i="81"/>
  <c r="R426" i="81"/>
  <c r="S426" i="81" s="1"/>
  <c r="Q426" i="81"/>
  <c r="O426" i="81"/>
  <c r="M426" i="81"/>
  <c r="K426" i="81"/>
  <c r="I426" i="81"/>
  <c r="G426" i="81"/>
  <c r="E426" i="81"/>
  <c r="C426" i="81"/>
  <c r="R425" i="81"/>
  <c r="S425" i="81" s="1"/>
  <c r="Q425" i="81"/>
  <c r="O425" i="81"/>
  <c r="M425" i="81"/>
  <c r="K425" i="81"/>
  <c r="I425" i="81"/>
  <c r="G425" i="81"/>
  <c r="E425" i="81"/>
  <c r="C425" i="81"/>
  <c r="R424" i="81"/>
  <c r="S424" i="81" s="1"/>
  <c r="Q424" i="81"/>
  <c r="O424" i="81"/>
  <c r="M424" i="81"/>
  <c r="K424" i="81"/>
  <c r="I424" i="81"/>
  <c r="G424" i="81"/>
  <c r="E424" i="81"/>
  <c r="C424" i="81"/>
  <c r="R423" i="81"/>
  <c r="S423" i="81" s="1"/>
  <c r="Q423" i="81"/>
  <c r="O423" i="81"/>
  <c r="M423" i="81"/>
  <c r="K423" i="81"/>
  <c r="I423" i="81"/>
  <c r="G423" i="81"/>
  <c r="E423" i="81"/>
  <c r="C423" i="81"/>
  <c r="R422" i="81"/>
  <c r="S422" i="81" s="1"/>
  <c r="Q422" i="81"/>
  <c r="O422" i="81"/>
  <c r="M422" i="81"/>
  <c r="K422" i="81"/>
  <c r="I422" i="81"/>
  <c r="G422" i="81"/>
  <c r="E422" i="81"/>
  <c r="C422" i="81"/>
  <c r="R421" i="81"/>
  <c r="S421" i="81" s="1"/>
  <c r="Q421" i="81"/>
  <c r="O421" i="81"/>
  <c r="M421" i="81"/>
  <c r="K421" i="81"/>
  <c r="I421" i="81"/>
  <c r="G421" i="81"/>
  <c r="E421" i="81"/>
  <c r="C421" i="81"/>
  <c r="R420" i="81"/>
  <c r="S420" i="81" s="1"/>
  <c r="Q420" i="81"/>
  <c r="O420" i="81"/>
  <c r="M420" i="81"/>
  <c r="K420" i="81"/>
  <c r="I420" i="81"/>
  <c r="G420" i="81"/>
  <c r="E420" i="81"/>
  <c r="C420" i="81"/>
  <c r="R419" i="81"/>
  <c r="S419" i="81" s="1"/>
  <c r="Q419" i="81"/>
  <c r="O419" i="81"/>
  <c r="M419" i="81"/>
  <c r="K419" i="81"/>
  <c r="I419" i="81"/>
  <c r="G419" i="81"/>
  <c r="E419" i="81"/>
  <c r="C419" i="81"/>
  <c r="R418" i="81"/>
  <c r="S418" i="81" s="1"/>
  <c r="Q418" i="81"/>
  <c r="O418" i="81"/>
  <c r="M418" i="81"/>
  <c r="K418" i="81"/>
  <c r="I418" i="81"/>
  <c r="G418" i="81"/>
  <c r="E418" i="81"/>
  <c r="C418" i="81"/>
  <c r="R417" i="81"/>
  <c r="S417" i="81" s="1"/>
  <c r="Q417" i="81"/>
  <c r="O417" i="81"/>
  <c r="M417" i="81"/>
  <c r="K417" i="81"/>
  <c r="I417" i="81"/>
  <c r="G417" i="81"/>
  <c r="E417" i="81"/>
  <c r="C417" i="81"/>
  <c r="R416" i="81"/>
  <c r="S416" i="81" s="1"/>
  <c r="Q416" i="81"/>
  <c r="O416" i="81"/>
  <c r="M416" i="81"/>
  <c r="K416" i="81"/>
  <c r="I416" i="81"/>
  <c r="G416" i="81"/>
  <c r="E416" i="81"/>
  <c r="C416" i="81"/>
  <c r="R415" i="81"/>
  <c r="S415" i="81" s="1"/>
  <c r="Q415" i="81"/>
  <c r="O415" i="81"/>
  <c r="M415" i="81"/>
  <c r="K415" i="81"/>
  <c r="I415" i="81"/>
  <c r="G415" i="81"/>
  <c r="E415" i="81"/>
  <c r="C415" i="81"/>
  <c r="R414" i="81"/>
  <c r="S414" i="81" s="1"/>
  <c r="Q414" i="81"/>
  <c r="O414" i="81"/>
  <c r="M414" i="81"/>
  <c r="K414" i="81"/>
  <c r="I414" i="81"/>
  <c r="G414" i="81"/>
  <c r="E414" i="81"/>
  <c r="C414" i="81"/>
  <c r="R413" i="81"/>
  <c r="S413" i="81" s="1"/>
  <c r="Q413" i="81"/>
  <c r="O413" i="81"/>
  <c r="M413" i="81"/>
  <c r="K413" i="81"/>
  <c r="I413" i="81"/>
  <c r="G413" i="81"/>
  <c r="E413" i="81"/>
  <c r="C413" i="81"/>
  <c r="R412" i="81"/>
  <c r="S412" i="81" s="1"/>
  <c r="Q412" i="81"/>
  <c r="O412" i="81"/>
  <c r="M412" i="81"/>
  <c r="K412" i="81"/>
  <c r="I412" i="81"/>
  <c r="G412" i="81"/>
  <c r="E412" i="81"/>
  <c r="C412" i="81"/>
  <c r="R411" i="81"/>
  <c r="S411" i="81" s="1"/>
  <c r="Q411" i="81"/>
  <c r="O411" i="81"/>
  <c r="M411" i="81"/>
  <c r="K411" i="81"/>
  <c r="I411" i="81"/>
  <c r="G411" i="81"/>
  <c r="E411" i="81"/>
  <c r="C411" i="81"/>
  <c r="R410" i="81"/>
  <c r="S410" i="81" s="1"/>
  <c r="Q410" i="81"/>
  <c r="O410" i="81"/>
  <c r="M410" i="81"/>
  <c r="K410" i="81"/>
  <c r="I410" i="81"/>
  <c r="G410" i="81"/>
  <c r="E410" i="81"/>
  <c r="C410" i="81"/>
  <c r="R409" i="81"/>
  <c r="S409" i="81" s="1"/>
  <c r="Q409" i="81"/>
  <c r="O409" i="81"/>
  <c r="M409" i="81"/>
  <c r="K409" i="81"/>
  <c r="I409" i="81"/>
  <c r="G409" i="81"/>
  <c r="E409" i="81"/>
  <c r="C409" i="81"/>
  <c r="R408" i="81"/>
  <c r="S408" i="81" s="1"/>
  <c r="Q408" i="81"/>
  <c r="O408" i="81"/>
  <c r="M408" i="81"/>
  <c r="K408" i="81"/>
  <c r="I408" i="81"/>
  <c r="G408" i="81"/>
  <c r="E408" i="81"/>
  <c r="C408" i="81"/>
  <c r="R407" i="81"/>
  <c r="S407" i="81" s="1"/>
  <c r="Q407" i="81"/>
  <c r="O407" i="81"/>
  <c r="M407" i="81"/>
  <c r="K407" i="81"/>
  <c r="I407" i="81"/>
  <c r="G407" i="81"/>
  <c r="E407" i="81"/>
  <c r="C407" i="81"/>
  <c r="R406" i="81"/>
  <c r="S406" i="81" s="1"/>
  <c r="Q406" i="81"/>
  <c r="O406" i="81"/>
  <c r="M406" i="81"/>
  <c r="K406" i="81"/>
  <c r="I406" i="81"/>
  <c r="G406" i="81"/>
  <c r="E406" i="81"/>
  <c r="C406" i="81"/>
  <c r="R405" i="81"/>
  <c r="S405" i="81" s="1"/>
  <c r="Q405" i="81"/>
  <c r="O405" i="81"/>
  <c r="M405" i="81"/>
  <c r="K405" i="81"/>
  <c r="I405" i="81"/>
  <c r="G405" i="81"/>
  <c r="E405" i="81"/>
  <c r="C405" i="81"/>
  <c r="R404" i="81"/>
  <c r="S404" i="81" s="1"/>
  <c r="Q404" i="81"/>
  <c r="O404" i="81"/>
  <c r="M404" i="81"/>
  <c r="K404" i="81"/>
  <c r="I404" i="81"/>
  <c r="G404" i="81"/>
  <c r="E404" i="81"/>
  <c r="C404" i="81"/>
  <c r="R403" i="81"/>
  <c r="S403" i="81" s="1"/>
  <c r="Q403" i="81"/>
  <c r="O403" i="81"/>
  <c r="M403" i="81"/>
  <c r="K403" i="81"/>
  <c r="I403" i="81"/>
  <c r="G403" i="81"/>
  <c r="E403" i="81"/>
  <c r="C403" i="81"/>
  <c r="R402" i="81"/>
  <c r="S402" i="81" s="1"/>
  <c r="Q402" i="81"/>
  <c r="O402" i="81"/>
  <c r="M402" i="81"/>
  <c r="K402" i="81"/>
  <c r="I402" i="81"/>
  <c r="G402" i="81"/>
  <c r="E402" i="81"/>
  <c r="C402" i="81"/>
  <c r="R401" i="81"/>
  <c r="S401" i="81" s="1"/>
  <c r="Q401" i="81"/>
  <c r="O401" i="81"/>
  <c r="M401" i="81"/>
  <c r="K401" i="81"/>
  <c r="I401" i="81"/>
  <c r="G401" i="81"/>
  <c r="E401" i="81"/>
  <c r="C401" i="81"/>
  <c r="R400" i="81"/>
  <c r="S400" i="81" s="1"/>
  <c r="Q400" i="81"/>
  <c r="O400" i="81"/>
  <c r="M400" i="81"/>
  <c r="K400" i="81"/>
  <c r="I400" i="81"/>
  <c r="G400" i="81"/>
  <c r="E400" i="81"/>
  <c r="C400" i="81"/>
  <c r="R399" i="81"/>
  <c r="S399" i="81" s="1"/>
  <c r="Q399" i="81"/>
  <c r="O399" i="81"/>
  <c r="M399" i="81"/>
  <c r="K399" i="81"/>
  <c r="I399" i="81"/>
  <c r="G399" i="81"/>
  <c r="E399" i="81"/>
  <c r="C399" i="81"/>
  <c r="R398" i="81"/>
  <c r="S398" i="81" s="1"/>
  <c r="Q398" i="81"/>
  <c r="O398" i="81"/>
  <c r="M398" i="81"/>
  <c r="K398" i="81"/>
  <c r="I398" i="81"/>
  <c r="G398" i="81"/>
  <c r="E398" i="81"/>
  <c r="C398" i="81"/>
  <c r="R397" i="81"/>
  <c r="S397" i="81" s="1"/>
  <c r="Q397" i="81"/>
  <c r="O397" i="81"/>
  <c r="M397" i="81"/>
  <c r="K397" i="81"/>
  <c r="I397" i="81"/>
  <c r="G397" i="81"/>
  <c r="E397" i="81"/>
  <c r="C397" i="81"/>
  <c r="R396" i="81"/>
  <c r="S396" i="81" s="1"/>
  <c r="Q396" i="81"/>
  <c r="O396" i="81"/>
  <c r="M396" i="81"/>
  <c r="K396" i="81"/>
  <c r="I396" i="81"/>
  <c r="G396" i="81"/>
  <c r="E396" i="81"/>
  <c r="C396" i="81"/>
  <c r="R395" i="81"/>
  <c r="S395" i="81" s="1"/>
  <c r="Q395" i="81"/>
  <c r="O395" i="81"/>
  <c r="M395" i="81"/>
  <c r="K395" i="81"/>
  <c r="I395" i="81"/>
  <c r="G395" i="81"/>
  <c r="E395" i="81"/>
  <c r="C395" i="81"/>
  <c r="R394" i="81"/>
  <c r="S394" i="81" s="1"/>
  <c r="Q394" i="81"/>
  <c r="O394" i="81"/>
  <c r="M394" i="81"/>
  <c r="K394" i="81"/>
  <c r="I394" i="81"/>
  <c r="G394" i="81"/>
  <c r="E394" i="81"/>
  <c r="C394" i="81"/>
  <c r="R393" i="81"/>
  <c r="S393" i="81" s="1"/>
  <c r="Q393" i="81"/>
  <c r="O393" i="81"/>
  <c r="M393" i="81"/>
  <c r="K393" i="81"/>
  <c r="I393" i="81"/>
  <c r="G393" i="81"/>
  <c r="E393" i="81"/>
  <c r="C393" i="81"/>
  <c r="R392" i="81"/>
  <c r="S392" i="81" s="1"/>
  <c r="Q392" i="81"/>
  <c r="O392" i="81"/>
  <c r="M392" i="81"/>
  <c r="K392" i="81"/>
  <c r="I392" i="81"/>
  <c r="G392" i="81"/>
  <c r="E392" i="81"/>
  <c r="C392" i="81"/>
  <c r="R391" i="81"/>
  <c r="S391" i="81" s="1"/>
  <c r="Q391" i="81"/>
  <c r="O391" i="81"/>
  <c r="M391" i="81"/>
  <c r="K391" i="81"/>
  <c r="I391" i="81"/>
  <c r="G391" i="81"/>
  <c r="E391" i="81"/>
  <c r="C391" i="81"/>
  <c r="R390" i="81"/>
  <c r="S390" i="81" s="1"/>
  <c r="Q390" i="81"/>
  <c r="O390" i="81"/>
  <c r="M390" i="81"/>
  <c r="K390" i="81"/>
  <c r="I390" i="81"/>
  <c r="G390" i="81"/>
  <c r="E390" i="81"/>
  <c r="C390" i="81"/>
  <c r="R389" i="81"/>
  <c r="S389" i="81" s="1"/>
  <c r="Q389" i="81"/>
  <c r="O389" i="81"/>
  <c r="M389" i="81"/>
  <c r="K389" i="81"/>
  <c r="I389" i="81"/>
  <c r="G389" i="81"/>
  <c r="E389" i="81"/>
  <c r="C389" i="81"/>
  <c r="R388" i="81"/>
  <c r="S388" i="81" s="1"/>
  <c r="Q388" i="81"/>
  <c r="O388" i="81"/>
  <c r="M388" i="81"/>
  <c r="K388" i="81"/>
  <c r="I388" i="81"/>
  <c r="G388" i="81"/>
  <c r="E388" i="81"/>
  <c r="C388" i="81"/>
  <c r="R387" i="81"/>
  <c r="S387" i="81" s="1"/>
  <c r="Q387" i="81"/>
  <c r="O387" i="81"/>
  <c r="M387" i="81"/>
  <c r="K387" i="81"/>
  <c r="I387" i="81"/>
  <c r="G387" i="81"/>
  <c r="E387" i="81"/>
  <c r="C387" i="81"/>
  <c r="R386" i="81"/>
  <c r="S386" i="81" s="1"/>
  <c r="Q386" i="81"/>
  <c r="O386" i="81"/>
  <c r="M386" i="81"/>
  <c r="K386" i="81"/>
  <c r="I386" i="81"/>
  <c r="G386" i="81"/>
  <c r="E386" i="81"/>
  <c r="C386" i="81"/>
  <c r="R385" i="81"/>
  <c r="S385" i="81" s="1"/>
  <c r="Q385" i="81"/>
  <c r="O385" i="81"/>
  <c r="M385" i="81"/>
  <c r="K385" i="81"/>
  <c r="I385" i="81"/>
  <c r="G385" i="81"/>
  <c r="E385" i="81"/>
  <c r="C385" i="81"/>
  <c r="R384" i="81"/>
  <c r="S384" i="81" s="1"/>
  <c r="Q384" i="81"/>
  <c r="O384" i="81"/>
  <c r="M384" i="81"/>
  <c r="K384" i="81"/>
  <c r="I384" i="81"/>
  <c r="G384" i="81"/>
  <c r="E384" i="81"/>
  <c r="C384" i="81"/>
  <c r="R383" i="81"/>
  <c r="S383" i="81" s="1"/>
  <c r="Q383" i="81"/>
  <c r="O383" i="81"/>
  <c r="M383" i="81"/>
  <c r="K383" i="81"/>
  <c r="I383" i="81"/>
  <c r="G383" i="81"/>
  <c r="E383" i="81"/>
  <c r="C383" i="81"/>
  <c r="R382" i="81"/>
  <c r="S382" i="81" s="1"/>
  <c r="Q382" i="81"/>
  <c r="O382" i="81"/>
  <c r="M382" i="81"/>
  <c r="K382" i="81"/>
  <c r="I382" i="81"/>
  <c r="G382" i="81"/>
  <c r="E382" i="81"/>
  <c r="C382" i="81"/>
  <c r="R381" i="81"/>
  <c r="S381" i="81" s="1"/>
  <c r="Q381" i="81"/>
  <c r="O381" i="81"/>
  <c r="M381" i="81"/>
  <c r="K381" i="81"/>
  <c r="I381" i="81"/>
  <c r="G381" i="81"/>
  <c r="E381" i="81"/>
  <c r="C381" i="81"/>
  <c r="R380" i="81"/>
  <c r="S380" i="81" s="1"/>
  <c r="Q380" i="81"/>
  <c r="O380" i="81"/>
  <c r="M380" i="81"/>
  <c r="K380" i="81"/>
  <c r="I380" i="81"/>
  <c r="G380" i="81"/>
  <c r="E380" i="81"/>
  <c r="C380" i="81"/>
  <c r="R379" i="81"/>
  <c r="S379" i="81" s="1"/>
  <c r="Q379" i="81"/>
  <c r="O379" i="81"/>
  <c r="M379" i="81"/>
  <c r="K379" i="81"/>
  <c r="I379" i="81"/>
  <c r="G379" i="81"/>
  <c r="E379" i="81"/>
  <c r="C379" i="81"/>
  <c r="R378" i="81"/>
  <c r="S378" i="81" s="1"/>
  <c r="Q378" i="81"/>
  <c r="O378" i="81"/>
  <c r="M378" i="81"/>
  <c r="K378" i="81"/>
  <c r="I378" i="81"/>
  <c r="G378" i="81"/>
  <c r="E378" i="81"/>
  <c r="C378" i="81"/>
  <c r="R377" i="81"/>
  <c r="S377" i="81" s="1"/>
  <c r="Q377" i="81"/>
  <c r="O377" i="81"/>
  <c r="M377" i="81"/>
  <c r="K377" i="81"/>
  <c r="I377" i="81"/>
  <c r="G377" i="81"/>
  <c r="E377" i="81"/>
  <c r="C377" i="81"/>
  <c r="R376" i="81"/>
  <c r="S376" i="81" s="1"/>
  <c r="Q376" i="81"/>
  <c r="O376" i="81"/>
  <c r="M376" i="81"/>
  <c r="K376" i="81"/>
  <c r="I376" i="81"/>
  <c r="G376" i="81"/>
  <c r="E376" i="81"/>
  <c r="C376" i="81"/>
  <c r="R375" i="81"/>
  <c r="S375" i="81" s="1"/>
  <c r="Q375" i="81"/>
  <c r="O375" i="81"/>
  <c r="M375" i="81"/>
  <c r="K375" i="81"/>
  <c r="I375" i="81"/>
  <c r="G375" i="81"/>
  <c r="E375" i="81"/>
  <c r="C375" i="81"/>
  <c r="R374" i="81"/>
  <c r="S374" i="81" s="1"/>
  <c r="Q374" i="81"/>
  <c r="O374" i="81"/>
  <c r="M374" i="81"/>
  <c r="K374" i="81"/>
  <c r="I374" i="81"/>
  <c r="G374" i="81"/>
  <c r="E374" i="81"/>
  <c r="C374" i="81"/>
  <c r="R373" i="81"/>
  <c r="S373" i="81" s="1"/>
  <c r="Q373" i="81"/>
  <c r="O373" i="81"/>
  <c r="M373" i="81"/>
  <c r="K373" i="81"/>
  <c r="I373" i="81"/>
  <c r="G373" i="81"/>
  <c r="E373" i="81"/>
  <c r="C373" i="81"/>
  <c r="R372" i="81"/>
  <c r="S372" i="81" s="1"/>
  <c r="Q372" i="81"/>
  <c r="O372" i="81"/>
  <c r="M372" i="81"/>
  <c r="K372" i="81"/>
  <c r="I372" i="81"/>
  <c r="G372" i="81"/>
  <c r="E372" i="81"/>
  <c r="C372" i="81"/>
  <c r="R371" i="81"/>
  <c r="S371" i="81" s="1"/>
  <c r="Q371" i="81"/>
  <c r="O371" i="81"/>
  <c r="M371" i="81"/>
  <c r="K371" i="81"/>
  <c r="I371" i="81"/>
  <c r="G371" i="81"/>
  <c r="E371" i="81"/>
  <c r="C371" i="81"/>
  <c r="R370" i="81"/>
  <c r="S370" i="81" s="1"/>
  <c r="Q370" i="81"/>
  <c r="O370" i="81"/>
  <c r="M370" i="81"/>
  <c r="K370" i="81"/>
  <c r="I370" i="81"/>
  <c r="G370" i="81"/>
  <c r="E370" i="81"/>
  <c r="C370" i="81"/>
  <c r="R369" i="81"/>
  <c r="S369" i="81" s="1"/>
  <c r="Q369" i="81"/>
  <c r="O369" i="81"/>
  <c r="M369" i="81"/>
  <c r="K369" i="81"/>
  <c r="I369" i="81"/>
  <c r="G369" i="81"/>
  <c r="E369" i="81"/>
  <c r="C369" i="81"/>
  <c r="R368" i="81"/>
  <c r="S368" i="81" s="1"/>
  <c r="Q368" i="81"/>
  <c r="O368" i="81"/>
  <c r="M368" i="81"/>
  <c r="K368" i="81"/>
  <c r="I368" i="81"/>
  <c r="G368" i="81"/>
  <c r="E368" i="81"/>
  <c r="C368" i="81"/>
  <c r="R367" i="81"/>
  <c r="S367" i="81" s="1"/>
  <c r="Q367" i="81"/>
  <c r="O367" i="81"/>
  <c r="M367" i="81"/>
  <c r="K367" i="81"/>
  <c r="I367" i="81"/>
  <c r="G367" i="81"/>
  <c r="E367" i="81"/>
  <c r="C367" i="81"/>
  <c r="R366" i="81"/>
  <c r="S366" i="81" s="1"/>
  <c r="Q366" i="81"/>
  <c r="O366" i="81"/>
  <c r="M366" i="81"/>
  <c r="K366" i="81"/>
  <c r="I366" i="81"/>
  <c r="G366" i="81"/>
  <c r="E366" i="81"/>
  <c r="C366" i="81"/>
  <c r="R365" i="81"/>
  <c r="S365" i="81" s="1"/>
  <c r="Q365" i="81"/>
  <c r="O365" i="81"/>
  <c r="M365" i="81"/>
  <c r="K365" i="81"/>
  <c r="I365" i="81"/>
  <c r="G365" i="81"/>
  <c r="E365" i="81"/>
  <c r="C365" i="81"/>
  <c r="R364" i="81"/>
  <c r="S364" i="81" s="1"/>
  <c r="Q364" i="81"/>
  <c r="O364" i="81"/>
  <c r="M364" i="81"/>
  <c r="K364" i="81"/>
  <c r="I364" i="81"/>
  <c r="G364" i="81"/>
  <c r="E364" i="81"/>
  <c r="C364" i="81"/>
  <c r="R363" i="81"/>
  <c r="S363" i="81" s="1"/>
  <c r="Q363" i="81"/>
  <c r="O363" i="81"/>
  <c r="M363" i="81"/>
  <c r="K363" i="81"/>
  <c r="I363" i="81"/>
  <c r="G363" i="81"/>
  <c r="E363" i="81"/>
  <c r="C363" i="81"/>
  <c r="R362" i="81"/>
  <c r="S362" i="81" s="1"/>
  <c r="Q362" i="81"/>
  <c r="O362" i="81"/>
  <c r="M362" i="81"/>
  <c r="K362" i="81"/>
  <c r="I362" i="81"/>
  <c r="G362" i="81"/>
  <c r="E362" i="81"/>
  <c r="C362" i="81"/>
  <c r="R361" i="81"/>
  <c r="S361" i="81" s="1"/>
  <c r="Q361" i="81"/>
  <c r="O361" i="81"/>
  <c r="M361" i="81"/>
  <c r="K361" i="81"/>
  <c r="I361" i="81"/>
  <c r="G361" i="81"/>
  <c r="E361" i="81"/>
  <c r="C361" i="81"/>
  <c r="R360" i="81"/>
  <c r="S360" i="81" s="1"/>
  <c r="Q360" i="81"/>
  <c r="O360" i="81"/>
  <c r="M360" i="81"/>
  <c r="K360" i="81"/>
  <c r="I360" i="81"/>
  <c r="G360" i="81"/>
  <c r="E360" i="81"/>
  <c r="C360" i="81"/>
  <c r="R359" i="81"/>
  <c r="S359" i="81" s="1"/>
  <c r="Q359" i="81"/>
  <c r="O359" i="81"/>
  <c r="M359" i="81"/>
  <c r="K359" i="81"/>
  <c r="I359" i="81"/>
  <c r="G359" i="81"/>
  <c r="E359" i="81"/>
  <c r="C359" i="81"/>
  <c r="R358" i="81"/>
  <c r="S358" i="81" s="1"/>
  <c r="Q358" i="81"/>
  <c r="O358" i="81"/>
  <c r="M358" i="81"/>
  <c r="K358" i="81"/>
  <c r="I358" i="81"/>
  <c r="G358" i="81"/>
  <c r="E358" i="81"/>
  <c r="C358" i="81"/>
  <c r="R357" i="81"/>
  <c r="S357" i="81" s="1"/>
  <c r="Q357" i="81"/>
  <c r="O357" i="81"/>
  <c r="M357" i="81"/>
  <c r="K357" i="81"/>
  <c r="I357" i="81"/>
  <c r="G357" i="81"/>
  <c r="E357" i="81"/>
  <c r="C357" i="81"/>
  <c r="R356" i="81"/>
  <c r="S356" i="81" s="1"/>
  <c r="Q356" i="81"/>
  <c r="O356" i="81"/>
  <c r="M356" i="81"/>
  <c r="K356" i="81"/>
  <c r="I356" i="81"/>
  <c r="G356" i="81"/>
  <c r="E356" i="81"/>
  <c r="C356" i="81"/>
  <c r="R355" i="81"/>
  <c r="S355" i="81" s="1"/>
  <c r="Q355" i="81"/>
  <c r="O355" i="81"/>
  <c r="M355" i="81"/>
  <c r="K355" i="81"/>
  <c r="I355" i="81"/>
  <c r="G355" i="81"/>
  <c r="E355" i="81"/>
  <c r="C355" i="81"/>
  <c r="R354" i="81"/>
  <c r="S354" i="81" s="1"/>
  <c r="Q354" i="81"/>
  <c r="O354" i="81"/>
  <c r="M354" i="81"/>
  <c r="K354" i="81"/>
  <c r="I354" i="81"/>
  <c r="G354" i="81"/>
  <c r="E354" i="81"/>
  <c r="C354" i="81"/>
  <c r="R353" i="81"/>
  <c r="S353" i="81" s="1"/>
  <c r="Q353" i="81"/>
  <c r="O353" i="81"/>
  <c r="M353" i="81"/>
  <c r="K353" i="81"/>
  <c r="I353" i="81"/>
  <c r="G353" i="81"/>
  <c r="E353" i="81"/>
  <c r="C353" i="81"/>
  <c r="R352" i="81"/>
  <c r="S352" i="81" s="1"/>
  <c r="Q352" i="81"/>
  <c r="O352" i="81"/>
  <c r="M352" i="81"/>
  <c r="K352" i="81"/>
  <c r="I352" i="81"/>
  <c r="G352" i="81"/>
  <c r="E352" i="81"/>
  <c r="C352" i="81"/>
  <c r="R351" i="81"/>
  <c r="S351" i="81" s="1"/>
  <c r="Q351" i="81"/>
  <c r="O351" i="81"/>
  <c r="M351" i="81"/>
  <c r="K351" i="81"/>
  <c r="I351" i="81"/>
  <c r="G351" i="81"/>
  <c r="E351" i="81"/>
  <c r="C351" i="81"/>
  <c r="R350" i="81"/>
  <c r="S350" i="81" s="1"/>
  <c r="Q350" i="81"/>
  <c r="O350" i="81"/>
  <c r="M350" i="81"/>
  <c r="K350" i="81"/>
  <c r="I350" i="81"/>
  <c r="G350" i="81"/>
  <c r="E350" i="81"/>
  <c r="C350" i="81"/>
  <c r="R349" i="81"/>
  <c r="S349" i="81" s="1"/>
  <c r="Q349" i="81"/>
  <c r="O349" i="81"/>
  <c r="M349" i="81"/>
  <c r="K349" i="81"/>
  <c r="I349" i="81"/>
  <c r="G349" i="81"/>
  <c r="E349" i="81"/>
  <c r="C349" i="81"/>
  <c r="R348" i="81"/>
  <c r="S348" i="81" s="1"/>
  <c r="Q348" i="81"/>
  <c r="O348" i="81"/>
  <c r="M348" i="81"/>
  <c r="K348" i="81"/>
  <c r="I348" i="81"/>
  <c r="G348" i="81"/>
  <c r="E348" i="81"/>
  <c r="C348" i="81"/>
  <c r="R347" i="81"/>
  <c r="S347" i="81" s="1"/>
  <c r="Q347" i="81"/>
  <c r="O347" i="81"/>
  <c r="M347" i="81"/>
  <c r="K347" i="81"/>
  <c r="I347" i="81"/>
  <c r="G347" i="81"/>
  <c r="E347" i="81"/>
  <c r="C347" i="81"/>
  <c r="R346" i="81"/>
  <c r="S346" i="81" s="1"/>
  <c r="Q346" i="81"/>
  <c r="O346" i="81"/>
  <c r="M346" i="81"/>
  <c r="K346" i="81"/>
  <c r="I346" i="81"/>
  <c r="G346" i="81"/>
  <c r="E346" i="81"/>
  <c r="C346" i="81"/>
  <c r="R345" i="81"/>
  <c r="S345" i="81" s="1"/>
  <c r="Q345" i="81"/>
  <c r="O345" i="81"/>
  <c r="M345" i="81"/>
  <c r="K345" i="81"/>
  <c r="I345" i="81"/>
  <c r="G345" i="81"/>
  <c r="E345" i="81"/>
  <c r="C345" i="81"/>
  <c r="R344" i="81"/>
  <c r="S344" i="81" s="1"/>
  <c r="Q344" i="81"/>
  <c r="O344" i="81"/>
  <c r="M344" i="81"/>
  <c r="K344" i="81"/>
  <c r="I344" i="81"/>
  <c r="G344" i="81"/>
  <c r="E344" i="81"/>
  <c r="C344" i="81"/>
  <c r="R343" i="81"/>
  <c r="S343" i="81" s="1"/>
  <c r="Q343" i="81"/>
  <c r="O343" i="81"/>
  <c r="M343" i="81"/>
  <c r="K343" i="81"/>
  <c r="I343" i="81"/>
  <c r="G343" i="81"/>
  <c r="E343" i="81"/>
  <c r="C343" i="81"/>
  <c r="R342" i="81"/>
  <c r="S342" i="81" s="1"/>
  <c r="Q342" i="81"/>
  <c r="O342" i="81"/>
  <c r="M342" i="81"/>
  <c r="K342" i="81"/>
  <c r="I342" i="81"/>
  <c r="G342" i="81"/>
  <c r="E342" i="81"/>
  <c r="C342" i="81"/>
  <c r="R341" i="81"/>
  <c r="S341" i="81" s="1"/>
  <c r="Q341" i="81"/>
  <c r="O341" i="81"/>
  <c r="M341" i="81"/>
  <c r="K341" i="81"/>
  <c r="I341" i="81"/>
  <c r="G341" i="81"/>
  <c r="E341" i="81"/>
  <c r="C341" i="81"/>
  <c r="R340" i="81"/>
  <c r="S340" i="81" s="1"/>
  <c r="Q340" i="81"/>
  <c r="O340" i="81"/>
  <c r="M340" i="81"/>
  <c r="K340" i="81"/>
  <c r="I340" i="81"/>
  <c r="G340" i="81"/>
  <c r="E340" i="81"/>
  <c r="C340" i="81"/>
  <c r="R339" i="81"/>
  <c r="S339" i="81" s="1"/>
  <c r="Q339" i="81"/>
  <c r="O339" i="81"/>
  <c r="M339" i="81"/>
  <c r="K339" i="81"/>
  <c r="I339" i="81"/>
  <c r="G339" i="81"/>
  <c r="E339" i="81"/>
  <c r="C339" i="81"/>
  <c r="R338" i="81"/>
  <c r="S338" i="81" s="1"/>
  <c r="Q338" i="81"/>
  <c r="O338" i="81"/>
  <c r="M338" i="81"/>
  <c r="K338" i="81"/>
  <c r="I338" i="81"/>
  <c r="G338" i="81"/>
  <c r="E338" i="81"/>
  <c r="C338" i="81"/>
  <c r="R337" i="81"/>
  <c r="S337" i="81" s="1"/>
  <c r="Q337" i="81"/>
  <c r="O337" i="81"/>
  <c r="M337" i="81"/>
  <c r="K337" i="81"/>
  <c r="I337" i="81"/>
  <c r="G337" i="81"/>
  <c r="E337" i="81"/>
  <c r="C337" i="81"/>
  <c r="R336" i="81"/>
  <c r="S336" i="81" s="1"/>
  <c r="Q336" i="81"/>
  <c r="O336" i="81"/>
  <c r="M336" i="81"/>
  <c r="K336" i="81"/>
  <c r="I336" i="81"/>
  <c r="G336" i="81"/>
  <c r="E336" i="81"/>
  <c r="C336" i="81"/>
  <c r="R335" i="81"/>
  <c r="S335" i="81" s="1"/>
  <c r="Q335" i="81"/>
  <c r="O335" i="81"/>
  <c r="M335" i="81"/>
  <c r="K335" i="81"/>
  <c r="I335" i="81"/>
  <c r="G335" i="81"/>
  <c r="E335" i="81"/>
  <c r="C335" i="81"/>
  <c r="R334" i="81"/>
  <c r="S334" i="81" s="1"/>
  <c r="Q334" i="81"/>
  <c r="O334" i="81"/>
  <c r="M334" i="81"/>
  <c r="K334" i="81"/>
  <c r="I334" i="81"/>
  <c r="G334" i="81"/>
  <c r="E334" i="81"/>
  <c r="C334" i="81"/>
  <c r="R333" i="81"/>
  <c r="S333" i="81" s="1"/>
  <c r="Q333" i="81"/>
  <c r="O333" i="81"/>
  <c r="M333" i="81"/>
  <c r="K333" i="81"/>
  <c r="I333" i="81"/>
  <c r="G333" i="81"/>
  <c r="E333" i="81"/>
  <c r="C333" i="81"/>
  <c r="R332" i="81"/>
  <c r="S332" i="81" s="1"/>
  <c r="Q332" i="81"/>
  <c r="O332" i="81"/>
  <c r="M332" i="81"/>
  <c r="K332" i="81"/>
  <c r="I332" i="81"/>
  <c r="G332" i="81"/>
  <c r="E332" i="81"/>
  <c r="C332" i="81"/>
  <c r="R331" i="81"/>
  <c r="S331" i="81" s="1"/>
  <c r="Q331" i="81"/>
  <c r="O331" i="81"/>
  <c r="M331" i="81"/>
  <c r="K331" i="81"/>
  <c r="I331" i="81"/>
  <c r="G331" i="81"/>
  <c r="E331" i="81"/>
  <c r="C331" i="81"/>
  <c r="R330" i="81"/>
  <c r="S330" i="81" s="1"/>
  <c r="Q330" i="81"/>
  <c r="O330" i="81"/>
  <c r="M330" i="81"/>
  <c r="K330" i="81"/>
  <c r="I330" i="81"/>
  <c r="G330" i="81"/>
  <c r="E330" i="81"/>
  <c r="C330" i="81"/>
  <c r="R329" i="81"/>
  <c r="S329" i="81" s="1"/>
  <c r="Q329" i="81"/>
  <c r="O329" i="81"/>
  <c r="M329" i="81"/>
  <c r="K329" i="81"/>
  <c r="I329" i="81"/>
  <c r="G329" i="81"/>
  <c r="E329" i="81"/>
  <c r="C329" i="81"/>
  <c r="R328" i="81"/>
  <c r="S328" i="81" s="1"/>
  <c r="Q328" i="81"/>
  <c r="O328" i="81"/>
  <c r="M328" i="81"/>
  <c r="K328" i="81"/>
  <c r="I328" i="81"/>
  <c r="G328" i="81"/>
  <c r="E328" i="81"/>
  <c r="C328" i="81"/>
  <c r="R327" i="81"/>
  <c r="S327" i="81" s="1"/>
  <c r="Q327" i="81"/>
  <c r="O327" i="81"/>
  <c r="M327" i="81"/>
  <c r="K327" i="81"/>
  <c r="I327" i="81"/>
  <c r="G327" i="81"/>
  <c r="E327" i="81"/>
  <c r="C327" i="81"/>
  <c r="R326" i="81"/>
  <c r="S326" i="81" s="1"/>
  <c r="Q326" i="81"/>
  <c r="O326" i="81"/>
  <c r="M326" i="81"/>
  <c r="K326" i="81"/>
  <c r="I326" i="81"/>
  <c r="G326" i="81"/>
  <c r="E326" i="81"/>
  <c r="C326" i="81"/>
  <c r="R325" i="81"/>
  <c r="S325" i="81" s="1"/>
  <c r="Q325" i="81"/>
  <c r="O325" i="81"/>
  <c r="M325" i="81"/>
  <c r="K325" i="81"/>
  <c r="I325" i="81"/>
  <c r="G325" i="81"/>
  <c r="E325" i="81"/>
  <c r="C325" i="81"/>
  <c r="R324" i="81"/>
  <c r="S324" i="81" s="1"/>
  <c r="Q324" i="81"/>
  <c r="O324" i="81"/>
  <c r="M324" i="81"/>
  <c r="K324" i="81"/>
  <c r="I324" i="81"/>
  <c r="G324" i="81"/>
  <c r="E324" i="81"/>
  <c r="C324" i="81"/>
  <c r="R323" i="81"/>
  <c r="S323" i="81" s="1"/>
  <c r="Q323" i="81"/>
  <c r="O323" i="81"/>
  <c r="M323" i="81"/>
  <c r="K323" i="81"/>
  <c r="I323" i="81"/>
  <c r="G323" i="81"/>
  <c r="E323" i="81"/>
  <c r="C323" i="81"/>
  <c r="R322" i="81"/>
  <c r="S322" i="81" s="1"/>
  <c r="Q322" i="81"/>
  <c r="O322" i="81"/>
  <c r="M322" i="81"/>
  <c r="K322" i="81"/>
  <c r="I322" i="81"/>
  <c r="G322" i="81"/>
  <c r="E322" i="81"/>
  <c r="C322" i="81"/>
  <c r="R321" i="81"/>
  <c r="S321" i="81" s="1"/>
  <c r="Q321" i="81"/>
  <c r="O321" i="81"/>
  <c r="M321" i="81"/>
  <c r="K321" i="81"/>
  <c r="I321" i="81"/>
  <c r="G321" i="81"/>
  <c r="E321" i="81"/>
  <c r="C321" i="81"/>
  <c r="R320" i="81"/>
  <c r="S320" i="81" s="1"/>
  <c r="Q320" i="81"/>
  <c r="O320" i="81"/>
  <c r="M320" i="81"/>
  <c r="K320" i="81"/>
  <c r="I320" i="81"/>
  <c r="G320" i="81"/>
  <c r="E320" i="81"/>
  <c r="C320" i="81"/>
  <c r="R319" i="81"/>
  <c r="S319" i="81" s="1"/>
  <c r="Q319" i="81"/>
  <c r="O319" i="81"/>
  <c r="M319" i="81"/>
  <c r="K319" i="81"/>
  <c r="I319" i="81"/>
  <c r="G319" i="81"/>
  <c r="E319" i="81"/>
  <c r="C319" i="81"/>
  <c r="R318" i="81"/>
  <c r="S318" i="81" s="1"/>
  <c r="Q318" i="81"/>
  <c r="O318" i="81"/>
  <c r="M318" i="81"/>
  <c r="K318" i="81"/>
  <c r="I318" i="81"/>
  <c r="G318" i="81"/>
  <c r="E318" i="81"/>
  <c r="C318" i="81"/>
  <c r="R317" i="81"/>
  <c r="S317" i="81" s="1"/>
  <c r="Q317" i="81"/>
  <c r="O317" i="81"/>
  <c r="M317" i="81"/>
  <c r="K317" i="81"/>
  <c r="I317" i="81"/>
  <c r="G317" i="81"/>
  <c r="E317" i="81"/>
  <c r="C317" i="81"/>
  <c r="R316" i="81"/>
  <c r="S316" i="81" s="1"/>
  <c r="Q316" i="81"/>
  <c r="O316" i="81"/>
  <c r="M316" i="81"/>
  <c r="K316" i="81"/>
  <c r="I316" i="81"/>
  <c r="G316" i="81"/>
  <c r="E316" i="81"/>
  <c r="C316" i="81"/>
  <c r="R315" i="81"/>
  <c r="S315" i="81" s="1"/>
  <c r="Q315" i="81"/>
  <c r="O315" i="81"/>
  <c r="M315" i="81"/>
  <c r="K315" i="81"/>
  <c r="I315" i="81"/>
  <c r="G315" i="81"/>
  <c r="E315" i="81"/>
  <c r="C315" i="81"/>
  <c r="R314" i="81"/>
  <c r="S314" i="81" s="1"/>
  <c r="Q314" i="81"/>
  <c r="O314" i="81"/>
  <c r="M314" i="81"/>
  <c r="K314" i="81"/>
  <c r="I314" i="81"/>
  <c r="G314" i="81"/>
  <c r="E314" i="81"/>
  <c r="C314" i="81"/>
  <c r="R313" i="81"/>
  <c r="S313" i="81" s="1"/>
  <c r="Q313" i="81"/>
  <c r="O313" i="81"/>
  <c r="M313" i="81"/>
  <c r="K313" i="81"/>
  <c r="I313" i="81"/>
  <c r="G313" i="81"/>
  <c r="E313" i="81"/>
  <c r="C313" i="81"/>
  <c r="R312" i="81"/>
  <c r="S312" i="81" s="1"/>
  <c r="Q312" i="81"/>
  <c r="O312" i="81"/>
  <c r="M312" i="81"/>
  <c r="K312" i="81"/>
  <c r="I312" i="81"/>
  <c r="G312" i="81"/>
  <c r="E312" i="81"/>
  <c r="C312" i="81"/>
  <c r="R311" i="81"/>
  <c r="S311" i="81" s="1"/>
  <c r="Q311" i="81"/>
  <c r="O311" i="81"/>
  <c r="M311" i="81"/>
  <c r="K311" i="81"/>
  <c r="I311" i="81"/>
  <c r="G311" i="81"/>
  <c r="E311" i="81"/>
  <c r="C311" i="81"/>
  <c r="R310" i="81"/>
  <c r="S310" i="81" s="1"/>
  <c r="Q310" i="81"/>
  <c r="O310" i="81"/>
  <c r="M310" i="81"/>
  <c r="K310" i="81"/>
  <c r="I310" i="81"/>
  <c r="G310" i="81"/>
  <c r="E310" i="81"/>
  <c r="C310" i="81"/>
  <c r="R309" i="81"/>
  <c r="S309" i="81" s="1"/>
  <c r="Q309" i="81"/>
  <c r="O309" i="81"/>
  <c r="M309" i="81"/>
  <c r="K309" i="81"/>
  <c r="I309" i="81"/>
  <c r="G309" i="81"/>
  <c r="E309" i="81"/>
  <c r="C309" i="81"/>
  <c r="R308" i="81"/>
  <c r="S308" i="81" s="1"/>
  <c r="Q308" i="81"/>
  <c r="O308" i="81"/>
  <c r="M308" i="81"/>
  <c r="K308" i="81"/>
  <c r="I308" i="81"/>
  <c r="G308" i="81"/>
  <c r="E308" i="81"/>
  <c r="C308" i="81"/>
  <c r="R307" i="81"/>
  <c r="S307" i="81" s="1"/>
  <c r="Q307" i="81"/>
  <c r="O307" i="81"/>
  <c r="M307" i="81"/>
  <c r="K307" i="81"/>
  <c r="I307" i="81"/>
  <c r="G307" i="81"/>
  <c r="E307" i="81"/>
  <c r="C307" i="81"/>
  <c r="R306" i="81"/>
  <c r="S306" i="81" s="1"/>
  <c r="Q306" i="81"/>
  <c r="O306" i="81"/>
  <c r="M306" i="81"/>
  <c r="K306" i="81"/>
  <c r="I306" i="81"/>
  <c r="G306" i="81"/>
  <c r="E306" i="81"/>
  <c r="C306" i="81"/>
  <c r="R305" i="81"/>
  <c r="S305" i="81" s="1"/>
  <c r="Q305" i="81"/>
  <c r="O305" i="81"/>
  <c r="M305" i="81"/>
  <c r="K305" i="81"/>
  <c r="I305" i="81"/>
  <c r="G305" i="81"/>
  <c r="E305" i="81"/>
  <c r="C305" i="81"/>
  <c r="R304" i="81"/>
  <c r="S304" i="81" s="1"/>
  <c r="Q304" i="81"/>
  <c r="O304" i="81"/>
  <c r="M304" i="81"/>
  <c r="K304" i="81"/>
  <c r="I304" i="81"/>
  <c r="G304" i="81"/>
  <c r="E304" i="81"/>
  <c r="C304" i="81"/>
  <c r="R303" i="81"/>
  <c r="S303" i="81" s="1"/>
  <c r="Q303" i="81"/>
  <c r="O303" i="81"/>
  <c r="M303" i="81"/>
  <c r="K303" i="81"/>
  <c r="I303" i="81"/>
  <c r="G303" i="81"/>
  <c r="E303" i="81"/>
  <c r="C303" i="81"/>
  <c r="R302" i="81"/>
  <c r="S302" i="81" s="1"/>
  <c r="Q302" i="81"/>
  <c r="O302" i="81"/>
  <c r="M302" i="81"/>
  <c r="K302" i="81"/>
  <c r="I302" i="81"/>
  <c r="G302" i="81"/>
  <c r="E302" i="81"/>
  <c r="C302" i="81"/>
  <c r="R301" i="81"/>
  <c r="S301" i="81" s="1"/>
  <c r="Q301" i="81"/>
  <c r="O301" i="81"/>
  <c r="M301" i="81"/>
  <c r="K301" i="81"/>
  <c r="I301" i="81"/>
  <c r="G301" i="81"/>
  <c r="E301" i="81"/>
  <c r="C301" i="81"/>
  <c r="R300" i="81"/>
  <c r="S300" i="81" s="1"/>
  <c r="Q300" i="81"/>
  <c r="O300" i="81"/>
  <c r="M300" i="81"/>
  <c r="K300" i="81"/>
  <c r="I300" i="81"/>
  <c r="G300" i="81"/>
  <c r="E300" i="81"/>
  <c r="C300" i="81"/>
  <c r="R299" i="81"/>
  <c r="S299" i="81" s="1"/>
  <c r="Q299" i="81"/>
  <c r="O299" i="81"/>
  <c r="M299" i="81"/>
  <c r="K299" i="81"/>
  <c r="I299" i="81"/>
  <c r="G299" i="81"/>
  <c r="E299" i="81"/>
  <c r="C299" i="81"/>
  <c r="R298" i="81"/>
  <c r="S298" i="81" s="1"/>
  <c r="Q298" i="81"/>
  <c r="O298" i="81"/>
  <c r="M298" i="81"/>
  <c r="K298" i="81"/>
  <c r="I298" i="81"/>
  <c r="G298" i="81"/>
  <c r="E298" i="81"/>
  <c r="C298" i="81"/>
  <c r="R297" i="81"/>
  <c r="S297" i="81" s="1"/>
  <c r="Q297" i="81"/>
  <c r="O297" i="81"/>
  <c r="M297" i="81"/>
  <c r="K297" i="81"/>
  <c r="I297" i="81"/>
  <c r="G297" i="81"/>
  <c r="E297" i="81"/>
  <c r="C297" i="81"/>
  <c r="R296" i="81"/>
  <c r="S296" i="81" s="1"/>
  <c r="Q296" i="81"/>
  <c r="O296" i="81"/>
  <c r="M296" i="81"/>
  <c r="K296" i="81"/>
  <c r="I296" i="81"/>
  <c r="G296" i="81"/>
  <c r="E296" i="81"/>
  <c r="C296" i="81"/>
  <c r="R295" i="81"/>
  <c r="S295" i="81" s="1"/>
  <c r="Q295" i="81"/>
  <c r="O295" i="81"/>
  <c r="M295" i="81"/>
  <c r="K295" i="81"/>
  <c r="I295" i="81"/>
  <c r="G295" i="81"/>
  <c r="E295" i="81"/>
  <c r="C295" i="81"/>
  <c r="R294" i="81"/>
  <c r="S294" i="81" s="1"/>
  <c r="Q294" i="81"/>
  <c r="O294" i="81"/>
  <c r="M294" i="81"/>
  <c r="K294" i="81"/>
  <c r="I294" i="81"/>
  <c r="G294" i="81"/>
  <c r="E294" i="81"/>
  <c r="C294" i="81"/>
  <c r="R293" i="81"/>
  <c r="S293" i="81" s="1"/>
  <c r="Q293" i="81"/>
  <c r="O293" i="81"/>
  <c r="M293" i="81"/>
  <c r="K293" i="81"/>
  <c r="I293" i="81"/>
  <c r="G293" i="81"/>
  <c r="E293" i="81"/>
  <c r="C293" i="81"/>
  <c r="R292" i="81"/>
  <c r="S292" i="81" s="1"/>
  <c r="Q292" i="81"/>
  <c r="O292" i="81"/>
  <c r="M292" i="81"/>
  <c r="K292" i="81"/>
  <c r="I292" i="81"/>
  <c r="G292" i="81"/>
  <c r="E292" i="81"/>
  <c r="C292" i="81"/>
  <c r="R291" i="81"/>
  <c r="S291" i="81" s="1"/>
  <c r="Q291" i="81"/>
  <c r="O291" i="81"/>
  <c r="M291" i="81"/>
  <c r="K291" i="81"/>
  <c r="I291" i="81"/>
  <c r="G291" i="81"/>
  <c r="E291" i="81"/>
  <c r="C291" i="81"/>
  <c r="R290" i="81"/>
  <c r="S290" i="81" s="1"/>
  <c r="Q290" i="81"/>
  <c r="O290" i="81"/>
  <c r="M290" i="81"/>
  <c r="K290" i="81"/>
  <c r="I290" i="81"/>
  <c r="G290" i="81"/>
  <c r="E290" i="81"/>
  <c r="C290" i="81"/>
  <c r="R289" i="81"/>
  <c r="S289" i="81" s="1"/>
  <c r="Q289" i="81"/>
  <c r="O289" i="81"/>
  <c r="M289" i="81"/>
  <c r="K289" i="81"/>
  <c r="I289" i="81"/>
  <c r="G289" i="81"/>
  <c r="E289" i="81"/>
  <c r="C289" i="81"/>
  <c r="R288" i="81"/>
  <c r="S288" i="81" s="1"/>
  <c r="Q288" i="81"/>
  <c r="O288" i="81"/>
  <c r="M288" i="81"/>
  <c r="K288" i="81"/>
  <c r="I288" i="81"/>
  <c r="G288" i="81"/>
  <c r="E288" i="81"/>
  <c r="C288" i="81"/>
  <c r="R287" i="81"/>
  <c r="S287" i="81" s="1"/>
  <c r="Q287" i="81"/>
  <c r="O287" i="81"/>
  <c r="M287" i="81"/>
  <c r="K287" i="81"/>
  <c r="I287" i="81"/>
  <c r="G287" i="81"/>
  <c r="E287" i="81"/>
  <c r="C287" i="81"/>
  <c r="R286" i="81"/>
  <c r="S286" i="81" s="1"/>
  <c r="Q286" i="81"/>
  <c r="O286" i="81"/>
  <c r="M286" i="81"/>
  <c r="K286" i="81"/>
  <c r="I286" i="81"/>
  <c r="G286" i="81"/>
  <c r="E286" i="81"/>
  <c r="C286" i="81"/>
  <c r="R285" i="81"/>
  <c r="S285" i="81" s="1"/>
  <c r="Q285" i="81"/>
  <c r="O285" i="81"/>
  <c r="M285" i="81"/>
  <c r="K285" i="81"/>
  <c r="I285" i="81"/>
  <c r="G285" i="81"/>
  <c r="E285" i="81"/>
  <c r="C285" i="81"/>
  <c r="R284" i="81"/>
  <c r="S284" i="81" s="1"/>
  <c r="Q284" i="81"/>
  <c r="O284" i="81"/>
  <c r="M284" i="81"/>
  <c r="K284" i="81"/>
  <c r="I284" i="81"/>
  <c r="G284" i="81"/>
  <c r="E284" i="81"/>
  <c r="C284" i="81"/>
  <c r="R283" i="81"/>
  <c r="S283" i="81" s="1"/>
  <c r="Q283" i="81"/>
  <c r="O283" i="81"/>
  <c r="M283" i="81"/>
  <c r="K283" i="81"/>
  <c r="I283" i="81"/>
  <c r="G283" i="81"/>
  <c r="E283" i="81"/>
  <c r="C283" i="81"/>
  <c r="R282" i="81"/>
  <c r="S282" i="81" s="1"/>
  <c r="Q282" i="81"/>
  <c r="O282" i="81"/>
  <c r="M282" i="81"/>
  <c r="K282" i="81"/>
  <c r="I282" i="81"/>
  <c r="G282" i="81"/>
  <c r="E282" i="81"/>
  <c r="C282" i="81"/>
  <c r="R281" i="81"/>
  <c r="S281" i="81" s="1"/>
  <c r="Q281" i="81"/>
  <c r="O281" i="81"/>
  <c r="M281" i="81"/>
  <c r="K281" i="81"/>
  <c r="I281" i="81"/>
  <c r="G281" i="81"/>
  <c r="E281" i="81"/>
  <c r="C281" i="81"/>
  <c r="R280" i="81"/>
  <c r="S280" i="81" s="1"/>
  <c r="Q280" i="81"/>
  <c r="O280" i="81"/>
  <c r="M280" i="81"/>
  <c r="K280" i="81"/>
  <c r="I280" i="81"/>
  <c r="G280" i="81"/>
  <c r="E280" i="81"/>
  <c r="C280" i="81"/>
  <c r="R279" i="81"/>
  <c r="S279" i="81" s="1"/>
  <c r="Q279" i="81"/>
  <c r="O279" i="81"/>
  <c r="M279" i="81"/>
  <c r="K279" i="81"/>
  <c r="I279" i="81"/>
  <c r="G279" i="81"/>
  <c r="E279" i="81"/>
  <c r="C279" i="81"/>
  <c r="R278" i="81"/>
  <c r="S278" i="81" s="1"/>
  <c r="Q278" i="81"/>
  <c r="O278" i="81"/>
  <c r="M278" i="81"/>
  <c r="K278" i="81"/>
  <c r="I278" i="81"/>
  <c r="G278" i="81"/>
  <c r="E278" i="81"/>
  <c r="C278" i="81"/>
  <c r="R277" i="81"/>
  <c r="S277" i="81" s="1"/>
  <c r="Q277" i="81"/>
  <c r="O277" i="81"/>
  <c r="M277" i="81"/>
  <c r="K277" i="81"/>
  <c r="I277" i="81"/>
  <c r="G277" i="81"/>
  <c r="E277" i="81"/>
  <c r="C277" i="81"/>
  <c r="R276" i="81"/>
  <c r="S276" i="81" s="1"/>
  <c r="Q276" i="81"/>
  <c r="O276" i="81"/>
  <c r="M276" i="81"/>
  <c r="K276" i="81"/>
  <c r="I276" i="81"/>
  <c r="G276" i="81"/>
  <c r="E276" i="81"/>
  <c r="C276" i="81"/>
  <c r="R275" i="81"/>
  <c r="S275" i="81" s="1"/>
  <c r="Q275" i="81"/>
  <c r="O275" i="81"/>
  <c r="M275" i="81"/>
  <c r="K275" i="81"/>
  <c r="I275" i="81"/>
  <c r="G275" i="81"/>
  <c r="E275" i="81"/>
  <c r="C275" i="81"/>
  <c r="R274" i="81"/>
  <c r="S274" i="81" s="1"/>
  <c r="Q274" i="81"/>
  <c r="O274" i="81"/>
  <c r="M274" i="81"/>
  <c r="K274" i="81"/>
  <c r="I274" i="81"/>
  <c r="G274" i="81"/>
  <c r="E274" i="81"/>
  <c r="C274" i="81"/>
  <c r="R273" i="81"/>
  <c r="S273" i="81" s="1"/>
  <c r="Q273" i="81"/>
  <c r="O273" i="81"/>
  <c r="M273" i="81"/>
  <c r="K273" i="81"/>
  <c r="I273" i="81"/>
  <c r="G273" i="81"/>
  <c r="E273" i="81"/>
  <c r="C273" i="81"/>
  <c r="R272" i="81"/>
  <c r="S272" i="81" s="1"/>
  <c r="Q272" i="81"/>
  <c r="O272" i="81"/>
  <c r="M272" i="81"/>
  <c r="K272" i="81"/>
  <c r="I272" i="81"/>
  <c r="G272" i="81"/>
  <c r="E272" i="81"/>
  <c r="C272" i="81"/>
  <c r="R271" i="81"/>
  <c r="S271" i="81" s="1"/>
  <c r="Q271" i="81"/>
  <c r="O271" i="81"/>
  <c r="M271" i="81"/>
  <c r="K271" i="81"/>
  <c r="I271" i="81"/>
  <c r="G271" i="81"/>
  <c r="E271" i="81"/>
  <c r="C271" i="81"/>
  <c r="R270" i="81"/>
  <c r="S270" i="81" s="1"/>
  <c r="Q270" i="81"/>
  <c r="O270" i="81"/>
  <c r="M270" i="81"/>
  <c r="K270" i="81"/>
  <c r="I270" i="81"/>
  <c r="G270" i="81"/>
  <c r="E270" i="81"/>
  <c r="C270" i="81"/>
  <c r="R269" i="81"/>
  <c r="S269" i="81" s="1"/>
  <c r="Q269" i="81"/>
  <c r="O269" i="81"/>
  <c r="M269" i="81"/>
  <c r="K269" i="81"/>
  <c r="I269" i="81"/>
  <c r="G269" i="81"/>
  <c r="E269" i="81"/>
  <c r="C269" i="81"/>
  <c r="R268" i="81"/>
  <c r="S268" i="81" s="1"/>
  <c r="Q268" i="81"/>
  <c r="O268" i="81"/>
  <c r="M268" i="81"/>
  <c r="K268" i="81"/>
  <c r="I268" i="81"/>
  <c r="G268" i="81"/>
  <c r="E268" i="81"/>
  <c r="C268" i="81"/>
  <c r="R267" i="81"/>
  <c r="S267" i="81" s="1"/>
  <c r="Q267" i="81"/>
  <c r="O267" i="81"/>
  <c r="M267" i="81"/>
  <c r="K267" i="81"/>
  <c r="I267" i="81"/>
  <c r="G267" i="81"/>
  <c r="E267" i="81"/>
  <c r="C267" i="81"/>
  <c r="R266" i="81"/>
  <c r="S266" i="81" s="1"/>
  <c r="Q266" i="81"/>
  <c r="O266" i="81"/>
  <c r="M266" i="81"/>
  <c r="K266" i="81"/>
  <c r="I266" i="81"/>
  <c r="G266" i="81"/>
  <c r="E266" i="81"/>
  <c r="C266" i="81"/>
  <c r="R265" i="81"/>
  <c r="S265" i="81" s="1"/>
  <c r="Q265" i="81"/>
  <c r="O265" i="81"/>
  <c r="M265" i="81"/>
  <c r="K265" i="81"/>
  <c r="I265" i="81"/>
  <c r="G265" i="81"/>
  <c r="E265" i="81"/>
  <c r="C265" i="81"/>
  <c r="R264" i="81"/>
  <c r="S264" i="81" s="1"/>
  <c r="Q264" i="81"/>
  <c r="O264" i="81"/>
  <c r="M264" i="81"/>
  <c r="K264" i="81"/>
  <c r="I264" i="81"/>
  <c r="G264" i="81"/>
  <c r="E264" i="81"/>
  <c r="C264" i="81"/>
  <c r="R263" i="81"/>
  <c r="S263" i="81" s="1"/>
  <c r="Q263" i="81"/>
  <c r="O263" i="81"/>
  <c r="M263" i="81"/>
  <c r="K263" i="81"/>
  <c r="I263" i="81"/>
  <c r="G263" i="81"/>
  <c r="E263" i="81"/>
  <c r="C263" i="81"/>
  <c r="R262" i="81"/>
  <c r="S262" i="81" s="1"/>
  <c r="Q262" i="81"/>
  <c r="O262" i="81"/>
  <c r="M262" i="81"/>
  <c r="K262" i="81"/>
  <c r="I262" i="81"/>
  <c r="G262" i="81"/>
  <c r="E262" i="81"/>
  <c r="C262" i="81"/>
  <c r="R261" i="81"/>
  <c r="S261" i="81" s="1"/>
  <c r="Q261" i="81"/>
  <c r="O261" i="81"/>
  <c r="M261" i="81"/>
  <c r="K261" i="81"/>
  <c r="I261" i="81"/>
  <c r="G261" i="81"/>
  <c r="E261" i="81"/>
  <c r="C261" i="81"/>
  <c r="R260" i="81"/>
  <c r="S260" i="81" s="1"/>
  <c r="Q260" i="81"/>
  <c r="O260" i="81"/>
  <c r="M260" i="81"/>
  <c r="K260" i="81"/>
  <c r="I260" i="81"/>
  <c r="G260" i="81"/>
  <c r="E260" i="81"/>
  <c r="C260" i="81"/>
  <c r="R259" i="81"/>
  <c r="S259" i="81" s="1"/>
  <c r="Q259" i="81"/>
  <c r="O259" i="81"/>
  <c r="M259" i="81"/>
  <c r="K259" i="81"/>
  <c r="I259" i="81"/>
  <c r="G259" i="81"/>
  <c r="E259" i="81"/>
  <c r="C259" i="81"/>
  <c r="R258" i="81"/>
  <c r="S258" i="81" s="1"/>
  <c r="Q258" i="81"/>
  <c r="O258" i="81"/>
  <c r="M258" i="81"/>
  <c r="K258" i="81"/>
  <c r="I258" i="81"/>
  <c r="G258" i="81"/>
  <c r="E258" i="81"/>
  <c r="C258" i="81"/>
  <c r="R257" i="81"/>
  <c r="S257" i="81" s="1"/>
  <c r="Q257" i="81"/>
  <c r="O257" i="81"/>
  <c r="M257" i="81"/>
  <c r="K257" i="81"/>
  <c r="I257" i="81"/>
  <c r="G257" i="81"/>
  <c r="E257" i="81"/>
  <c r="C257" i="81"/>
  <c r="R256" i="81"/>
  <c r="S256" i="81" s="1"/>
  <c r="Q256" i="81"/>
  <c r="O256" i="81"/>
  <c r="M256" i="81"/>
  <c r="K256" i="81"/>
  <c r="I256" i="81"/>
  <c r="G256" i="81"/>
  <c r="E256" i="81"/>
  <c r="C256" i="81"/>
  <c r="R255" i="81"/>
  <c r="S255" i="81" s="1"/>
  <c r="Q255" i="81"/>
  <c r="O255" i="81"/>
  <c r="M255" i="81"/>
  <c r="K255" i="81"/>
  <c r="I255" i="81"/>
  <c r="G255" i="81"/>
  <c r="E255" i="81"/>
  <c r="C255" i="81"/>
  <c r="R254" i="81"/>
  <c r="S254" i="81" s="1"/>
  <c r="Q254" i="81"/>
  <c r="O254" i="81"/>
  <c r="M254" i="81"/>
  <c r="K254" i="81"/>
  <c r="I254" i="81"/>
  <c r="G254" i="81"/>
  <c r="E254" i="81"/>
  <c r="C254" i="81"/>
  <c r="R253" i="81"/>
  <c r="S253" i="81" s="1"/>
  <c r="Q253" i="81"/>
  <c r="O253" i="81"/>
  <c r="M253" i="81"/>
  <c r="K253" i="81"/>
  <c r="I253" i="81"/>
  <c r="G253" i="81"/>
  <c r="E253" i="81"/>
  <c r="C253" i="81"/>
  <c r="R252" i="81"/>
  <c r="S252" i="81" s="1"/>
  <c r="Q252" i="81"/>
  <c r="O252" i="81"/>
  <c r="M252" i="81"/>
  <c r="K252" i="81"/>
  <c r="I252" i="81"/>
  <c r="G252" i="81"/>
  <c r="E252" i="81"/>
  <c r="C252" i="81"/>
  <c r="R251" i="81"/>
  <c r="S251" i="81" s="1"/>
  <c r="Q251" i="81"/>
  <c r="O251" i="81"/>
  <c r="M251" i="81"/>
  <c r="K251" i="81"/>
  <c r="I251" i="81"/>
  <c r="G251" i="81"/>
  <c r="E251" i="81"/>
  <c r="C251" i="81"/>
  <c r="R250" i="81"/>
  <c r="S250" i="81" s="1"/>
  <c r="Q250" i="81"/>
  <c r="O250" i="81"/>
  <c r="M250" i="81"/>
  <c r="K250" i="81"/>
  <c r="I250" i="81"/>
  <c r="G250" i="81"/>
  <c r="E250" i="81"/>
  <c r="C250" i="81"/>
  <c r="R249" i="81"/>
  <c r="S249" i="81" s="1"/>
  <c r="Q249" i="81"/>
  <c r="O249" i="81"/>
  <c r="M249" i="81"/>
  <c r="K249" i="81"/>
  <c r="I249" i="81"/>
  <c r="G249" i="81"/>
  <c r="E249" i="81"/>
  <c r="C249" i="81"/>
  <c r="R248" i="81"/>
  <c r="S248" i="81" s="1"/>
  <c r="Q248" i="81"/>
  <c r="O248" i="81"/>
  <c r="M248" i="81"/>
  <c r="K248" i="81"/>
  <c r="I248" i="81"/>
  <c r="G248" i="81"/>
  <c r="E248" i="81"/>
  <c r="C248" i="81"/>
  <c r="Q247" i="81"/>
  <c r="O247" i="81"/>
  <c r="M247" i="81"/>
  <c r="K247" i="81"/>
  <c r="I247" i="81"/>
  <c r="G247" i="81"/>
  <c r="E247" i="81"/>
  <c r="C247" i="81"/>
  <c r="R247" i="81" s="1"/>
  <c r="S247" i="81" s="1"/>
  <c r="Q246" i="81"/>
  <c r="O246" i="81"/>
  <c r="M246" i="81"/>
  <c r="K246" i="81"/>
  <c r="I246" i="81"/>
  <c r="G246" i="81"/>
  <c r="E246" i="81"/>
  <c r="C246" i="81"/>
  <c r="R246" i="81" s="1"/>
  <c r="S246" i="81" s="1"/>
  <c r="Q245" i="81"/>
  <c r="O245" i="81"/>
  <c r="M245" i="81"/>
  <c r="K245" i="81"/>
  <c r="I245" i="81"/>
  <c r="G245" i="81"/>
  <c r="E245" i="81"/>
  <c r="C245" i="81"/>
  <c r="R245" i="81" s="1"/>
  <c r="S245" i="81" s="1"/>
  <c r="Q244" i="81"/>
  <c r="O244" i="81"/>
  <c r="M244" i="81"/>
  <c r="K244" i="81"/>
  <c r="I244" i="81"/>
  <c r="G244" i="81"/>
  <c r="E244" i="81"/>
  <c r="C244" i="81"/>
  <c r="R244" i="81" s="1"/>
  <c r="S244" i="81" s="1"/>
  <c r="Q243" i="81"/>
  <c r="O243" i="81"/>
  <c r="M243" i="81"/>
  <c r="K243" i="81"/>
  <c r="I243" i="81"/>
  <c r="G243" i="81"/>
  <c r="E243" i="81"/>
  <c r="C243" i="81"/>
  <c r="R243" i="81" s="1"/>
  <c r="S243" i="81" s="1"/>
  <c r="Q242" i="81"/>
  <c r="O242" i="81"/>
  <c r="M242" i="81"/>
  <c r="K242" i="81"/>
  <c r="I242" i="81"/>
  <c r="G242" i="81"/>
  <c r="E242" i="81"/>
  <c r="C242" i="81"/>
  <c r="R242" i="81" s="1"/>
  <c r="S242" i="81" s="1"/>
  <c r="Q241" i="81"/>
  <c r="O241" i="81"/>
  <c r="M241" i="81"/>
  <c r="K241" i="81"/>
  <c r="I241" i="81"/>
  <c r="G241" i="81"/>
  <c r="E241" i="81"/>
  <c r="C241" i="81"/>
  <c r="R241" i="81" s="1"/>
  <c r="S241" i="81" s="1"/>
  <c r="Q240" i="81"/>
  <c r="O240" i="81"/>
  <c r="M240" i="81"/>
  <c r="K240" i="81"/>
  <c r="I240" i="81"/>
  <c r="G240" i="81"/>
  <c r="E240" i="81"/>
  <c r="C240" i="81"/>
  <c r="R240" i="81" s="1"/>
  <c r="S240" i="81" s="1"/>
  <c r="Q239" i="81"/>
  <c r="O239" i="81"/>
  <c r="M239" i="81"/>
  <c r="K239" i="81"/>
  <c r="I239" i="81"/>
  <c r="G239" i="81"/>
  <c r="E239" i="81"/>
  <c r="C239" i="81"/>
  <c r="R239" i="81" s="1"/>
  <c r="S239" i="81" s="1"/>
  <c r="Q238" i="81"/>
  <c r="O238" i="81"/>
  <c r="M238" i="81"/>
  <c r="K238" i="81"/>
  <c r="I238" i="81"/>
  <c r="G238" i="81"/>
  <c r="E238" i="81"/>
  <c r="C238" i="81"/>
  <c r="R238" i="81" s="1"/>
  <c r="S238" i="81" s="1"/>
  <c r="Q237" i="81"/>
  <c r="O237" i="81"/>
  <c r="M237" i="81"/>
  <c r="K237" i="81"/>
  <c r="I237" i="81"/>
  <c r="G237" i="81"/>
  <c r="E237" i="81"/>
  <c r="C237" i="81"/>
  <c r="R237" i="81" s="1"/>
  <c r="S237" i="81" s="1"/>
  <c r="Q236" i="81"/>
  <c r="O236" i="81"/>
  <c r="M236" i="81"/>
  <c r="K236" i="81"/>
  <c r="I236" i="81"/>
  <c r="G236" i="81"/>
  <c r="E236" i="81"/>
  <c r="C236" i="81"/>
  <c r="R236" i="81" s="1"/>
  <c r="S236" i="81" s="1"/>
  <c r="Q235" i="81"/>
  <c r="O235" i="81"/>
  <c r="M235" i="81"/>
  <c r="K235" i="81"/>
  <c r="I235" i="81"/>
  <c r="G235" i="81"/>
  <c r="E235" i="81"/>
  <c r="C235" i="81"/>
  <c r="R235" i="81" s="1"/>
  <c r="S235" i="81" s="1"/>
  <c r="Q234" i="81"/>
  <c r="O234" i="81"/>
  <c r="M234" i="81"/>
  <c r="K234" i="81"/>
  <c r="I234" i="81"/>
  <c r="G234" i="81"/>
  <c r="E234" i="81"/>
  <c r="C234" i="81"/>
  <c r="R234" i="81" s="1"/>
  <c r="S234" i="81" s="1"/>
  <c r="Q233" i="81"/>
  <c r="O233" i="81"/>
  <c r="M233" i="81"/>
  <c r="K233" i="81"/>
  <c r="I233" i="81"/>
  <c r="G233" i="81"/>
  <c r="E233" i="81"/>
  <c r="C233" i="81"/>
  <c r="R233" i="81" s="1"/>
  <c r="S233" i="81" s="1"/>
  <c r="Q232" i="81"/>
  <c r="O232" i="81"/>
  <c r="M232" i="81"/>
  <c r="K232" i="81"/>
  <c r="I232" i="81"/>
  <c r="G232" i="81"/>
  <c r="E232" i="81"/>
  <c r="C232" i="81"/>
  <c r="R232" i="81" s="1"/>
  <c r="S232" i="81" s="1"/>
  <c r="Q231" i="81"/>
  <c r="O231" i="81"/>
  <c r="M231" i="81"/>
  <c r="K231" i="81"/>
  <c r="I231" i="81"/>
  <c r="G231" i="81"/>
  <c r="E231" i="81"/>
  <c r="C231" i="81"/>
  <c r="R231" i="81" s="1"/>
  <c r="S231" i="81" s="1"/>
  <c r="Q230" i="81"/>
  <c r="O230" i="81"/>
  <c r="M230" i="81"/>
  <c r="K230" i="81"/>
  <c r="I230" i="81"/>
  <c r="G230" i="81"/>
  <c r="E230" i="81"/>
  <c r="C230" i="81"/>
  <c r="R230" i="81" s="1"/>
  <c r="S230" i="81" s="1"/>
  <c r="Q229" i="81"/>
  <c r="O229" i="81"/>
  <c r="M229" i="81"/>
  <c r="K229" i="81"/>
  <c r="I229" i="81"/>
  <c r="G229" i="81"/>
  <c r="E229" i="81"/>
  <c r="C229" i="81"/>
  <c r="R229" i="81" s="1"/>
  <c r="S229" i="81" s="1"/>
  <c r="Q228" i="81"/>
  <c r="O228" i="81"/>
  <c r="M228" i="81"/>
  <c r="K228" i="81"/>
  <c r="I228" i="81"/>
  <c r="G228" i="81"/>
  <c r="E228" i="81"/>
  <c r="C228" i="81"/>
  <c r="R228" i="81" s="1"/>
  <c r="S228" i="81" s="1"/>
  <c r="Q227" i="81"/>
  <c r="O227" i="81"/>
  <c r="M227" i="81"/>
  <c r="K227" i="81"/>
  <c r="I227" i="81"/>
  <c r="G227" i="81"/>
  <c r="E227" i="81"/>
  <c r="C227" i="81"/>
  <c r="R227" i="81" s="1"/>
  <c r="S227" i="81" s="1"/>
  <c r="Q226" i="81"/>
  <c r="O226" i="81"/>
  <c r="M226" i="81"/>
  <c r="K226" i="81"/>
  <c r="I226" i="81"/>
  <c r="G226" i="81"/>
  <c r="E226" i="81"/>
  <c r="C226" i="81"/>
  <c r="R226" i="81" s="1"/>
  <c r="S226" i="81" s="1"/>
  <c r="Q225" i="81"/>
  <c r="O225" i="81"/>
  <c r="M225" i="81"/>
  <c r="K225" i="81"/>
  <c r="I225" i="81"/>
  <c r="G225" i="81"/>
  <c r="E225" i="81"/>
  <c r="C225" i="81"/>
  <c r="R225" i="81" s="1"/>
  <c r="S225" i="81" s="1"/>
  <c r="Q224" i="81"/>
  <c r="O224" i="81"/>
  <c r="M224" i="81"/>
  <c r="K224" i="81"/>
  <c r="I224" i="81"/>
  <c r="G224" i="81"/>
  <c r="E224" i="81"/>
  <c r="C224" i="81"/>
  <c r="R224" i="81" s="1"/>
  <c r="S224" i="81" s="1"/>
  <c r="Q223" i="81"/>
  <c r="O223" i="81"/>
  <c r="M223" i="81"/>
  <c r="K223" i="81"/>
  <c r="I223" i="81"/>
  <c r="G223" i="81"/>
  <c r="E223" i="81"/>
  <c r="C223" i="81"/>
  <c r="R223" i="81" s="1"/>
  <c r="S223" i="81" s="1"/>
  <c r="Q222" i="81"/>
  <c r="O222" i="81"/>
  <c r="M222" i="81"/>
  <c r="K222" i="81"/>
  <c r="I222" i="81"/>
  <c r="G222" i="81"/>
  <c r="E222" i="81"/>
  <c r="C222" i="81"/>
  <c r="R222" i="81" s="1"/>
  <c r="S222" i="81" s="1"/>
  <c r="Q221" i="81"/>
  <c r="O221" i="81"/>
  <c r="M221" i="81"/>
  <c r="K221" i="81"/>
  <c r="I221" i="81"/>
  <c r="G221" i="81"/>
  <c r="E221" i="81"/>
  <c r="C221" i="81"/>
  <c r="R221" i="81" s="1"/>
  <c r="S221" i="81" s="1"/>
  <c r="Q220" i="81"/>
  <c r="O220" i="81"/>
  <c r="M220" i="81"/>
  <c r="K220" i="81"/>
  <c r="I220" i="81"/>
  <c r="G220" i="81"/>
  <c r="E220" i="81"/>
  <c r="C220" i="81"/>
  <c r="R220" i="81" s="1"/>
  <c r="S220" i="81" s="1"/>
  <c r="Q219" i="81"/>
  <c r="O219" i="81"/>
  <c r="M219" i="81"/>
  <c r="K219" i="81"/>
  <c r="I219" i="81"/>
  <c r="G219" i="81"/>
  <c r="E219" i="81"/>
  <c r="C219" i="81"/>
  <c r="R219" i="81" s="1"/>
  <c r="S219" i="81" s="1"/>
  <c r="Q218" i="81"/>
  <c r="O218" i="81"/>
  <c r="M218" i="81"/>
  <c r="K218" i="81"/>
  <c r="I218" i="81"/>
  <c r="G218" i="81"/>
  <c r="E218" i="81"/>
  <c r="C218" i="81"/>
  <c r="R218" i="81" s="1"/>
  <c r="S218" i="81" s="1"/>
  <c r="Q217" i="81"/>
  <c r="O217" i="81"/>
  <c r="M217" i="81"/>
  <c r="K217" i="81"/>
  <c r="I217" i="81"/>
  <c r="G217" i="81"/>
  <c r="E217" i="81"/>
  <c r="C217" i="81"/>
  <c r="R217" i="81" s="1"/>
  <c r="S217" i="81" s="1"/>
  <c r="Q216" i="81"/>
  <c r="O216" i="81"/>
  <c r="M216" i="81"/>
  <c r="K216" i="81"/>
  <c r="I216" i="81"/>
  <c r="G216" i="81"/>
  <c r="E216" i="81"/>
  <c r="C216" i="81"/>
  <c r="R216" i="81" s="1"/>
  <c r="S216" i="81" s="1"/>
  <c r="Q215" i="81"/>
  <c r="O215" i="81"/>
  <c r="M215" i="81"/>
  <c r="K215" i="81"/>
  <c r="I215" i="81"/>
  <c r="G215" i="81"/>
  <c r="E215" i="81"/>
  <c r="C215" i="81"/>
  <c r="R215" i="81" s="1"/>
  <c r="S215" i="81" s="1"/>
  <c r="Q214" i="81"/>
  <c r="O214" i="81"/>
  <c r="M214" i="81"/>
  <c r="K214" i="81"/>
  <c r="I214" i="81"/>
  <c r="G214" i="81"/>
  <c r="E214" i="81"/>
  <c r="C214" i="81"/>
  <c r="R214" i="81" s="1"/>
  <c r="S214" i="81" s="1"/>
  <c r="Q213" i="81"/>
  <c r="O213" i="81"/>
  <c r="M213" i="81"/>
  <c r="K213" i="81"/>
  <c r="I213" i="81"/>
  <c r="G213" i="81"/>
  <c r="E213" i="81"/>
  <c r="C213" i="81"/>
  <c r="R213" i="81" s="1"/>
  <c r="S213" i="81" s="1"/>
  <c r="Q212" i="81"/>
  <c r="O212" i="81"/>
  <c r="M212" i="81"/>
  <c r="K212" i="81"/>
  <c r="I212" i="81"/>
  <c r="G212" i="81"/>
  <c r="E212" i="81"/>
  <c r="C212" i="81"/>
  <c r="R212" i="81" s="1"/>
  <c r="S212" i="81" s="1"/>
  <c r="Q211" i="81"/>
  <c r="O211" i="81"/>
  <c r="M211" i="81"/>
  <c r="K211" i="81"/>
  <c r="I211" i="81"/>
  <c r="G211" i="81"/>
  <c r="E211" i="81"/>
  <c r="C211" i="81"/>
  <c r="R211" i="81" s="1"/>
  <c r="S211" i="81" s="1"/>
  <c r="Q210" i="81"/>
  <c r="O210" i="81"/>
  <c r="M210" i="81"/>
  <c r="K210" i="81"/>
  <c r="I210" i="81"/>
  <c r="G210" i="81"/>
  <c r="E210" i="81"/>
  <c r="C210" i="81"/>
  <c r="R210" i="81" s="1"/>
  <c r="S210" i="81" s="1"/>
  <c r="Q209" i="81"/>
  <c r="O209" i="81"/>
  <c r="M209" i="81"/>
  <c r="K209" i="81"/>
  <c r="I209" i="81"/>
  <c r="G209" i="81"/>
  <c r="E209" i="81"/>
  <c r="C209" i="81"/>
  <c r="R209" i="81" s="1"/>
  <c r="S209" i="81" s="1"/>
  <c r="Q208" i="81"/>
  <c r="O208" i="81"/>
  <c r="M208" i="81"/>
  <c r="K208" i="81"/>
  <c r="I208" i="81"/>
  <c r="G208" i="81"/>
  <c r="E208" i="81"/>
  <c r="C208" i="81"/>
  <c r="R208" i="81" s="1"/>
  <c r="S208" i="81" s="1"/>
  <c r="Q207" i="81"/>
  <c r="O207" i="81"/>
  <c r="M207" i="81"/>
  <c r="K207" i="81"/>
  <c r="I207" i="81"/>
  <c r="G207" i="81"/>
  <c r="E207" i="81"/>
  <c r="C207" i="81"/>
  <c r="R207" i="81" s="1"/>
  <c r="S207" i="81" s="1"/>
  <c r="Q206" i="81"/>
  <c r="O206" i="81"/>
  <c r="M206" i="81"/>
  <c r="K206" i="81"/>
  <c r="I206" i="81"/>
  <c r="G206" i="81"/>
  <c r="E206" i="81"/>
  <c r="C206" i="81"/>
  <c r="R206" i="81" s="1"/>
  <c r="S206" i="81" s="1"/>
  <c r="Q205" i="81"/>
  <c r="O205" i="81"/>
  <c r="M205" i="81"/>
  <c r="K205" i="81"/>
  <c r="I205" i="81"/>
  <c r="G205" i="81"/>
  <c r="E205" i="81"/>
  <c r="C205" i="81"/>
  <c r="R205" i="81" s="1"/>
  <c r="S205" i="81" s="1"/>
  <c r="Q204" i="81"/>
  <c r="O204" i="81"/>
  <c r="M204" i="81"/>
  <c r="K204" i="81"/>
  <c r="I204" i="81"/>
  <c r="G204" i="81"/>
  <c r="E204" i="81"/>
  <c r="C204" i="81"/>
  <c r="R204" i="81" s="1"/>
  <c r="S204" i="81" s="1"/>
  <c r="Q203" i="81"/>
  <c r="O203" i="81"/>
  <c r="M203" i="81"/>
  <c r="K203" i="81"/>
  <c r="I203" i="81"/>
  <c r="G203" i="81"/>
  <c r="E203" i="81"/>
  <c r="C203" i="81"/>
  <c r="R203" i="81" s="1"/>
  <c r="S203" i="81" s="1"/>
  <c r="Q202" i="81"/>
  <c r="O202" i="81"/>
  <c r="M202" i="81"/>
  <c r="K202" i="81"/>
  <c r="I202" i="81"/>
  <c r="G202" i="81"/>
  <c r="E202" i="81"/>
  <c r="C202" i="81"/>
  <c r="R202" i="81" s="1"/>
  <c r="S202" i="81" s="1"/>
  <c r="Q201" i="81"/>
  <c r="O201" i="81"/>
  <c r="M201" i="81"/>
  <c r="K201" i="81"/>
  <c r="I201" i="81"/>
  <c r="G201" i="81"/>
  <c r="E201" i="81"/>
  <c r="C201" i="81"/>
  <c r="R201" i="81" s="1"/>
  <c r="S201" i="81" s="1"/>
  <c r="Q200" i="81"/>
  <c r="O200" i="81"/>
  <c r="M200" i="81"/>
  <c r="K200" i="81"/>
  <c r="I200" i="81"/>
  <c r="G200" i="81"/>
  <c r="E200" i="81"/>
  <c r="C200" i="81"/>
  <c r="R200" i="81" s="1"/>
  <c r="S200" i="81" s="1"/>
  <c r="Q199" i="81"/>
  <c r="O199" i="81"/>
  <c r="M199" i="81"/>
  <c r="K199" i="81"/>
  <c r="I199" i="81"/>
  <c r="G199" i="81"/>
  <c r="E199" i="81"/>
  <c r="C199" i="81"/>
  <c r="R199" i="81" s="1"/>
  <c r="S199" i="81" s="1"/>
  <c r="Q198" i="81"/>
  <c r="O198" i="81"/>
  <c r="M198" i="81"/>
  <c r="K198" i="81"/>
  <c r="I198" i="81"/>
  <c r="G198" i="81"/>
  <c r="E198" i="81"/>
  <c r="C198" i="81"/>
  <c r="R198" i="81" s="1"/>
  <c r="S198" i="81" s="1"/>
  <c r="Q197" i="81"/>
  <c r="O197" i="81"/>
  <c r="M197" i="81"/>
  <c r="K197" i="81"/>
  <c r="I197" i="81"/>
  <c r="G197" i="81"/>
  <c r="E197" i="81"/>
  <c r="C197" i="81"/>
  <c r="R197" i="81" s="1"/>
  <c r="S197" i="81" s="1"/>
  <c r="Q196" i="81"/>
  <c r="O196" i="81"/>
  <c r="M196" i="81"/>
  <c r="K196" i="81"/>
  <c r="I196" i="81"/>
  <c r="G196" i="81"/>
  <c r="E196" i="81"/>
  <c r="C196" i="81"/>
  <c r="R196" i="81" s="1"/>
  <c r="S196" i="81" s="1"/>
  <c r="Q195" i="81"/>
  <c r="O195" i="81"/>
  <c r="M195" i="81"/>
  <c r="K195" i="81"/>
  <c r="I195" i="81"/>
  <c r="G195" i="81"/>
  <c r="E195" i="81"/>
  <c r="C195" i="81"/>
  <c r="R195" i="81" s="1"/>
  <c r="S195" i="81" s="1"/>
  <c r="Q194" i="81"/>
  <c r="O194" i="81"/>
  <c r="M194" i="81"/>
  <c r="K194" i="81"/>
  <c r="I194" i="81"/>
  <c r="G194" i="81"/>
  <c r="E194" i="81"/>
  <c r="C194" i="81"/>
  <c r="R194" i="81" s="1"/>
  <c r="S194" i="81" s="1"/>
  <c r="Q193" i="81"/>
  <c r="O193" i="81"/>
  <c r="M193" i="81"/>
  <c r="K193" i="81"/>
  <c r="I193" i="81"/>
  <c r="G193" i="81"/>
  <c r="E193" i="81"/>
  <c r="C193" i="81"/>
  <c r="R193" i="81" s="1"/>
  <c r="S193" i="81" s="1"/>
  <c r="Q192" i="81"/>
  <c r="O192" i="81"/>
  <c r="M192" i="81"/>
  <c r="K192" i="81"/>
  <c r="I192" i="81"/>
  <c r="G192" i="81"/>
  <c r="E192" i="81"/>
  <c r="C192" i="81"/>
  <c r="R192" i="81" s="1"/>
  <c r="S192" i="81" s="1"/>
  <c r="Q191" i="81"/>
  <c r="O191" i="81"/>
  <c r="M191" i="81"/>
  <c r="K191" i="81"/>
  <c r="I191" i="81"/>
  <c r="G191" i="81"/>
  <c r="E191" i="81"/>
  <c r="C191" i="81"/>
  <c r="R191" i="81" s="1"/>
  <c r="S191" i="81" s="1"/>
  <c r="Q190" i="81"/>
  <c r="O190" i="81"/>
  <c r="M190" i="81"/>
  <c r="K190" i="81"/>
  <c r="I190" i="81"/>
  <c r="G190" i="81"/>
  <c r="E190" i="81"/>
  <c r="C190" i="81"/>
  <c r="R190" i="81" s="1"/>
  <c r="S190" i="81" s="1"/>
  <c r="Q189" i="81"/>
  <c r="O189" i="81"/>
  <c r="M189" i="81"/>
  <c r="K189" i="81"/>
  <c r="I189" i="81"/>
  <c r="G189" i="81"/>
  <c r="E189" i="81"/>
  <c r="C189" i="81"/>
  <c r="R189" i="81" s="1"/>
  <c r="S189" i="81" s="1"/>
  <c r="Q188" i="81"/>
  <c r="O188" i="81"/>
  <c r="M188" i="81"/>
  <c r="K188" i="81"/>
  <c r="I188" i="81"/>
  <c r="G188" i="81"/>
  <c r="E188" i="81"/>
  <c r="C188" i="81"/>
  <c r="R188" i="81" s="1"/>
  <c r="S188" i="81" s="1"/>
  <c r="Q187" i="81"/>
  <c r="O187" i="81"/>
  <c r="M187" i="81"/>
  <c r="K187" i="81"/>
  <c r="I187" i="81"/>
  <c r="G187" i="81"/>
  <c r="E187" i="81"/>
  <c r="C187" i="81"/>
  <c r="R187" i="81" s="1"/>
  <c r="S187" i="81" s="1"/>
  <c r="Q186" i="81"/>
  <c r="O186" i="81"/>
  <c r="M186" i="81"/>
  <c r="K186" i="81"/>
  <c r="I186" i="81"/>
  <c r="G186" i="81"/>
  <c r="E186" i="81"/>
  <c r="C186" i="81"/>
  <c r="R186" i="81" s="1"/>
  <c r="S186" i="81" s="1"/>
  <c r="Q185" i="81"/>
  <c r="O185" i="81"/>
  <c r="M185" i="81"/>
  <c r="K185" i="81"/>
  <c r="I185" i="81"/>
  <c r="G185" i="81"/>
  <c r="E185" i="81"/>
  <c r="C185" i="81"/>
  <c r="R185" i="81" s="1"/>
  <c r="S185" i="81" s="1"/>
  <c r="Q184" i="81"/>
  <c r="O184" i="81"/>
  <c r="M184" i="81"/>
  <c r="K184" i="81"/>
  <c r="I184" i="81"/>
  <c r="G184" i="81"/>
  <c r="E184" i="81"/>
  <c r="C184" i="81"/>
  <c r="R184" i="81" s="1"/>
  <c r="S184" i="81" s="1"/>
  <c r="Q183" i="81"/>
  <c r="O183" i="81"/>
  <c r="M183" i="81"/>
  <c r="K183" i="81"/>
  <c r="I183" i="81"/>
  <c r="G183" i="81"/>
  <c r="E183" i="81"/>
  <c r="C183" i="81"/>
  <c r="R183" i="81" s="1"/>
  <c r="S183" i="81" s="1"/>
  <c r="Q182" i="81"/>
  <c r="O182" i="81"/>
  <c r="M182" i="81"/>
  <c r="K182" i="81"/>
  <c r="I182" i="81"/>
  <c r="G182" i="81"/>
  <c r="E182" i="81"/>
  <c r="C182" i="81"/>
  <c r="R182" i="81" s="1"/>
  <c r="S182" i="81" s="1"/>
  <c r="Q181" i="81"/>
  <c r="O181" i="81"/>
  <c r="M181" i="81"/>
  <c r="K181" i="81"/>
  <c r="I181" i="81"/>
  <c r="G181" i="81"/>
  <c r="E181" i="81"/>
  <c r="C181" i="81"/>
  <c r="R181" i="81" s="1"/>
  <c r="S181" i="81" s="1"/>
  <c r="Q180" i="81"/>
  <c r="O180" i="81"/>
  <c r="M180" i="81"/>
  <c r="K180" i="81"/>
  <c r="I180" i="81"/>
  <c r="G180" i="81"/>
  <c r="E180" i="81"/>
  <c r="C180" i="81"/>
  <c r="R180" i="81" s="1"/>
  <c r="S180" i="81" s="1"/>
  <c r="Q179" i="81"/>
  <c r="O179" i="81"/>
  <c r="M179" i="81"/>
  <c r="K179" i="81"/>
  <c r="I179" i="81"/>
  <c r="G179" i="81"/>
  <c r="E179" i="81"/>
  <c r="C179" i="81"/>
  <c r="R179" i="81" s="1"/>
  <c r="S179" i="81" s="1"/>
  <c r="Q178" i="81"/>
  <c r="O178" i="81"/>
  <c r="M178" i="81"/>
  <c r="K178" i="81"/>
  <c r="I178" i="81"/>
  <c r="G178" i="81"/>
  <c r="E178" i="81"/>
  <c r="C178" i="81"/>
  <c r="R178" i="81" s="1"/>
  <c r="S178" i="81" s="1"/>
  <c r="Q177" i="81"/>
  <c r="O177" i="81"/>
  <c r="M177" i="81"/>
  <c r="K177" i="81"/>
  <c r="I177" i="81"/>
  <c r="G177" i="81"/>
  <c r="E177" i="81"/>
  <c r="C177" i="81"/>
  <c r="R177" i="81" s="1"/>
  <c r="S177" i="81" s="1"/>
  <c r="Q176" i="81"/>
  <c r="O176" i="81"/>
  <c r="M176" i="81"/>
  <c r="K176" i="81"/>
  <c r="I176" i="81"/>
  <c r="G176" i="81"/>
  <c r="E176" i="81"/>
  <c r="C176" i="81"/>
  <c r="R176" i="81" s="1"/>
  <c r="S176" i="81" s="1"/>
  <c r="Q175" i="81"/>
  <c r="O175" i="81"/>
  <c r="M175" i="81"/>
  <c r="K175" i="81"/>
  <c r="I175" i="81"/>
  <c r="G175" i="81"/>
  <c r="E175" i="81"/>
  <c r="C175" i="81"/>
  <c r="R175" i="81" s="1"/>
  <c r="S175" i="81" s="1"/>
  <c r="Q174" i="81"/>
  <c r="O174" i="81"/>
  <c r="M174" i="81"/>
  <c r="K174" i="81"/>
  <c r="I174" i="81"/>
  <c r="G174" i="81"/>
  <c r="E174" i="81"/>
  <c r="C174" i="81"/>
  <c r="R174" i="81" s="1"/>
  <c r="S174" i="81" s="1"/>
  <c r="Q173" i="81"/>
  <c r="O173" i="81"/>
  <c r="M173" i="81"/>
  <c r="K173" i="81"/>
  <c r="I173" i="81"/>
  <c r="G173" i="81"/>
  <c r="E173" i="81"/>
  <c r="C173" i="81"/>
  <c r="R173" i="81" s="1"/>
  <c r="S173" i="81" s="1"/>
  <c r="Q172" i="81"/>
  <c r="O172" i="81"/>
  <c r="M172" i="81"/>
  <c r="K172" i="81"/>
  <c r="I172" i="81"/>
  <c r="G172" i="81"/>
  <c r="E172" i="81"/>
  <c r="C172" i="81"/>
  <c r="R172" i="81" s="1"/>
  <c r="S172" i="81" s="1"/>
  <c r="Q171" i="81"/>
  <c r="O171" i="81"/>
  <c r="M171" i="81"/>
  <c r="K171" i="81"/>
  <c r="I171" i="81"/>
  <c r="G171" i="81"/>
  <c r="E171" i="81"/>
  <c r="C171" i="81"/>
  <c r="R171" i="81" s="1"/>
  <c r="S171" i="81" s="1"/>
  <c r="Q170" i="81"/>
  <c r="O170" i="81"/>
  <c r="M170" i="81"/>
  <c r="K170" i="81"/>
  <c r="I170" i="81"/>
  <c r="G170" i="81"/>
  <c r="E170" i="81"/>
  <c r="C170" i="81"/>
  <c r="R170" i="81" s="1"/>
  <c r="S170" i="81" s="1"/>
  <c r="Q169" i="81"/>
  <c r="O169" i="81"/>
  <c r="M169" i="81"/>
  <c r="K169" i="81"/>
  <c r="I169" i="81"/>
  <c r="G169" i="81"/>
  <c r="E169" i="81"/>
  <c r="C169" i="81"/>
  <c r="R169" i="81" s="1"/>
  <c r="S169" i="81" s="1"/>
  <c r="Q168" i="81"/>
  <c r="O168" i="81"/>
  <c r="M168" i="81"/>
  <c r="K168" i="81"/>
  <c r="I168" i="81"/>
  <c r="G168" i="81"/>
  <c r="E168" i="81"/>
  <c r="C168" i="81"/>
  <c r="R168" i="81" s="1"/>
  <c r="S168" i="81" s="1"/>
  <c r="Q167" i="81"/>
  <c r="O167" i="81"/>
  <c r="M167" i="81"/>
  <c r="K167" i="81"/>
  <c r="I167" i="81"/>
  <c r="G167" i="81"/>
  <c r="E167" i="81"/>
  <c r="C167" i="81"/>
  <c r="R167" i="81" s="1"/>
  <c r="S167" i="81" s="1"/>
  <c r="Q166" i="81"/>
  <c r="O166" i="81"/>
  <c r="M166" i="81"/>
  <c r="K166" i="81"/>
  <c r="I166" i="81"/>
  <c r="G166" i="81"/>
  <c r="E166" i="81"/>
  <c r="C166" i="81"/>
  <c r="R166" i="81" s="1"/>
  <c r="S166" i="81" s="1"/>
  <c r="Q165" i="81"/>
  <c r="O165" i="81"/>
  <c r="M165" i="81"/>
  <c r="K165" i="81"/>
  <c r="I165" i="81"/>
  <c r="G165" i="81"/>
  <c r="E165" i="81"/>
  <c r="C165" i="81"/>
  <c r="R165" i="81" s="1"/>
  <c r="S165" i="81" s="1"/>
  <c r="Q164" i="81"/>
  <c r="O164" i="81"/>
  <c r="M164" i="81"/>
  <c r="K164" i="81"/>
  <c r="I164" i="81"/>
  <c r="G164" i="81"/>
  <c r="E164" i="81"/>
  <c r="C164" i="81"/>
  <c r="R164" i="81" s="1"/>
  <c r="S164" i="81" s="1"/>
  <c r="Q163" i="81"/>
  <c r="O163" i="81"/>
  <c r="M163" i="81"/>
  <c r="K163" i="81"/>
  <c r="I163" i="81"/>
  <c r="G163" i="81"/>
  <c r="E163" i="81"/>
  <c r="C163" i="81"/>
  <c r="R163" i="81" s="1"/>
  <c r="S163" i="81" s="1"/>
  <c r="Q162" i="81"/>
  <c r="O162" i="81"/>
  <c r="M162" i="81"/>
  <c r="K162" i="81"/>
  <c r="I162" i="81"/>
  <c r="G162" i="81"/>
  <c r="E162" i="81"/>
  <c r="C162" i="81"/>
  <c r="R162" i="81" s="1"/>
  <c r="S162" i="81" s="1"/>
  <c r="Q161" i="81"/>
  <c r="O161" i="81"/>
  <c r="M161" i="81"/>
  <c r="K161" i="81"/>
  <c r="I161" i="81"/>
  <c r="G161" i="81"/>
  <c r="E161" i="81"/>
  <c r="C161" i="81"/>
  <c r="R161" i="81" s="1"/>
  <c r="S161" i="81" s="1"/>
  <c r="Q160" i="81"/>
  <c r="O160" i="81"/>
  <c r="M160" i="81"/>
  <c r="K160" i="81"/>
  <c r="I160" i="81"/>
  <c r="G160" i="81"/>
  <c r="E160" i="81"/>
  <c r="C160" i="81"/>
  <c r="R160" i="81" s="1"/>
  <c r="S160" i="81" s="1"/>
  <c r="Q159" i="81"/>
  <c r="O159" i="81"/>
  <c r="M159" i="81"/>
  <c r="K159" i="81"/>
  <c r="I159" i="81"/>
  <c r="G159" i="81"/>
  <c r="E159" i="81"/>
  <c r="C159" i="81"/>
  <c r="R159" i="81" s="1"/>
  <c r="S159" i="81" s="1"/>
  <c r="Q158" i="81"/>
  <c r="O158" i="81"/>
  <c r="M158" i="81"/>
  <c r="K158" i="81"/>
  <c r="I158" i="81"/>
  <c r="G158" i="81"/>
  <c r="E158" i="81"/>
  <c r="C158" i="81"/>
  <c r="R158" i="81" s="1"/>
  <c r="S158" i="81" s="1"/>
  <c r="Q157" i="81"/>
  <c r="O157" i="81"/>
  <c r="M157" i="81"/>
  <c r="K157" i="81"/>
  <c r="I157" i="81"/>
  <c r="G157" i="81"/>
  <c r="E157" i="81"/>
  <c r="C157" i="81"/>
  <c r="R157" i="81" s="1"/>
  <c r="S157" i="81" s="1"/>
  <c r="Q156" i="81"/>
  <c r="O156" i="81"/>
  <c r="M156" i="81"/>
  <c r="K156" i="81"/>
  <c r="I156" i="81"/>
  <c r="G156" i="81"/>
  <c r="E156" i="81"/>
  <c r="C156" i="81"/>
  <c r="R156" i="81" s="1"/>
  <c r="S156" i="81" s="1"/>
  <c r="Q155" i="81"/>
  <c r="O155" i="81"/>
  <c r="M155" i="81"/>
  <c r="K155" i="81"/>
  <c r="I155" i="81"/>
  <c r="G155" i="81"/>
  <c r="E155" i="81"/>
  <c r="C155" i="81"/>
  <c r="R155" i="81" s="1"/>
  <c r="S155" i="81" s="1"/>
  <c r="Q154" i="81"/>
  <c r="O154" i="81"/>
  <c r="M154" i="81"/>
  <c r="K154" i="81"/>
  <c r="I154" i="81"/>
  <c r="G154" i="81"/>
  <c r="E154" i="81"/>
  <c r="C154" i="81"/>
  <c r="R154" i="81" s="1"/>
  <c r="S154" i="81" s="1"/>
  <c r="Q153" i="81"/>
  <c r="O153" i="81"/>
  <c r="M153" i="81"/>
  <c r="K153" i="81"/>
  <c r="I153" i="81"/>
  <c r="G153" i="81"/>
  <c r="E153" i="81"/>
  <c r="C153" i="81"/>
  <c r="R153" i="81" s="1"/>
  <c r="S153" i="81" s="1"/>
  <c r="Q152" i="81"/>
  <c r="O152" i="81"/>
  <c r="M152" i="81"/>
  <c r="K152" i="81"/>
  <c r="I152" i="81"/>
  <c r="G152" i="81"/>
  <c r="E152" i="81"/>
  <c r="C152" i="81"/>
  <c r="R152" i="81" s="1"/>
  <c r="S152" i="81" s="1"/>
  <c r="Q151" i="81"/>
  <c r="O151" i="81"/>
  <c r="M151" i="81"/>
  <c r="K151" i="81"/>
  <c r="I151" i="81"/>
  <c r="G151" i="81"/>
  <c r="E151" i="81"/>
  <c r="C151" i="81"/>
  <c r="R151" i="81" s="1"/>
  <c r="S151" i="81" s="1"/>
  <c r="Q150" i="81"/>
  <c r="O150" i="81"/>
  <c r="M150" i="81"/>
  <c r="K150" i="81"/>
  <c r="I150" i="81"/>
  <c r="G150" i="81"/>
  <c r="E150" i="81"/>
  <c r="C150" i="81"/>
  <c r="R150" i="81" s="1"/>
  <c r="S150" i="81" s="1"/>
  <c r="Q149" i="81"/>
  <c r="O149" i="81"/>
  <c r="M149" i="81"/>
  <c r="K149" i="81"/>
  <c r="I149" i="81"/>
  <c r="G149" i="81"/>
  <c r="E149" i="81"/>
  <c r="C149" i="81"/>
  <c r="R149" i="81" s="1"/>
  <c r="S149" i="81" s="1"/>
  <c r="Q148" i="81"/>
  <c r="O148" i="81"/>
  <c r="M148" i="81"/>
  <c r="K148" i="81"/>
  <c r="I148" i="81"/>
  <c r="G148" i="81"/>
  <c r="E148" i="81"/>
  <c r="C148" i="81"/>
  <c r="R148" i="81" s="1"/>
  <c r="S148" i="81" s="1"/>
  <c r="Q147" i="81"/>
  <c r="O147" i="81"/>
  <c r="M147" i="81"/>
  <c r="K147" i="81"/>
  <c r="I147" i="81"/>
  <c r="G147" i="81"/>
  <c r="E147" i="81"/>
  <c r="C147" i="81"/>
  <c r="R147" i="81" s="1"/>
  <c r="S147" i="81" s="1"/>
  <c r="Q146" i="81"/>
  <c r="O146" i="81"/>
  <c r="M146" i="81"/>
  <c r="K146" i="81"/>
  <c r="I146" i="81"/>
  <c r="G146" i="81"/>
  <c r="E146" i="81"/>
  <c r="C146" i="81"/>
  <c r="R146" i="81" s="1"/>
  <c r="S146" i="81" s="1"/>
  <c r="Q145" i="81"/>
  <c r="O145" i="81"/>
  <c r="M145" i="81"/>
  <c r="K145" i="81"/>
  <c r="I145" i="81"/>
  <c r="G145" i="81"/>
  <c r="E145" i="81"/>
  <c r="C145" i="81"/>
  <c r="R145" i="81" s="1"/>
  <c r="S145" i="81" s="1"/>
  <c r="Q144" i="81"/>
  <c r="O144" i="81"/>
  <c r="M144" i="81"/>
  <c r="K144" i="81"/>
  <c r="I144" i="81"/>
  <c r="G144" i="81"/>
  <c r="E144" i="81"/>
  <c r="C144" i="81"/>
  <c r="R144" i="81" s="1"/>
  <c r="S144" i="81" s="1"/>
  <c r="Q143" i="81"/>
  <c r="O143" i="81"/>
  <c r="M143" i="81"/>
  <c r="K143" i="81"/>
  <c r="I143" i="81"/>
  <c r="G143" i="81"/>
  <c r="E143" i="81"/>
  <c r="C143" i="81"/>
  <c r="R143" i="81" s="1"/>
  <c r="S143" i="81" s="1"/>
  <c r="Q142" i="81"/>
  <c r="O142" i="81"/>
  <c r="M142" i="81"/>
  <c r="K142" i="81"/>
  <c r="I142" i="81"/>
  <c r="G142" i="81"/>
  <c r="E142" i="81"/>
  <c r="C142" i="81"/>
  <c r="R142" i="81" s="1"/>
  <c r="S142" i="81" s="1"/>
  <c r="Q141" i="81"/>
  <c r="O141" i="81"/>
  <c r="M141" i="81"/>
  <c r="K141" i="81"/>
  <c r="I141" i="81"/>
  <c r="G141" i="81"/>
  <c r="E141" i="81"/>
  <c r="C141" i="81"/>
  <c r="R141" i="81" s="1"/>
  <c r="S141" i="81" s="1"/>
  <c r="Q140" i="81"/>
  <c r="O140" i="81"/>
  <c r="M140" i="81"/>
  <c r="K140" i="81"/>
  <c r="I140" i="81"/>
  <c r="G140" i="81"/>
  <c r="E140" i="81"/>
  <c r="C140" i="81"/>
  <c r="R140" i="81" s="1"/>
  <c r="S140" i="81" s="1"/>
  <c r="Q139" i="81"/>
  <c r="O139" i="81"/>
  <c r="M139" i="81"/>
  <c r="K139" i="81"/>
  <c r="I139" i="81"/>
  <c r="G139" i="81"/>
  <c r="E139" i="81"/>
  <c r="C139" i="81"/>
  <c r="R139" i="81" s="1"/>
  <c r="S139" i="81" s="1"/>
  <c r="Q138" i="81"/>
  <c r="O138" i="81"/>
  <c r="M138" i="81"/>
  <c r="K138" i="81"/>
  <c r="I138" i="81"/>
  <c r="G138" i="81"/>
  <c r="E138" i="81"/>
  <c r="C138" i="81"/>
  <c r="R138" i="81" s="1"/>
  <c r="S138" i="81" s="1"/>
  <c r="Q137" i="81"/>
  <c r="O137" i="81"/>
  <c r="M137" i="81"/>
  <c r="K137" i="81"/>
  <c r="I137" i="81"/>
  <c r="G137" i="81"/>
  <c r="E137" i="81"/>
  <c r="C137" i="81"/>
  <c r="R137" i="81" s="1"/>
  <c r="S137" i="81" s="1"/>
  <c r="Q136" i="81"/>
  <c r="O136" i="81"/>
  <c r="M136" i="81"/>
  <c r="K136" i="81"/>
  <c r="I136" i="81"/>
  <c r="G136" i="81"/>
  <c r="E136" i="81"/>
  <c r="C136" i="81"/>
  <c r="R136" i="81" s="1"/>
  <c r="S136" i="81" s="1"/>
  <c r="Q135" i="81"/>
  <c r="O135" i="81"/>
  <c r="M135" i="81"/>
  <c r="K135" i="81"/>
  <c r="I135" i="81"/>
  <c r="G135" i="81"/>
  <c r="E135" i="81"/>
  <c r="C135" i="81"/>
  <c r="R135" i="81" s="1"/>
  <c r="S135" i="81" s="1"/>
  <c r="Q134" i="81"/>
  <c r="O134" i="81"/>
  <c r="M134" i="81"/>
  <c r="K134" i="81"/>
  <c r="I134" i="81"/>
  <c r="G134" i="81"/>
  <c r="E134" i="81"/>
  <c r="C134" i="81"/>
  <c r="R134" i="81" s="1"/>
  <c r="S134" i="81" s="1"/>
  <c r="Q133" i="81"/>
  <c r="O133" i="81"/>
  <c r="M133" i="81"/>
  <c r="K133" i="81"/>
  <c r="I133" i="81"/>
  <c r="G133" i="81"/>
  <c r="E133" i="81"/>
  <c r="C133" i="81"/>
  <c r="R133" i="81" s="1"/>
  <c r="S133" i="81" s="1"/>
  <c r="Q132" i="81"/>
  <c r="O132" i="81"/>
  <c r="M132" i="81"/>
  <c r="K132" i="81"/>
  <c r="I132" i="81"/>
  <c r="G132" i="81"/>
  <c r="E132" i="81"/>
  <c r="C132" i="81"/>
  <c r="R132" i="81" s="1"/>
  <c r="S132" i="81" s="1"/>
  <c r="Q131" i="81"/>
  <c r="O131" i="81"/>
  <c r="M131" i="81"/>
  <c r="K131" i="81"/>
  <c r="I131" i="81"/>
  <c r="G131" i="81"/>
  <c r="E131" i="81"/>
  <c r="C131" i="81"/>
  <c r="R131" i="81" s="1"/>
  <c r="S131" i="81" s="1"/>
  <c r="Q130" i="81"/>
  <c r="O130" i="81"/>
  <c r="M130" i="81"/>
  <c r="K130" i="81"/>
  <c r="I130" i="81"/>
  <c r="G130" i="81"/>
  <c r="E130" i="81"/>
  <c r="C130" i="81"/>
  <c r="R130" i="81" s="1"/>
  <c r="S130" i="81" s="1"/>
  <c r="Q129" i="81"/>
  <c r="O129" i="81"/>
  <c r="M129" i="81"/>
  <c r="K129" i="81"/>
  <c r="I129" i="81"/>
  <c r="G129" i="81"/>
  <c r="E129" i="81"/>
  <c r="C129" i="81"/>
  <c r="R129" i="81" s="1"/>
  <c r="S129" i="81" s="1"/>
  <c r="Q128" i="81"/>
  <c r="O128" i="81"/>
  <c r="M128" i="81"/>
  <c r="K128" i="81"/>
  <c r="I128" i="81"/>
  <c r="G128" i="81"/>
  <c r="E128" i="81"/>
  <c r="C128" i="81"/>
  <c r="R128" i="81" s="1"/>
  <c r="S128" i="81" s="1"/>
  <c r="Q127" i="81"/>
  <c r="O127" i="81"/>
  <c r="M127" i="81"/>
  <c r="K127" i="81"/>
  <c r="I127" i="81"/>
  <c r="G127" i="81"/>
  <c r="E127" i="81"/>
  <c r="C127" i="81"/>
  <c r="R127" i="81" s="1"/>
  <c r="S127" i="81" s="1"/>
  <c r="Q126" i="81"/>
  <c r="O126" i="81"/>
  <c r="M126" i="81"/>
  <c r="K126" i="81"/>
  <c r="I126" i="81"/>
  <c r="G126" i="81"/>
  <c r="E126" i="81"/>
  <c r="C126" i="81"/>
  <c r="R126" i="81" s="1"/>
  <c r="S126" i="81" s="1"/>
  <c r="Q125" i="81"/>
  <c r="O125" i="81"/>
  <c r="M125" i="81"/>
  <c r="K125" i="81"/>
  <c r="I125" i="81"/>
  <c r="G125" i="81"/>
  <c r="E125" i="81"/>
  <c r="C125" i="81"/>
  <c r="R125" i="81" s="1"/>
  <c r="S125" i="81" s="1"/>
  <c r="Q124" i="81"/>
  <c r="O124" i="81"/>
  <c r="M124" i="81"/>
  <c r="K124" i="81"/>
  <c r="I124" i="81"/>
  <c r="G124" i="81"/>
  <c r="E124" i="81"/>
  <c r="C124" i="81"/>
  <c r="Q123" i="81"/>
  <c r="O123" i="81"/>
  <c r="M123" i="81"/>
  <c r="K123" i="81"/>
  <c r="I123" i="81"/>
  <c r="G123" i="81"/>
  <c r="E123" i="81"/>
  <c r="C123" i="81"/>
  <c r="Q122" i="81"/>
  <c r="O122" i="81"/>
  <c r="M122" i="81"/>
  <c r="K122" i="81"/>
  <c r="I122" i="81"/>
  <c r="G122" i="81"/>
  <c r="E122" i="81"/>
  <c r="C122" i="81"/>
  <c r="Q121" i="81"/>
  <c r="O121" i="81"/>
  <c r="M121" i="81"/>
  <c r="K121" i="81"/>
  <c r="I121" i="81"/>
  <c r="G121" i="81"/>
  <c r="E121" i="81"/>
  <c r="C121" i="81"/>
  <c r="Q120" i="81"/>
  <c r="O120" i="81"/>
  <c r="M120" i="81"/>
  <c r="K120" i="81"/>
  <c r="I120" i="81"/>
  <c r="G120" i="81"/>
  <c r="E120" i="81"/>
  <c r="C120" i="81"/>
  <c r="Q119" i="81"/>
  <c r="O119" i="81"/>
  <c r="M119" i="81"/>
  <c r="K119" i="81"/>
  <c r="I119" i="81"/>
  <c r="G119" i="81"/>
  <c r="E119" i="81"/>
  <c r="C119" i="81"/>
  <c r="Q118" i="81"/>
  <c r="O118" i="81"/>
  <c r="M118" i="81"/>
  <c r="K118" i="81"/>
  <c r="I118" i="81"/>
  <c r="G118" i="81"/>
  <c r="E118" i="81"/>
  <c r="C118" i="81"/>
  <c r="Q117" i="81"/>
  <c r="O117" i="81"/>
  <c r="M117" i="81"/>
  <c r="K117" i="81"/>
  <c r="I117" i="81"/>
  <c r="G117" i="81"/>
  <c r="E117" i="81"/>
  <c r="C117" i="81"/>
  <c r="Q116" i="81"/>
  <c r="O116" i="81"/>
  <c r="M116" i="81"/>
  <c r="K116" i="81"/>
  <c r="I116" i="81"/>
  <c r="G116" i="81"/>
  <c r="E116" i="81"/>
  <c r="C116" i="81"/>
  <c r="Q115" i="81"/>
  <c r="O115" i="81"/>
  <c r="M115" i="81"/>
  <c r="K115" i="81"/>
  <c r="I115" i="81"/>
  <c r="G115" i="81"/>
  <c r="E115" i="81"/>
  <c r="C115" i="81"/>
  <c r="Q114" i="81"/>
  <c r="O114" i="81"/>
  <c r="M114" i="81"/>
  <c r="K114" i="81"/>
  <c r="I114" i="81"/>
  <c r="G114" i="81"/>
  <c r="E114" i="81"/>
  <c r="C114" i="81"/>
  <c r="Q113" i="81"/>
  <c r="O113" i="81"/>
  <c r="M113" i="81"/>
  <c r="K113" i="81"/>
  <c r="I113" i="81"/>
  <c r="G113" i="81"/>
  <c r="E113" i="81"/>
  <c r="C113" i="81"/>
  <c r="Q112" i="81"/>
  <c r="O112" i="81"/>
  <c r="M112" i="81"/>
  <c r="K112" i="81"/>
  <c r="I112" i="81"/>
  <c r="G112" i="81"/>
  <c r="E112" i="81"/>
  <c r="C112" i="81"/>
  <c r="Q111" i="81"/>
  <c r="O111" i="81"/>
  <c r="M111" i="81"/>
  <c r="K111" i="81"/>
  <c r="I111" i="81"/>
  <c r="G111" i="81"/>
  <c r="E111" i="81"/>
  <c r="C111" i="81"/>
  <c r="Q110" i="81"/>
  <c r="O110" i="81"/>
  <c r="M110" i="81"/>
  <c r="K110" i="81"/>
  <c r="I110" i="81"/>
  <c r="G110" i="81"/>
  <c r="E110" i="81"/>
  <c r="C110" i="81"/>
  <c r="Q109" i="81"/>
  <c r="O109" i="81"/>
  <c r="M109" i="81"/>
  <c r="K109" i="81"/>
  <c r="I109" i="81"/>
  <c r="G109" i="81"/>
  <c r="E109" i="81"/>
  <c r="C109" i="81"/>
  <c r="Q108" i="81"/>
  <c r="O108" i="81"/>
  <c r="M108" i="81"/>
  <c r="K108" i="81"/>
  <c r="I108" i="81"/>
  <c r="G108" i="81"/>
  <c r="E108" i="81"/>
  <c r="C108" i="81"/>
  <c r="Q107" i="81"/>
  <c r="O107" i="81"/>
  <c r="M107" i="81"/>
  <c r="K107" i="81"/>
  <c r="I107" i="81"/>
  <c r="G107" i="81"/>
  <c r="E107" i="81"/>
  <c r="C107" i="81"/>
  <c r="Q106" i="81"/>
  <c r="O106" i="81"/>
  <c r="M106" i="81"/>
  <c r="K106" i="81"/>
  <c r="I106" i="81"/>
  <c r="G106" i="81"/>
  <c r="E106" i="81"/>
  <c r="C106" i="81"/>
  <c r="Q105" i="81"/>
  <c r="O105" i="81"/>
  <c r="M105" i="81"/>
  <c r="K105" i="81"/>
  <c r="I105" i="81"/>
  <c r="G105" i="81"/>
  <c r="E105" i="81"/>
  <c r="C105" i="81"/>
  <c r="Q104" i="81"/>
  <c r="O104" i="81"/>
  <c r="M104" i="81"/>
  <c r="K104" i="81"/>
  <c r="I104" i="81"/>
  <c r="G104" i="81"/>
  <c r="E104" i="81"/>
  <c r="C104" i="81"/>
  <c r="Q103" i="81"/>
  <c r="O103" i="81"/>
  <c r="M103" i="81"/>
  <c r="K103" i="81"/>
  <c r="I103" i="81"/>
  <c r="G103" i="81"/>
  <c r="E103" i="81"/>
  <c r="C103" i="81"/>
  <c r="Q102" i="81"/>
  <c r="O102" i="81"/>
  <c r="M102" i="81"/>
  <c r="K102" i="81"/>
  <c r="I102" i="81"/>
  <c r="G102" i="81"/>
  <c r="E102" i="81"/>
  <c r="C102" i="81"/>
  <c r="Q101" i="81"/>
  <c r="O101" i="81"/>
  <c r="M101" i="81"/>
  <c r="K101" i="81"/>
  <c r="I101" i="81"/>
  <c r="G101" i="81"/>
  <c r="E101" i="81"/>
  <c r="C101" i="81"/>
  <c r="Q100" i="81"/>
  <c r="O100" i="81"/>
  <c r="M100" i="81"/>
  <c r="K100" i="81"/>
  <c r="I100" i="81"/>
  <c r="G100" i="81"/>
  <c r="E100" i="81"/>
  <c r="C100" i="81"/>
  <c r="Q99" i="81"/>
  <c r="O99" i="81"/>
  <c r="M99" i="81"/>
  <c r="K99" i="81"/>
  <c r="I99" i="81"/>
  <c r="G99" i="81"/>
  <c r="E99" i="81"/>
  <c r="C99" i="81"/>
  <c r="Q98" i="81"/>
  <c r="O98" i="81"/>
  <c r="M98" i="81"/>
  <c r="K98" i="81"/>
  <c r="I98" i="81"/>
  <c r="G98" i="81"/>
  <c r="E98" i="81"/>
  <c r="C98" i="81"/>
  <c r="Q97" i="81"/>
  <c r="O97" i="81"/>
  <c r="M97" i="81"/>
  <c r="K97" i="81"/>
  <c r="I97" i="81"/>
  <c r="G97" i="81"/>
  <c r="E97" i="81"/>
  <c r="C97" i="81"/>
  <c r="Q96" i="81"/>
  <c r="O96" i="81"/>
  <c r="M96" i="81"/>
  <c r="K96" i="81"/>
  <c r="I96" i="81"/>
  <c r="G96" i="81"/>
  <c r="E96" i="81"/>
  <c r="C96" i="81"/>
  <c r="Q95" i="81"/>
  <c r="O95" i="81"/>
  <c r="M95" i="81"/>
  <c r="K95" i="81"/>
  <c r="I95" i="81"/>
  <c r="G95" i="81"/>
  <c r="E95" i="81"/>
  <c r="C95" i="81"/>
  <c r="Q94" i="81"/>
  <c r="O94" i="81"/>
  <c r="M94" i="81"/>
  <c r="K94" i="81"/>
  <c r="I94" i="81"/>
  <c r="G94" i="81"/>
  <c r="E94" i="81"/>
  <c r="C94" i="81"/>
  <c r="Q93" i="81"/>
  <c r="O93" i="81"/>
  <c r="M93" i="81"/>
  <c r="K93" i="81"/>
  <c r="I93" i="81"/>
  <c r="G93" i="81"/>
  <c r="E93" i="81"/>
  <c r="C93" i="81"/>
  <c r="Q92" i="81"/>
  <c r="O92" i="81"/>
  <c r="M92" i="81"/>
  <c r="K92" i="81"/>
  <c r="I92" i="81"/>
  <c r="G92" i="81"/>
  <c r="E92" i="81"/>
  <c r="C92" i="81"/>
  <c r="Q91" i="81"/>
  <c r="O91" i="81"/>
  <c r="M91" i="81"/>
  <c r="K91" i="81"/>
  <c r="I91" i="81"/>
  <c r="G91" i="81"/>
  <c r="E91" i="81"/>
  <c r="C91" i="81"/>
  <c r="Q90" i="81"/>
  <c r="O90" i="81"/>
  <c r="M90" i="81"/>
  <c r="K90" i="81"/>
  <c r="I90" i="81"/>
  <c r="G90" i="81"/>
  <c r="E90" i="81"/>
  <c r="C90" i="81"/>
  <c r="Q89" i="81"/>
  <c r="O89" i="81"/>
  <c r="M89" i="81"/>
  <c r="K89" i="81"/>
  <c r="I89" i="81"/>
  <c r="G89" i="81"/>
  <c r="E89" i="81"/>
  <c r="C89" i="81"/>
  <c r="Q88" i="81"/>
  <c r="O88" i="81"/>
  <c r="M88" i="81"/>
  <c r="K88" i="81"/>
  <c r="I88" i="81"/>
  <c r="G88" i="81"/>
  <c r="E88" i="81"/>
  <c r="C88" i="81"/>
  <c r="Q87" i="81"/>
  <c r="O87" i="81"/>
  <c r="M87" i="81"/>
  <c r="K87" i="81"/>
  <c r="I87" i="81"/>
  <c r="G87" i="81"/>
  <c r="E87" i="81"/>
  <c r="C87" i="81"/>
  <c r="Q86" i="81"/>
  <c r="O86" i="81"/>
  <c r="M86" i="81"/>
  <c r="K86" i="81"/>
  <c r="I86" i="81"/>
  <c r="G86" i="81"/>
  <c r="E86" i="81"/>
  <c r="C86" i="81"/>
  <c r="Q85" i="81"/>
  <c r="O85" i="81"/>
  <c r="M85" i="81"/>
  <c r="K85" i="81"/>
  <c r="I85" i="81"/>
  <c r="G85" i="81"/>
  <c r="E85" i="81"/>
  <c r="C85" i="81"/>
  <c r="Q84" i="81"/>
  <c r="O84" i="81"/>
  <c r="M84" i="81"/>
  <c r="K84" i="81"/>
  <c r="I84" i="81"/>
  <c r="G84" i="81"/>
  <c r="E84" i="81"/>
  <c r="C84" i="81"/>
  <c r="Q83" i="81"/>
  <c r="O83" i="81"/>
  <c r="M83" i="81"/>
  <c r="K83" i="81"/>
  <c r="I83" i="81"/>
  <c r="G83" i="81"/>
  <c r="E83" i="81"/>
  <c r="C83" i="81"/>
  <c r="Q82" i="81"/>
  <c r="O82" i="81"/>
  <c r="M82" i="81"/>
  <c r="K82" i="81"/>
  <c r="I82" i="81"/>
  <c r="G82" i="81"/>
  <c r="E82" i="81"/>
  <c r="C82" i="81"/>
  <c r="Q81" i="81"/>
  <c r="O81" i="81"/>
  <c r="M81" i="81"/>
  <c r="K81" i="81"/>
  <c r="I81" i="81"/>
  <c r="G81" i="81"/>
  <c r="E81" i="81"/>
  <c r="C81" i="81"/>
  <c r="Q80" i="81"/>
  <c r="O80" i="81"/>
  <c r="M80" i="81"/>
  <c r="K80" i="81"/>
  <c r="I80" i="81"/>
  <c r="G80" i="81"/>
  <c r="E80" i="81"/>
  <c r="C80" i="81"/>
  <c r="Q79" i="81"/>
  <c r="O79" i="81"/>
  <c r="M79" i="81"/>
  <c r="K79" i="81"/>
  <c r="I79" i="81"/>
  <c r="G79" i="81"/>
  <c r="E79" i="81"/>
  <c r="C79" i="81"/>
  <c r="Q78" i="81"/>
  <c r="O78" i="81"/>
  <c r="M78" i="81"/>
  <c r="K78" i="81"/>
  <c r="I78" i="81"/>
  <c r="G78" i="81"/>
  <c r="E78" i="81"/>
  <c r="C78" i="81"/>
  <c r="Q77" i="81"/>
  <c r="O77" i="81"/>
  <c r="M77" i="81"/>
  <c r="K77" i="81"/>
  <c r="I77" i="81"/>
  <c r="G77" i="81"/>
  <c r="E77" i="81"/>
  <c r="C77" i="81"/>
  <c r="Q76" i="81"/>
  <c r="O76" i="81"/>
  <c r="M76" i="81"/>
  <c r="K76" i="81"/>
  <c r="I76" i="81"/>
  <c r="G76" i="81"/>
  <c r="E76" i="81"/>
  <c r="C76" i="81"/>
  <c r="Q75" i="81"/>
  <c r="O75" i="81"/>
  <c r="M75" i="81"/>
  <c r="K75" i="81"/>
  <c r="I75" i="81"/>
  <c r="G75" i="81"/>
  <c r="E75" i="81"/>
  <c r="C75" i="81"/>
  <c r="Q74" i="81"/>
  <c r="O74" i="81"/>
  <c r="M74" i="81"/>
  <c r="K74" i="81"/>
  <c r="I74" i="81"/>
  <c r="G74" i="81"/>
  <c r="E74" i="81"/>
  <c r="C74" i="81"/>
  <c r="Q73" i="81"/>
  <c r="O73" i="81"/>
  <c r="M73" i="81"/>
  <c r="K73" i="81"/>
  <c r="I73" i="81"/>
  <c r="G73" i="81"/>
  <c r="E73" i="81"/>
  <c r="C73" i="81"/>
  <c r="Q72" i="81"/>
  <c r="O72" i="81"/>
  <c r="M72" i="81"/>
  <c r="K72" i="81"/>
  <c r="I72" i="81"/>
  <c r="G72" i="81"/>
  <c r="E72" i="81"/>
  <c r="C72" i="81"/>
  <c r="Q71" i="81"/>
  <c r="O71" i="81"/>
  <c r="M71" i="81"/>
  <c r="K71" i="81"/>
  <c r="I71" i="81"/>
  <c r="G71" i="81"/>
  <c r="E71" i="81"/>
  <c r="C71" i="81"/>
  <c r="Q70" i="81"/>
  <c r="O70" i="81"/>
  <c r="M70" i="81"/>
  <c r="K70" i="81"/>
  <c r="I70" i="81"/>
  <c r="G70" i="81"/>
  <c r="E70" i="81"/>
  <c r="C70" i="81"/>
  <c r="Q69" i="81"/>
  <c r="O69" i="81"/>
  <c r="M69" i="81"/>
  <c r="K69" i="81"/>
  <c r="I69" i="81"/>
  <c r="G69" i="81"/>
  <c r="E69" i="81"/>
  <c r="C69" i="81"/>
  <c r="Q68" i="81"/>
  <c r="O68" i="81"/>
  <c r="M68" i="81"/>
  <c r="K68" i="81"/>
  <c r="I68" i="81"/>
  <c r="G68" i="81"/>
  <c r="E68" i="81"/>
  <c r="C68" i="81"/>
  <c r="Q67" i="81"/>
  <c r="O67" i="81"/>
  <c r="M67" i="81"/>
  <c r="K67" i="81"/>
  <c r="I67" i="81"/>
  <c r="G67" i="81"/>
  <c r="E67" i="81"/>
  <c r="C67" i="81"/>
  <c r="Q66" i="81"/>
  <c r="O66" i="81"/>
  <c r="M66" i="81"/>
  <c r="K66" i="81"/>
  <c r="I66" i="81"/>
  <c r="G66" i="81"/>
  <c r="E66" i="81"/>
  <c r="C66" i="81"/>
  <c r="Q65" i="81"/>
  <c r="O65" i="81"/>
  <c r="M65" i="81"/>
  <c r="K65" i="81"/>
  <c r="I65" i="81"/>
  <c r="G65" i="81"/>
  <c r="E65" i="81"/>
  <c r="C65" i="81"/>
  <c r="Q64" i="81"/>
  <c r="O64" i="81"/>
  <c r="M64" i="81"/>
  <c r="K64" i="81"/>
  <c r="I64" i="81"/>
  <c r="G64" i="81"/>
  <c r="E64" i="81"/>
  <c r="C64" i="81"/>
  <c r="Q63" i="81"/>
  <c r="O63" i="81"/>
  <c r="M63" i="81"/>
  <c r="K63" i="81"/>
  <c r="I63" i="81"/>
  <c r="G63" i="81"/>
  <c r="E63" i="81"/>
  <c r="C63" i="81"/>
  <c r="Q62" i="81"/>
  <c r="O62" i="81"/>
  <c r="M62" i="81"/>
  <c r="K62" i="81"/>
  <c r="I62" i="81"/>
  <c r="G62" i="81"/>
  <c r="E62" i="81"/>
  <c r="C62" i="81"/>
  <c r="Q61" i="81"/>
  <c r="O61" i="81"/>
  <c r="M61" i="81"/>
  <c r="K61" i="81"/>
  <c r="I61" i="81"/>
  <c r="G61" i="81"/>
  <c r="E61" i="81"/>
  <c r="C61" i="81"/>
  <c r="Q60" i="81"/>
  <c r="O60" i="81"/>
  <c r="M60" i="81"/>
  <c r="K60" i="81"/>
  <c r="I60" i="81"/>
  <c r="G60" i="81"/>
  <c r="E60" i="81"/>
  <c r="C60" i="81"/>
  <c r="Q59" i="81"/>
  <c r="O59" i="81"/>
  <c r="M59" i="81"/>
  <c r="K59" i="81"/>
  <c r="I59" i="81"/>
  <c r="G59" i="81"/>
  <c r="E59" i="81"/>
  <c r="C59" i="81"/>
  <c r="Q58" i="81"/>
  <c r="O58" i="81"/>
  <c r="M58" i="81"/>
  <c r="K58" i="81"/>
  <c r="I58" i="81"/>
  <c r="G58" i="81"/>
  <c r="E58" i="81"/>
  <c r="C58" i="81"/>
  <c r="Q57" i="81"/>
  <c r="O57" i="81"/>
  <c r="M57" i="81"/>
  <c r="K57" i="81"/>
  <c r="I57" i="81"/>
  <c r="G57" i="81"/>
  <c r="E57" i="81"/>
  <c r="C57" i="81"/>
  <c r="Q56" i="81"/>
  <c r="O56" i="81"/>
  <c r="M56" i="81"/>
  <c r="K56" i="81"/>
  <c r="I56" i="81"/>
  <c r="G56" i="81"/>
  <c r="E56" i="81"/>
  <c r="C56" i="81"/>
  <c r="Q55" i="81"/>
  <c r="O55" i="81"/>
  <c r="M55" i="81"/>
  <c r="K55" i="81"/>
  <c r="I55" i="81"/>
  <c r="G55" i="81"/>
  <c r="E55" i="81"/>
  <c r="C55" i="81"/>
  <c r="Q54" i="81"/>
  <c r="O54" i="81"/>
  <c r="M54" i="81"/>
  <c r="K54" i="81"/>
  <c r="I54" i="81"/>
  <c r="G54" i="81"/>
  <c r="E54" i="81"/>
  <c r="C54" i="81"/>
  <c r="Q53" i="81"/>
  <c r="O53" i="81"/>
  <c r="M53" i="81"/>
  <c r="K53" i="81"/>
  <c r="I53" i="81"/>
  <c r="G53" i="81"/>
  <c r="E53" i="81"/>
  <c r="C53" i="81"/>
  <c r="Q52" i="81"/>
  <c r="O52" i="81"/>
  <c r="M52" i="81"/>
  <c r="K52" i="81"/>
  <c r="I52" i="81"/>
  <c r="G52" i="81"/>
  <c r="E52" i="81"/>
  <c r="C52" i="81"/>
  <c r="Q51" i="81"/>
  <c r="O51" i="81"/>
  <c r="M51" i="81"/>
  <c r="K51" i="81"/>
  <c r="I51" i="81"/>
  <c r="G51" i="81"/>
  <c r="E51" i="81"/>
  <c r="C51" i="81"/>
  <c r="Q50" i="81"/>
  <c r="O50" i="81"/>
  <c r="M50" i="81"/>
  <c r="K50" i="81"/>
  <c r="I50" i="81"/>
  <c r="G50" i="81"/>
  <c r="E50" i="81"/>
  <c r="C50" i="81"/>
  <c r="Q49" i="81"/>
  <c r="O49" i="81"/>
  <c r="M49" i="81"/>
  <c r="K49" i="81"/>
  <c r="I49" i="81"/>
  <c r="G49" i="81"/>
  <c r="E49" i="81"/>
  <c r="C49" i="81"/>
  <c r="Q48" i="81"/>
  <c r="O48" i="81"/>
  <c r="M48" i="81"/>
  <c r="K48" i="81"/>
  <c r="I48" i="81"/>
  <c r="G48" i="81"/>
  <c r="E48" i="81"/>
  <c r="C48" i="81"/>
  <c r="Q47" i="81"/>
  <c r="O47" i="81"/>
  <c r="M47" i="81"/>
  <c r="K47" i="81"/>
  <c r="I47" i="81"/>
  <c r="G47" i="81"/>
  <c r="E47" i="81"/>
  <c r="C47" i="81"/>
  <c r="Q46" i="81"/>
  <c r="O46" i="81"/>
  <c r="M46" i="81"/>
  <c r="K46" i="81"/>
  <c r="I46" i="81"/>
  <c r="G46" i="81"/>
  <c r="E46" i="81"/>
  <c r="C46" i="81"/>
  <c r="Q45" i="81"/>
  <c r="O45" i="81"/>
  <c r="M45" i="81"/>
  <c r="K45" i="81"/>
  <c r="I45" i="81"/>
  <c r="G45" i="81"/>
  <c r="E45" i="81"/>
  <c r="C45" i="81"/>
  <c r="Q44" i="81"/>
  <c r="O44" i="81"/>
  <c r="M44" i="81"/>
  <c r="K44" i="81"/>
  <c r="I44" i="81"/>
  <c r="G44" i="81"/>
  <c r="E44" i="81"/>
  <c r="C44" i="81"/>
  <c r="Q43" i="81"/>
  <c r="O43" i="81"/>
  <c r="M43" i="81"/>
  <c r="K43" i="81"/>
  <c r="I43" i="81"/>
  <c r="G43" i="81"/>
  <c r="E43" i="81"/>
  <c r="C43" i="81"/>
  <c r="Q42" i="81"/>
  <c r="O42" i="81"/>
  <c r="M42" i="81"/>
  <c r="K42" i="81"/>
  <c r="I42" i="81"/>
  <c r="G42" i="81"/>
  <c r="E42" i="81"/>
  <c r="C42" i="81"/>
  <c r="Q41" i="81"/>
  <c r="O41" i="81"/>
  <c r="M41" i="81"/>
  <c r="K41" i="81"/>
  <c r="I41" i="81"/>
  <c r="G41" i="81"/>
  <c r="E41" i="81"/>
  <c r="C41" i="81"/>
  <c r="Q40" i="81"/>
  <c r="O40" i="81"/>
  <c r="M40" i="81"/>
  <c r="K40" i="81"/>
  <c r="I40" i="81"/>
  <c r="G40" i="81"/>
  <c r="E40" i="81"/>
  <c r="C40" i="81"/>
  <c r="Q39" i="81"/>
  <c r="O39" i="81"/>
  <c r="M39" i="81"/>
  <c r="K39" i="81"/>
  <c r="I39" i="81"/>
  <c r="G39" i="81"/>
  <c r="E39" i="81"/>
  <c r="C39" i="81"/>
  <c r="Q38" i="81"/>
  <c r="O38" i="81"/>
  <c r="M38" i="81"/>
  <c r="K38" i="81"/>
  <c r="I38" i="81"/>
  <c r="G38" i="81"/>
  <c r="E38" i="81"/>
  <c r="C38" i="81"/>
  <c r="Q37" i="81"/>
  <c r="O37" i="81"/>
  <c r="M37" i="81"/>
  <c r="K37" i="81"/>
  <c r="I37" i="81"/>
  <c r="G37" i="81"/>
  <c r="E37" i="81"/>
  <c r="C37" i="81"/>
  <c r="Q36" i="81"/>
  <c r="O36" i="81"/>
  <c r="M36" i="81"/>
  <c r="K36" i="81"/>
  <c r="I36" i="81"/>
  <c r="G36" i="81"/>
  <c r="E36" i="81"/>
  <c r="C36" i="81"/>
  <c r="Q35" i="81"/>
  <c r="O35" i="81"/>
  <c r="M35" i="81"/>
  <c r="K35" i="81"/>
  <c r="I35" i="81"/>
  <c r="G35" i="81"/>
  <c r="E35" i="81"/>
  <c r="C35" i="81"/>
  <c r="Q34" i="81"/>
  <c r="O34" i="81"/>
  <c r="M34" i="81"/>
  <c r="K34" i="81"/>
  <c r="I34" i="81"/>
  <c r="G34" i="81"/>
  <c r="E34" i="81"/>
  <c r="C34" i="81"/>
  <c r="Q33" i="81"/>
  <c r="O33" i="81"/>
  <c r="M33" i="81"/>
  <c r="K33" i="81"/>
  <c r="I33" i="81"/>
  <c r="G33" i="81"/>
  <c r="E33" i="81"/>
  <c r="C33" i="81"/>
  <c r="Q32" i="81"/>
  <c r="O32" i="81"/>
  <c r="M32" i="81"/>
  <c r="K32" i="81"/>
  <c r="I32" i="81"/>
  <c r="G32" i="81"/>
  <c r="E32" i="81"/>
  <c r="C32" i="81"/>
  <c r="Q31" i="81"/>
  <c r="O31" i="81"/>
  <c r="M31" i="81"/>
  <c r="K31" i="81"/>
  <c r="I31" i="81"/>
  <c r="G31" i="81"/>
  <c r="E31" i="81"/>
  <c r="C31" i="81"/>
  <c r="Q30" i="81"/>
  <c r="O30" i="81"/>
  <c r="M30" i="81"/>
  <c r="K30" i="81"/>
  <c r="I30" i="81"/>
  <c r="G30" i="81"/>
  <c r="E30" i="81"/>
  <c r="C30" i="81"/>
  <c r="Q29" i="81"/>
  <c r="O29" i="81"/>
  <c r="M29" i="81"/>
  <c r="K29" i="81"/>
  <c r="I29" i="81"/>
  <c r="G29" i="81"/>
  <c r="E29" i="81"/>
  <c r="C29" i="81"/>
  <c r="Q28" i="81"/>
  <c r="O28" i="81"/>
  <c r="M28" i="81"/>
  <c r="K28" i="81"/>
  <c r="I28" i="81"/>
  <c r="G28" i="81"/>
  <c r="E28" i="81"/>
  <c r="C28" i="81"/>
  <c r="Q27" i="81"/>
  <c r="O27" i="81"/>
  <c r="M27" i="81"/>
  <c r="K27" i="81"/>
  <c r="I27" i="81"/>
  <c r="G27" i="81"/>
  <c r="E27" i="81"/>
  <c r="C27" i="81"/>
  <c r="Q26" i="81"/>
  <c r="O26" i="81"/>
  <c r="M26" i="81"/>
  <c r="K26" i="81"/>
  <c r="I26" i="81"/>
  <c r="G26" i="81"/>
  <c r="E26" i="81"/>
  <c r="C26" i="81"/>
  <c r="Q25" i="81"/>
  <c r="O25" i="81"/>
  <c r="M25" i="81"/>
  <c r="K25" i="81"/>
  <c r="I25" i="81"/>
  <c r="G25" i="81"/>
  <c r="E25" i="81"/>
  <c r="C25" i="81"/>
  <c r="P23" i="81"/>
  <c r="N23" i="81"/>
  <c r="L23" i="81"/>
  <c r="J23" i="81"/>
  <c r="H23" i="81"/>
  <c r="F23" i="81"/>
  <c r="D23" i="81"/>
  <c r="B22"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G8" i="81" s="1"/>
  <c r="H8" i="81" s="1"/>
  <c r="I8" i="81" s="1"/>
  <c r="J8" i="81" s="1"/>
  <c r="K8" i="81" s="1"/>
  <c r="L8" i="81" s="1"/>
  <c r="M8" i="81" s="1"/>
  <c r="N8" i="81" s="1"/>
  <c r="O8" i="81" s="1"/>
  <c r="P8" i="81" s="1"/>
  <c r="Q8" i="81" s="1"/>
  <c r="R8" i="81" s="1"/>
  <c r="S8" i="81" s="1"/>
  <c r="D6" i="81"/>
  <c r="E6" i="81" s="1"/>
  <c r="F6" i="81" s="1"/>
  <c r="G6" i="81" s="1"/>
  <c r="H6" i="81" s="1"/>
  <c r="I6" i="81" s="1"/>
  <c r="J6" i="81" s="1"/>
  <c r="K6" i="81" s="1"/>
  <c r="L6" i="81" s="1"/>
  <c r="M6" i="81" s="1"/>
  <c r="N6" i="81" s="1"/>
  <c r="O6" i="81" s="1"/>
  <c r="P6" i="81" s="1"/>
  <c r="Q6" i="81" s="1"/>
  <c r="R6" i="81" s="1"/>
  <c r="S6" i="81" s="1"/>
  <c r="S2" i="81"/>
  <c r="R2" i="81"/>
  <c r="Q2" i="81"/>
  <c r="P2" i="81"/>
  <c r="O2" i="81"/>
  <c r="N2" i="81"/>
  <c r="M2" i="81"/>
  <c r="L2" i="81"/>
  <c r="K2" i="81"/>
  <c r="J2" i="81"/>
  <c r="I2" i="81"/>
  <c r="H2" i="81"/>
  <c r="G2" i="81"/>
  <c r="F2" i="81"/>
  <c r="E2" i="81"/>
  <c r="D2" i="81"/>
  <c r="C2" i="81"/>
  <c r="A120" i="80"/>
  <c r="E111" i="80"/>
  <c r="A126" i="80" s="1"/>
  <c r="E109" i="80"/>
  <c r="A124" i="80" s="1"/>
  <c r="E107" i="80"/>
  <c r="A122" i="80" s="1"/>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F20" i="81"/>
  <c r="H103" i="80" l="1"/>
  <c r="D120" i="80" s="1"/>
  <c r="K120" i="80"/>
  <c r="D121" i="80"/>
  <c r="C92" i="80"/>
  <c r="C94" i="80"/>
  <c r="H109" i="80"/>
  <c r="AM7" i="1"/>
  <c r="AL7" i="1"/>
  <c r="AK7" i="1"/>
  <c r="M77" i="79"/>
  <c r="J77" i="79"/>
  <c r="C77" i="79"/>
  <c r="M76" i="79"/>
  <c r="C76" i="79"/>
  <c r="M75" i="79"/>
  <c r="F75" i="79"/>
  <c r="C75" i="79" s="1"/>
  <c r="M74" i="79"/>
  <c r="C74" i="79"/>
  <c r="M73" i="79"/>
  <c r="G73" i="79"/>
  <c r="F73" i="79"/>
  <c r="C73" i="79" s="1"/>
  <c r="M72" i="79"/>
  <c r="C72" i="79"/>
  <c r="I71" i="79"/>
  <c r="M71" i="79" s="1"/>
  <c r="H71" i="79"/>
  <c r="G71" i="79"/>
  <c r="F71" i="79"/>
  <c r="C71" i="79" s="1"/>
  <c r="M70" i="79"/>
  <c r="C70" i="79"/>
  <c r="I69" i="79"/>
  <c r="M69" i="79" s="1"/>
  <c r="H69" i="79"/>
  <c r="G69" i="79"/>
  <c r="F69" i="79"/>
  <c r="C69" i="79" s="1"/>
  <c r="M68" i="79"/>
  <c r="C68" i="79"/>
  <c r="I67" i="79"/>
  <c r="M67" i="79" s="1"/>
  <c r="H67" i="79"/>
  <c r="G67" i="79"/>
  <c r="F67" i="79"/>
  <c r="C67" i="79" s="1"/>
  <c r="M66" i="79"/>
  <c r="C66" i="79"/>
  <c r="I65" i="79"/>
  <c r="M65" i="79" s="1"/>
  <c r="H65" i="79"/>
  <c r="G65" i="79"/>
  <c r="F65" i="79"/>
  <c r="C65" i="79" s="1"/>
  <c r="M64" i="79"/>
  <c r="C64" i="79"/>
  <c r="I62" i="79"/>
  <c r="I63" i="79" s="1"/>
  <c r="H62" i="79"/>
  <c r="H63" i="79" s="1"/>
  <c r="G62" i="79"/>
  <c r="G63" i="79" s="1"/>
  <c r="F62" i="79"/>
  <c r="F63" i="79" s="1"/>
  <c r="C63" i="79" s="1"/>
  <c r="L61" i="79"/>
  <c r="L62" i="79" s="1"/>
  <c r="C61" i="79"/>
  <c r="I59" i="79"/>
  <c r="I60" i="79" s="1"/>
  <c r="M60" i="79" s="1"/>
  <c r="H59" i="79"/>
  <c r="H60" i="79" s="1"/>
  <c r="G59" i="79"/>
  <c r="G60" i="79" s="1"/>
  <c r="F59" i="79"/>
  <c r="C59" i="79" s="1"/>
  <c r="M58" i="79"/>
  <c r="C58" i="79"/>
  <c r="M57" i="79"/>
  <c r="C57" i="79"/>
  <c r="M56" i="79"/>
  <c r="J56" i="79"/>
  <c r="C56" i="79"/>
  <c r="M55" i="79"/>
  <c r="J55" i="79"/>
  <c r="C55" i="79"/>
  <c r="M54" i="79"/>
  <c r="C54" i="79"/>
  <c r="M53" i="79"/>
  <c r="C53" i="79"/>
  <c r="J52" i="79"/>
  <c r="L51" i="79"/>
  <c r="L52" i="79" s="1"/>
  <c r="J51" i="79"/>
  <c r="I51" i="79"/>
  <c r="I52" i="79" s="1"/>
  <c r="H51" i="79"/>
  <c r="H52" i="79" s="1"/>
  <c r="G51" i="79"/>
  <c r="G52" i="79" s="1"/>
  <c r="F51" i="79"/>
  <c r="C51" i="79" s="1"/>
  <c r="M50" i="79"/>
  <c r="C50" i="79"/>
  <c r="I47" i="79"/>
  <c r="I48" i="79" s="1"/>
  <c r="H47" i="79"/>
  <c r="H48" i="79" s="1"/>
  <c r="H49" i="79" s="1"/>
  <c r="G47" i="79"/>
  <c r="G48" i="79" s="1"/>
  <c r="G49" i="79" s="1"/>
  <c r="F47" i="79"/>
  <c r="C47" i="79" s="1"/>
  <c r="M46" i="79"/>
  <c r="C46" i="79"/>
  <c r="M45" i="79"/>
  <c r="C45" i="79"/>
  <c r="M44" i="79"/>
  <c r="C44" i="79"/>
  <c r="J43" i="79"/>
  <c r="I43" i="79"/>
  <c r="M43" i="79" s="1"/>
  <c r="H43" i="79"/>
  <c r="G43" i="79"/>
  <c r="F43" i="79"/>
  <c r="C43" i="79" s="1"/>
  <c r="M42" i="79"/>
  <c r="C42" i="79"/>
  <c r="J41" i="79"/>
  <c r="J40" i="79"/>
  <c r="I40" i="79"/>
  <c r="I41" i="79" s="1"/>
  <c r="M41" i="79" s="1"/>
  <c r="H40" i="79"/>
  <c r="H41" i="79" s="1"/>
  <c r="G40" i="79"/>
  <c r="G41" i="79" s="1"/>
  <c r="F40" i="79"/>
  <c r="F41" i="79" s="1"/>
  <c r="C41" i="79" s="1"/>
  <c r="C40" i="79"/>
  <c r="M39" i="79"/>
  <c r="C39" i="79"/>
  <c r="I38" i="79"/>
  <c r="M38" i="79" s="1"/>
  <c r="H38" i="79"/>
  <c r="G38" i="79"/>
  <c r="F38" i="79"/>
  <c r="C38" i="79"/>
  <c r="M37" i="79"/>
  <c r="C37" i="79"/>
  <c r="I35" i="79"/>
  <c r="M35" i="79" s="1"/>
  <c r="H35" i="79"/>
  <c r="H36" i="79" s="1"/>
  <c r="G35" i="79"/>
  <c r="G36" i="79" s="1"/>
  <c r="F35" i="79"/>
  <c r="F36" i="79" s="1"/>
  <c r="C36" i="79" s="1"/>
  <c r="M34" i="79"/>
  <c r="C34" i="79"/>
  <c r="I33" i="79"/>
  <c r="M33" i="79" s="1"/>
  <c r="H33" i="79"/>
  <c r="G33" i="79"/>
  <c r="F33" i="79"/>
  <c r="C33" i="79"/>
  <c r="M32" i="79"/>
  <c r="C32" i="79"/>
  <c r="I31" i="79"/>
  <c r="M31" i="79" s="1"/>
  <c r="H31" i="79"/>
  <c r="G31" i="79"/>
  <c r="F31" i="79"/>
  <c r="C31" i="79" s="1"/>
  <c r="M30" i="79"/>
  <c r="C30" i="79"/>
  <c r="I29" i="79"/>
  <c r="M29" i="79" s="1"/>
  <c r="H29" i="79"/>
  <c r="G29" i="79"/>
  <c r="F29" i="79"/>
  <c r="C29" i="79"/>
  <c r="M28" i="79"/>
  <c r="C28" i="79"/>
  <c r="J27" i="79"/>
  <c r="I27" i="79"/>
  <c r="M27" i="79" s="1"/>
  <c r="H27" i="79"/>
  <c r="G27" i="79"/>
  <c r="F27" i="79"/>
  <c r="C27" i="79" s="1"/>
  <c r="M26" i="79"/>
  <c r="C26" i="79"/>
  <c r="M25" i="79"/>
  <c r="J25" i="79"/>
  <c r="C25" i="79"/>
  <c r="M24" i="79"/>
  <c r="C24" i="79"/>
  <c r="J23" i="79"/>
  <c r="I23" i="79"/>
  <c r="M23" i="79" s="1"/>
  <c r="H23" i="79"/>
  <c r="G23" i="79"/>
  <c r="F23" i="79"/>
  <c r="C23" i="79" s="1"/>
  <c r="M22" i="79"/>
  <c r="C22" i="79"/>
  <c r="J21" i="79"/>
  <c r="C21" i="79"/>
  <c r="M20" i="79"/>
  <c r="L20" i="79"/>
  <c r="L21" i="79" s="1"/>
  <c r="M21" i="79" s="1"/>
  <c r="J20" i="79"/>
  <c r="C20" i="79"/>
  <c r="M19" i="79"/>
  <c r="C19" i="79"/>
  <c r="J18" i="79"/>
  <c r="I18" i="79"/>
  <c r="M18" i="79" s="1"/>
  <c r="H18" i="79"/>
  <c r="G18" i="79"/>
  <c r="F18" i="79"/>
  <c r="C18" i="79"/>
  <c r="M17" i="79"/>
  <c r="C17" i="79"/>
  <c r="I16" i="79"/>
  <c r="M16" i="79" s="1"/>
  <c r="H16" i="79"/>
  <c r="G16" i="79"/>
  <c r="F16" i="79"/>
  <c r="C16" i="79" s="1"/>
  <c r="M15" i="79"/>
  <c r="C15" i="79"/>
  <c r="L9" i="79"/>
  <c r="L8" i="79"/>
  <c r="L7" i="79"/>
  <c r="L6" i="79"/>
  <c r="M6" i="79" s="1"/>
  <c r="I6" i="79"/>
  <c r="I7" i="79" s="1"/>
  <c r="I8" i="79" s="1"/>
  <c r="I9" i="79" s="1"/>
  <c r="I10" i="79" s="1"/>
  <c r="H6" i="79"/>
  <c r="H7" i="79" s="1"/>
  <c r="H8" i="79" s="1"/>
  <c r="H9" i="79" s="1"/>
  <c r="H10" i="79" s="1"/>
  <c r="H11" i="79" s="1"/>
  <c r="H12" i="79" s="1"/>
  <c r="H13" i="79" s="1"/>
  <c r="H14" i="79" s="1"/>
  <c r="G6" i="79"/>
  <c r="G7" i="79" s="1"/>
  <c r="G8" i="79" s="1"/>
  <c r="G9" i="79" s="1"/>
  <c r="G10" i="79" s="1"/>
  <c r="G11" i="79" s="1"/>
  <c r="G12" i="79" s="1"/>
  <c r="G13" i="79" s="1"/>
  <c r="G14" i="79" s="1"/>
  <c r="F6" i="79"/>
  <c r="F7" i="79" s="1"/>
  <c r="M5" i="79"/>
  <c r="L5" i="79"/>
  <c r="C5" i="79"/>
  <c r="C35" i="79" l="1"/>
  <c r="D124" i="80"/>
  <c r="D125" i="80" s="1"/>
  <c r="H110" i="80"/>
  <c r="M10" i="79"/>
  <c r="I11" i="79"/>
  <c r="M7" i="79"/>
  <c r="M9" i="79"/>
  <c r="L63" i="79"/>
  <c r="M63" i="79" s="1"/>
  <c r="M62" i="79"/>
  <c r="F8" i="79"/>
  <c r="C7" i="79"/>
  <c r="M8" i="79"/>
  <c r="I49" i="79"/>
  <c r="M49" i="79" s="1"/>
  <c r="M48" i="79"/>
  <c r="M52" i="79"/>
  <c r="C6" i="79"/>
  <c r="I36" i="79"/>
  <c r="M36" i="79" s="1"/>
  <c r="M40" i="79"/>
  <c r="M47" i="79"/>
  <c r="F48" i="79"/>
  <c r="M51" i="79"/>
  <c r="F52" i="79"/>
  <c r="C52" i="79" s="1"/>
  <c r="M59" i="79"/>
  <c r="F60" i="79"/>
  <c r="C60" i="79" s="1"/>
  <c r="C62" i="79"/>
  <c r="M61" i="79"/>
  <c r="O6" i="79" s="1"/>
  <c r="O8" i="79" s="1"/>
  <c r="C48" i="79" l="1"/>
  <c r="F49" i="79"/>
  <c r="C49" i="79" s="1"/>
  <c r="M11" i="79"/>
  <c r="I12" i="79"/>
  <c r="F9" i="79"/>
  <c r="C8" i="79"/>
  <c r="M12" i="79" l="1"/>
  <c r="I13" i="79"/>
  <c r="F10" i="79"/>
  <c r="C9" i="79"/>
  <c r="M13" i="79" l="1"/>
  <c r="I14" i="79"/>
  <c r="M14" i="79" s="1"/>
  <c r="F11" i="79"/>
  <c r="C10" i="79"/>
  <c r="F12" i="79" l="1"/>
  <c r="C11" i="79"/>
  <c r="F13" i="79" l="1"/>
  <c r="C12" i="79"/>
  <c r="F14" i="79" l="1"/>
  <c r="C14" i="79" s="1"/>
  <c r="C13" i="79"/>
  <c r="F10" i="77" l="1"/>
  <c r="F9" i="77"/>
  <c r="F8" i="77"/>
  <c r="F7" i="77"/>
  <c r="N6" i="1"/>
  <c r="C29" i="35" s="1"/>
  <c r="C20" i="6"/>
  <c r="C19" i="6"/>
  <c r="K14" i="3"/>
  <c r="G20" i="6" s="1"/>
  <c r="I13" i="3"/>
  <c r="F19" i="6" s="1"/>
  <c r="U6" i="1" l="1"/>
  <c r="Y6" i="1"/>
  <c r="N7" i="1"/>
  <c r="C36" i="33" l="1"/>
  <c r="Y7" i="1"/>
  <c r="F24" i="12"/>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2"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c r="E38" i="71" s="1"/>
  <c r="U38" i="71" s="1"/>
  <c r="O35" i="71"/>
  <c r="C36" i="71"/>
  <c r="N35" i="71"/>
  <c r="B36" i="71"/>
  <c r="B37" i="71" s="1"/>
  <c r="B38" i="7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N14" i="71"/>
  <c r="B16" i="71"/>
  <c r="B17" i="71" s="1"/>
  <c r="B18" i="71" s="1"/>
  <c r="S18" i="71" s="1"/>
  <c r="X15" i="71"/>
  <c r="B20" i="71"/>
  <c r="B21" i="71" s="1"/>
  <c r="B22" i="71" s="1"/>
  <c r="S22" i="71" s="1"/>
  <c r="X19" i="71"/>
  <c r="E24" i="71"/>
  <c r="E25" i="71" s="1"/>
  <c r="E26" i="71" s="1"/>
  <c r="U26" i="71" s="1"/>
  <c r="AA23" i="71"/>
  <c r="E20" i="71"/>
  <c r="E21" i="71" s="1"/>
  <c r="E22" i="71" s="1"/>
  <c r="U22" i="71" s="1"/>
  <c r="AA19" i="71"/>
  <c r="C16" i="71"/>
  <c r="Y15" i="71"/>
  <c r="Z15" i="71" s="1"/>
  <c r="AB15" i="71"/>
  <c r="AA16" i="71"/>
  <c r="AA17" i="71"/>
  <c r="AA18" i="71"/>
  <c r="C20" i="71"/>
  <c r="C21" i="71"/>
  <c r="D21" i="71" s="1"/>
  <c r="X20" i="71"/>
  <c r="X21" i="71"/>
  <c r="X22" i="71"/>
  <c r="C24" i="71"/>
  <c r="C25" i="71" s="1"/>
  <c r="Y23" i="71"/>
  <c r="Z23" i="71"/>
  <c r="AB23" i="71"/>
  <c r="X24" i="71"/>
  <c r="AA24" i="71"/>
  <c r="F37" i="71"/>
  <c r="F38" i="71" s="1"/>
  <c r="V38" i="71" s="1"/>
  <c r="Y3" i="71"/>
  <c r="Z3" i="71" s="1"/>
  <c r="B14" i="71"/>
  <c r="B13" i="71"/>
  <c r="B12" i="71" s="1"/>
  <c r="X11" i="71"/>
  <c r="X13" i="71"/>
  <c r="C17" i="71"/>
  <c r="D17" i="71" s="1"/>
  <c r="D16" i="71"/>
  <c r="D20" i="71"/>
  <c r="D24" i="71"/>
  <c r="C29" i="71"/>
  <c r="D28" i="71"/>
  <c r="C33" i="71"/>
  <c r="D33" i="71"/>
  <c r="D32" i="71"/>
  <c r="C37" i="71"/>
  <c r="D37" i="71" s="1"/>
  <c r="D36" i="71"/>
  <c r="P14" i="71"/>
  <c r="AA3" i="71" s="1"/>
  <c r="E41" i="71"/>
  <c r="E42" i="71"/>
  <c r="U42" i="71" s="1"/>
  <c r="E45" i="71"/>
  <c r="E46" i="71" s="1"/>
  <c r="U46" i="71" s="1"/>
  <c r="E49" i="71"/>
  <c r="E50" i="71"/>
  <c r="U50" i="71" s="1"/>
  <c r="Q51" i="71"/>
  <c r="U54" i="71"/>
  <c r="E53" i="71"/>
  <c r="E52" i="71" s="1"/>
  <c r="Q14" i="71"/>
  <c r="C41" i="71"/>
  <c r="D41" i="71" s="1"/>
  <c r="D40" i="71"/>
  <c r="C45" i="71"/>
  <c r="D45" i="71" s="1"/>
  <c r="D44" i="71"/>
  <c r="C49" i="71"/>
  <c r="C50" i="71" s="1"/>
  <c r="D48" i="71"/>
  <c r="Q53"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S14" i="71"/>
  <c r="F14" i="71"/>
  <c r="F13" i="71"/>
  <c r="F12" i="71" s="1"/>
  <c r="AB11" i="71"/>
  <c r="AB12" i="71"/>
  <c r="AB13" i="71"/>
  <c r="AB14" i="71"/>
  <c r="E14" i="71"/>
  <c r="E13" i="71" s="1"/>
  <c r="E12" i="71" s="1"/>
  <c r="AA11" i="71"/>
  <c r="AA13" i="71"/>
  <c r="C52" i="71"/>
  <c r="D52" i="71" s="1"/>
  <c r="D53" i="71"/>
  <c r="D49" i="71"/>
  <c r="C68" i="71"/>
  <c r="D68" i="71" s="1"/>
  <c r="D61" i="71"/>
  <c r="D73" i="71"/>
  <c r="C72" i="71"/>
  <c r="D72" i="71" s="1"/>
  <c r="D65" i="71"/>
  <c r="C56" i="71"/>
  <c r="D56" i="71" s="1"/>
  <c r="C46" i="71"/>
  <c r="T46" i="71" s="1"/>
  <c r="C42" i="71"/>
  <c r="T42" i="71" s="1"/>
  <c r="P53" i="71"/>
  <c r="C38" i="71"/>
  <c r="T38" i="71" s="1"/>
  <c r="C30" i="71"/>
  <c r="T30" i="71" s="1"/>
  <c r="D29" i="71"/>
  <c r="C22" i="71"/>
  <c r="T22" i="71" s="1"/>
  <c r="C18" i="71"/>
  <c r="T18" i="71" s="1"/>
  <c r="O52" i="71"/>
  <c r="O51" i="71"/>
  <c r="D18" i="71"/>
  <c r="D22" i="71"/>
  <c r="D30" i="71"/>
  <c r="D38"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s="1"/>
  <c r="C25" i="40"/>
  <c r="S25" i="40"/>
  <c r="S29" i="39"/>
  <c r="S18" i="36"/>
  <c r="U18" i="36"/>
  <c r="H25" i="40"/>
  <c r="J25" i="40"/>
  <c r="AC25" i="40" s="1"/>
  <c r="H29" i="39"/>
  <c r="AB29" i="39" s="1"/>
  <c r="J29" i="39"/>
  <c r="AC29" i="39" s="1"/>
  <c r="J18" i="36"/>
  <c r="AC18" i="36" s="1"/>
  <c r="H18" i="35"/>
  <c r="AB18" i="35" s="1"/>
  <c r="J18" i="35"/>
  <c r="W18" i="35" s="1"/>
  <c r="F77" i="37"/>
  <c r="H21" i="37"/>
  <c r="AB21" i="37" s="1"/>
  <c r="F21" i="37"/>
  <c r="H21" i="34"/>
  <c r="H21" i="33"/>
  <c r="U21" i="33" s="1"/>
  <c r="F21" i="33"/>
  <c r="S21" i="33" s="1"/>
  <c r="E83" i="21"/>
  <c r="S21" i="21"/>
  <c r="H1" i="69"/>
  <c r="W25" i="40"/>
  <c r="AB25" i="40"/>
  <c r="U25" i="40"/>
  <c r="U29" i="39"/>
  <c r="W29" i="39"/>
  <c r="W18" i="36"/>
  <c r="U21" i="37"/>
  <c r="AA21" i="37"/>
  <c r="S21" i="37"/>
  <c r="AB21" i="34"/>
  <c r="U21" i="34"/>
  <c r="AA21" i="33"/>
  <c r="G77" i="37"/>
  <c r="J21" i="37"/>
  <c r="AC21" i="37" s="1"/>
  <c r="J21" i="34"/>
  <c r="AC21" i="34" s="1"/>
  <c r="J21" i="33"/>
  <c r="W21" i="33" s="1"/>
  <c r="F83" i="21"/>
  <c r="H21" i="21"/>
  <c r="F38" i="69"/>
  <c r="E37" i="69"/>
  <c r="F36" i="69"/>
  <c r="F35" i="69"/>
  <c r="F21" i="69"/>
  <c r="C21" i="69" s="1"/>
  <c r="F20" i="69"/>
  <c r="E10" i="69"/>
  <c r="E9" i="69"/>
  <c r="C7" i="69"/>
  <c r="W21" i="37"/>
  <c r="W21" i="34"/>
  <c r="AC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s="1"/>
  <c r="F23" i="67"/>
  <c r="F21" i="67"/>
  <c r="F20" i="67"/>
  <c r="M19" i="67"/>
  <c r="F18" i="67"/>
  <c r="F17" i="67"/>
  <c r="F15" i="67"/>
  <c r="S2" i="4"/>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C25" i="31"/>
  <c r="C26" i="31"/>
  <c r="C27" i="31"/>
  <c r="C28" i="31"/>
  <c r="C29" i="31"/>
  <c r="R29" i="31" s="1"/>
  <c r="S29" i="31" s="1"/>
  <c r="C30" i="31"/>
  <c r="R30" i="31" s="1"/>
  <c r="S30" i="31" s="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53" i="31"/>
  <c r="S237" i="31"/>
  <c r="S429" i="31"/>
  <c r="S207" i="31"/>
  <c r="S191" i="31"/>
  <c r="S175" i="31"/>
  <c r="S159" i="31"/>
  <c r="S143" i="31"/>
  <c r="S127" i="31"/>
  <c r="S475" i="31"/>
  <c r="S115" i="31"/>
  <c r="S49" i="31"/>
  <c r="S85" i="31"/>
  <c r="S44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7"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J31" i="33" s="1"/>
  <c r="B96" i="33"/>
  <c r="B94" i="33"/>
  <c r="H29" i="33" s="1"/>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28"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F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H8" i="34"/>
  <c r="U8" i="34" s="1"/>
  <c r="F8" i="34"/>
  <c r="D121" i="33"/>
  <c r="E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c r="Q45" i="33"/>
  <c r="Z45" i="33"/>
  <c r="Q44" i="33"/>
  <c r="Z44" i="33"/>
  <c r="Q43" i="33"/>
  <c r="Z43" i="33"/>
  <c r="Q42" i="33"/>
  <c r="Z42" i="33"/>
  <c r="AC41" i="33"/>
  <c r="W41" i="33"/>
  <c r="Q41" i="33"/>
  <c r="Z41" i="33" s="1"/>
  <c r="Q40" i="33"/>
  <c r="Z40" i="33" s="1"/>
  <c r="J40" i="33"/>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AA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U31" i="35"/>
  <c r="S34" i="35"/>
  <c r="W34" i="35"/>
  <c r="W36" i="35"/>
  <c r="W22" i="35"/>
  <c r="S31" i="35"/>
  <c r="U34" i="35"/>
  <c r="F36" i="34"/>
  <c r="J35" i="34"/>
  <c r="S34" i="34"/>
  <c r="U34" i="34"/>
  <c r="H39" i="33"/>
  <c r="AB39" i="33" s="1"/>
  <c r="F26" i="33"/>
  <c r="U33" i="33"/>
  <c r="W39" i="33"/>
  <c r="H39" i="37"/>
  <c r="S27" i="35"/>
  <c r="F11" i="40"/>
  <c r="AA11" i="40"/>
  <c r="H11" i="40"/>
  <c r="AB11" i="40"/>
  <c r="W8" i="40"/>
  <c r="AB39" i="40"/>
  <c r="AA9" i="40"/>
  <c r="U9" i="40"/>
  <c r="U38" i="40"/>
  <c r="W31" i="40"/>
  <c r="U34" i="40"/>
  <c r="S38" i="40"/>
  <c r="F42" i="39"/>
  <c r="F41" i="39"/>
  <c r="H40" i="39"/>
  <c r="AB40" i="39" s="1"/>
  <c r="H39" i="39"/>
  <c r="U39" i="39" s="1"/>
  <c r="S38" i="39"/>
  <c r="H34" i="39"/>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H27" i="39"/>
  <c r="U27" i="39" s="1"/>
  <c r="J19" i="39"/>
  <c r="AC19" i="39" s="1"/>
  <c r="J17" i="39"/>
  <c r="J27" i="39"/>
  <c r="AC27" i="39"/>
  <c r="F27" i="39"/>
  <c r="F11" i="21"/>
  <c r="S11" i="21" s="1"/>
  <c r="S40" i="21"/>
  <c r="U34" i="21"/>
  <c r="S34" i="21"/>
  <c r="C25" i="39"/>
  <c r="C27" i="39"/>
  <c r="H11" i="39"/>
  <c r="S40" i="39"/>
  <c r="C15" i="39"/>
  <c r="H11" i="21"/>
  <c r="J11" i="21"/>
  <c r="W11" i="21" s="1"/>
  <c r="H37" i="40"/>
  <c r="U37" i="40" s="1"/>
  <c r="H36" i="40"/>
  <c r="AB36" i="40" s="1"/>
  <c r="F35" i="40"/>
  <c r="AA35" i="40" s="1"/>
  <c r="H23" i="40"/>
  <c r="H17" i="40"/>
  <c r="U17" i="40" s="1"/>
  <c r="J15" i="40"/>
  <c r="W15" i="40" s="1"/>
  <c r="J11" i="40"/>
  <c r="W11" i="40" s="1"/>
  <c r="AB8" i="39"/>
  <c r="AC12" i="34"/>
  <c r="AA12" i="34"/>
  <c r="AB12" i="35"/>
  <c r="W32" i="40"/>
  <c r="S44" i="39"/>
  <c r="F37" i="39"/>
  <c r="AA37" i="39" s="1"/>
  <c r="J34" i="36"/>
  <c r="W34" i="36" s="1"/>
  <c r="U30" i="36"/>
  <c r="J30" i="35"/>
  <c r="W30" i="35" s="1"/>
  <c r="H30" i="35"/>
  <c r="F22" i="35"/>
  <c r="AA22" i="35"/>
  <c r="AC16" i="36"/>
  <c r="F33" i="36"/>
  <c r="AA33" i="36"/>
  <c r="W30" i="36"/>
  <c r="H16" i="36"/>
  <c r="AB16" i="36" s="1"/>
  <c r="E85" i="36"/>
  <c r="F85" i="36" s="1"/>
  <c r="G85" i="36"/>
  <c r="H85" i="36" s="1"/>
  <c r="I85" i="36" s="1"/>
  <c r="J85" i="36" s="1"/>
  <c r="K85" i="36" s="1"/>
  <c r="L85" i="36" s="1"/>
  <c r="M85" i="36" s="1"/>
  <c r="J29" i="36"/>
  <c r="AC29" i="36"/>
  <c r="F24" i="36"/>
  <c r="AA24" i="36" s="1"/>
  <c r="F34" i="36"/>
  <c r="S34" i="36" s="1"/>
  <c r="S10" i="36"/>
  <c r="AB8" i="36"/>
  <c r="S8" i="36"/>
  <c r="J32" i="35"/>
  <c r="AC32" i="35" s="1"/>
  <c r="J16" i="35"/>
  <c r="AC16" i="35" s="1"/>
  <c r="H16" i="35"/>
  <c r="U16" i="35" s="1"/>
  <c r="F16" i="35"/>
  <c r="S16" i="35" s="1"/>
  <c r="H33" i="35"/>
  <c r="AB33" i="35" s="1"/>
  <c r="AC8" i="35"/>
  <c r="F35" i="37"/>
  <c r="S35" i="37"/>
  <c r="E101" i="37"/>
  <c r="F101" i="37"/>
  <c r="G101" i="37" s="1"/>
  <c r="H101" i="37"/>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AA28" i="34" s="1"/>
  <c r="F27" i="34"/>
  <c r="AA27" i="34" s="1"/>
  <c r="F25" i="34"/>
  <c r="S25" i="34" s="1"/>
  <c r="H23" i="34"/>
  <c r="J23" i="34"/>
  <c r="F19" i="34"/>
  <c r="H17" i="34"/>
  <c r="U17" i="34" s="1"/>
  <c r="F15" i="34"/>
  <c r="AA15" i="34" s="1"/>
  <c r="J15" i="34"/>
  <c r="H15" i="34"/>
  <c r="AB15" i="34" s="1"/>
  <c r="S9" i="34"/>
  <c r="F41" i="33"/>
  <c r="E113" i="33"/>
  <c r="J19" i="33"/>
  <c r="AC19" i="33" s="1"/>
  <c r="J15" i="33"/>
  <c r="AC15" i="33" s="1"/>
  <c r="U8" i="33"/>
  <c r="S8" i="33"/>
  <c r="F37" i="40"/>
  <c r="AA37" i="40" s="1"/>
  <c r="F36" i="40"/>
  <c r="AA36" i="40" s="1"/>
  <c r="H28" i="40"/>
  <c r="U28" i="40" s="1"/>
  <c r="F23" i="40"/>
  <c r="AA23" i="40" s="1"/>
  <c r="F17" i="40"/>
  <c r="AA17" i="40" s="1"/>
  <c r="J17" i="40"/>
  <c r="W17" i="40" s="1"/>
  <c r="F15" i="40"/>
  <c r="S15" i="40" s="1"/>
  <c r="H15" i="40"/>
  <c r="AB15" i="40" s="1"/>
  <c r="AC11" i="40"/>
  <c r="AB30" i="36"/>
  <c r="AC34" i="36"/>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F28" i="40"/>
  <c r="AA28" i="40"/>
  <c r="S42" i="34"/>
  <c r="AC38" i="34"/>
  <c r="AA38" i="34"/>
  <c r="J37" i="34"/>
  <c r="AC37" i="34"/>
  <c r="S28" i="34"/>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F13" i="33"/>
  <c r="S13" i="33" s="1"/>
  <c r="J29" i="33"/>
  <c r="F29" i="33"/>
  <c r="S29" i="33" s="1"/>
  <c r="H31" i="33"/>
  <c r="AB31" i="33" s="1"/>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J11" i="36"/>
  <c r="AC11" i="36" s="1"/>
  <c r="H11" i="36"/>
  <c r="F11" i="36"/>
  <c r="H13" i="36"/>
  <c r="AB13" i="36" s="1"/>
  <c r="J13" i="36"/>
  <c r="AC13" i="36" s="1"/>
  <c r="F13" i="36"/>
  <c r="S13" i="36"/>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J14" i="33"/>
  <c r="AC14" i="33" s="1"/>
  <c r="J30" i="33"/>
  <c r="AC30" i="33" s="1"/>
  <c r="J44" i="33"/>
  <c r="F44" i="33"/>
  <c r="J46" i="33"/>
  <c r="AC46" i="33" s="1"/>
  <c r="F46" i="33"/>
  <c r="AA46" i="33" s="1"/>
  <c r="H46" i="33"/>
  <c r="AB46" i="33" s="1"/>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B14" i="39"/>
  <c r="F12" i="40"/>
  <c r="S12" i="40"/>
  <c r="H12" i="40"/>
  <c r="AB12" i="40"/>
  <c r="H30" i="40"/>
  <c r="AB30" i="40"/>
  <c r="J35" i="40"/>
  <c r="AC35" i="40"/>
  <c r="J37" i="40"/>
  <c r="AC37" i="40"/>
  <c r="H13" i="40"/>
  <c r="U13" i="40"/>
  <c r="J13" i="40"/>
  <c r="W13" i="40"/>
  <c r="F13" i="40"/>
  <c r="AA13" i="40"/>
  <c r="F13" i="39"/>
  <c r="J13" i="39"/>
  <c r="W13" i="39" s="1"/>
  <c r="H13" i="39"/>
  <c r="H14" i="40"/>
  <c r="AB14" i="40"/>
  <c r="J14" i="40"/>
  <c r="W14" i="40"/>
  <c r="F14" i="40"/>
  <c r="AA14" i="40"/>
  <c r="J36" i="37"/>
  <c r="AC36" i="37" s="1"/>
  <c r="G105" i="37"/>
  <c r="AB11" i="35"/>
  <c r="J10" i="36"/>
  <c r="AC10" i="36"/>
  <c r="AB30" i="21"/>
  <c r="W11" i="36"/>
  <c r="AA14" i="34"/>
  <c r="S44" i="34"/>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AB43" i="33" s="1"/>
  <c r="H17" i="37"/>
  <c r="U17" i="37" s="1"/>
  <c r="AB27" i="37"/>
  <c r="AA36" i="39"/>
  <c r="F39" i="33"/>
  <c r="AA39" i="33" s="1"/>
  <c r="F42" i="33"/>
  <c r="AA42" i="33" s="1"/>
  <c r="AB28" i="34"/>
  <c r="F14" i="36"/>
  <c r="AA14" i="36"/>
  <c r="F22" i="36"/>
  <c r="S22" i="36"/>
  <c r="F26" i="36"/>
  <c r="S26" i="36"/>
  <c r="H27" i="34"/>
  <c r="AB27" i="34"/>
  <c r="H35" i="34"/>
  <c r="U35" i="34"/>
  <c r="F41" i="34"/>
  <c r="S41" i="34"/>
  <c r="H41" i="34"/>
  <c r="U41" i="34"/>
  <c r="J41" i="34"/>
  <c r="AC41" i="34"/>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J43" i="33"/>
  <c r="AC43" i="33" s="1"/>
  <c r="U43" i="33"/>
  <c r="U14" i="40"/>
  <c r="AC33" i="36"/>
  <c r="AA12" i="35"/>
  <c r="AB28" i="37"/>
  <c r="U33" i="37"/>
  <c r="W26" i="37"/>
  <c r="AC8" i="37"/>
  <c r="U26" i="37"/>
  <c r="AB13" i="34"/>
  <c r="W37" i="34"/>
  <c r="AB37" i="34"/>
  <c r="AC36" i="34"/>
  <c r="AC45" i="33"/>
  <c r="U19" i="21"/>
  <c r="U26" i="21"/>
  <c r="AB38" i="21"/>
  <c r="F43" i="33"/>
  <c r="AA43" i="33" s="1"/>
  <c r="W15" i="34"/>
  <c r="AC15" i="34"/>
  <c r="W40" i="37"/>
  <c r="H107" i="37"/>
  <c r="I107" i="37" s="1"/>
  <c r="J107" i="37"/>
  <c r="K107" i="37" s="1"/>
  <c r="L107" i="37" s="1"/>
  <c r="M107" i="37" s="1"/>
  <c r="H37" i="21"/>
  <c r="U37" i="21" s="1"/>
  <c r="S42" i="21"/>
  <c r="H19" i="34"/>
  <c r="AB19" i="34"/>
  <c r="F36" i="35"/>
  <c r="S36" i="35"/>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S14" i="40"/>
  <c r="AC1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U40" i="39"/>
  <c r="W9" i="39"/>
  <c r="W8" i="39"/>
  <c r="J19" i="40"/>
  <c r="AC19" i="40" s="1"/>
  <c r="J50" i="40"/>
  <c r="B16" i="53"/>
  <c r="B33" i="72" s="1"/>
  <c r="C7" i="37"/>
  <c r="C7" i="34"/>
  <c r="C7" i="36"/>
  <c r="W35" i="40"/>
  <c r="A118" i="9"/>
  <c r="A4" i="52"/>
  <c r="B41" i="72" s="1"/>
  <c r="J11" i="39"/>
  <c r="W11" i="39" s="1"/>
  <c r="F11" i="39"/>
  <c r="AA11" i="39" s="1"/>
  <c r="G4" i="4"/>
  <c r="I4" i="4"/>
  <c r="K5" i="4"/>
  <c r="B47" i="48" s="1"/>
  <c r="A2" i="9"/>
  <c r="N2" i="43"/>
  <c r="F59" i="43"/>
  <c r="AZ20" i="3"/>
  <c r="AZ24" i="3"/>
  <c r="AZ28" i="3"/>
  <c r="AZ32" i="3"/>
  <c r="BL549" i="3"/>
  <c r="AZ549" i="3" s="1"/>
  <c r="AZ494" i="3"/>
  <c r="AZ502" i="3"/>
  <c r="AZ522"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AZ336" i="3" s="1"/>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E29" i="6" s="1"/>
  <c r="K15" i="1"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c r="M6" i="43"/>
  <c r="M11" i="43"/>
  <c r="D17" i="43"/>
  <c r="F39" i="43"/>
  <c r="I17" i="43"/>
  <c r="F35" i="43"/>
  <c r="J17" i="43"/>
  <c r="F6" i="1"/>
  <c r="U17" i="39"/>
  <c r="U43" i="21"/>
  <c r="U35" i="21"/>
  <c r="AC35" i="21"/>
  <c r="U10" i="21"/>
  <c r="G8" i="1"/>
  <c r="G9" i="1"/>
  <c r="G10" i="1"/>
  <c r="F48" i="9"/>
  <c r="O52" i="9" s="1"/>
  <c r="AC11" i="39"/>
  <c r="AZ563" i="3"/>
  <c r="AZ501" i="3"/>
  <c r="W44" i="34"/>
  <c r="AC44" i="34"/>
  <c r="S15" i="37"/>
  <c r="U13" i="37"/>
  <c r="U12" i="40"/>
  <c r="AA12" i="40"/>
  <c r="J37" i="33"/>
  <c r="W37" i="33" s="1"/>
  <c r="AC17" i="34"/>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M6" i="1" s="1"/>
  <c r="O6" i="1" s="1"/>
  <c r="G29" i="6"/>
  <c r="G30" i="6" s="1"/>
  <c r="G31" i="6" s="1"/>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AC13"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B41" i="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AC21" i="39" s="1"/>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W24" i="35"/>
  <c r="AB27" i="35"/>
  <c r="U36" i="35"/>
  <c r="U32" i="35"/>
  <c r="AA33" i="35"/>
  <c r="AC30" i="35"/>
  <c r="AA36" i="35"/>
  <c r="W32" i="35"/>
  <c r="AB16" i="35"/>
  <c r="U22" i="35"/>
  <c r="S22" i="35"/>
  <c r="AC10" i="35"/>
  <c r="AA11" i="35"/>
  <c r="S8" i="35"/>
  <c r="AC9" i="35"/>
  <c r="W9" i="35"/>
  <c r="AC12" i="35"/>
  <c r="F9" i="35"/>
  <c r="H9" i="35"/>
  <c r="AB9" i="35" s="1"/>
  <c r="AB40" i="37"/>
  <c r="S25" i="37"/>
  <c r="S26" i="37"/>
  <c r="AC29" i="37"/>
  <c r="U29" i="37"/>
  <c r="S32" i="37"/>
  <c r="AB31" i="37"/>
  <c r="W30" i="37"/>
  <c r="S36" i="37"/>
  <c r="AA38" i="37"/>
  <c r="W38" i="37"/>
  <c r="AC35" i="37"/>
  <c r="W39" i="37"/>
  <c r="S30" i="37"/>
  <c r="S37" i="37"/>
  <c r="AC15" i="37"/>
  <c r="J17" i="37"/>
  <c r="W17" i="37" s="1"/>
  <c r="G73" i="37"/>
  <c r="F17" i="37"/>
  <c r="AA17" i="37"/>
  <c r="AB17" i="37"/>
  <c r="F75" i="37"/>
  <c r="G75" i="37" s="1"/>
  <c r="F19" i="37"/>
  <c r="F79" i="37"/>
  <c r="F23" i="37"/>
  <c r="S23" i="37"/>
  <c r="U23" i="37"/>
  <c r="U15" i="37"/>
  <c r="AC13" i="37"/>
  <c r="AA13" i="37"/>
  <c r="AA12" i="37"/>
  <c r="H10" i="37"/>
  <c r="AB10" i="37" s="1"/>
  <c r="H60" i="37"/>
  <c r="F63" i="37"/>
  <c r="G63" i="37" s="1"/>
  <c r="H63" i="37" s="1"/>
  <c r="I63" i="37" s="1"/>
  <c r="J63" i="37" s="1"/>
  <c r="K63" i="37" s="1"/>
  <c r="L63" i="37" s="1"/>
  <c r="M63" i="37" s="1"/>
  <c r="F11" i="37"/>
  <c r="S11" i="37"/>
  <c r="S27" i="34"/>
  <c r="W25" i="34"/>
  <c r="AB8" i="34"/>
  <c r="AA33" i="34"/>
  <c r="U44" i="34"/>
  <c r="U43" i="34"/>
  <c r="AC39" i="34"/>
  <c r="W41" i="34"/>
  <c r="AC42" i="34"/>
  <c r="AB35" i="34"/>
  <c r="U39" i="34"/>
  <c r="S43" i="34"/>
  <c r="AB41" i="34"/>
  <c r="W34" i="34"/>
  <c r="AA25" i="34"/>
  <c r="U28" i="34"/>
  <c r="S17" i="34"/>
  <c r="U27" i="34"/>
  <c r="S23" i="34"/>
  <c r="U15" i="34"/>
  <c r="S10" i="34"/>
  <c r="S13" i="34"/>
  <c r="H67" i="34"/>
  <c r="H10" i="34"/>
  <c r="AB10" i="34" s="1"/>
  <c r="F11" i="34"/>
  <c r="S11" i="34"/>
  <c r="F70" i="34"/>
  <c r="S27" i="33"/>
  <c r="AA29" i="33"/>
  <c r="W38" i="33"/>
  <c r="H41" i="33"/>
  <c r="F121" i="33"/>
  <c r="G121" i="33"/>
  <c r="H121" i="33" s="1"/>
  <c r="I121" i="33" s="1"/>
  <c r="J121" i="33" s="1"/>
  <c r="K121" i="33" s="1"/>
  <c r="L121" i="33" s="1"/>
  <c r="M121" i="33" s="1"/>
  <c r="S42" i="33"/>
  <c r="F36" i="33"/>
  <c r="AA36" i="33" s="1"/>
  <c r="J35" i="33"/>
  <c r="W35" i="33" s="1"/>
  <c r="S37" i="33"/>
  <c r="AA37" i="33"/>
  <c r="S39" i="33"/>
  <c r="S46" i="33"/>
  <c r="S43" i="33"/>
  <c r="H27" i="33"/>
  <c r="U27" i="33" s="1"/>
  <c r="H25" i="33"/>
  <c r="U25" i="33" s="1"/>
  <c r="F25" i="33"/>
  <c r="AA25" i="33" s="1"/>
  <c r="J23" i="33"/>
  <c r="AC23" i="33" s="1"/>
  <c r="H23" i="33"/>
  <c r="U23" i="33" s="1"/>
  <c r="F19" i="33"/>
  <c r="AA19" i="33" s="1"/>
  <c r="W19" i="33"/>
  <c r="J17" i="33"/>
  <c r="AC17" i="33" s="1"/>
  <c r="S15" i="33"/>
  <c r="W15" i="33"/>
  <c r="U9" i="33"/>
  <c r="J10" i="33"/>
  <c r="H10" i="33"/>
  <c r="U10" i="33" s="1"/>
  <c r="AA10"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E388" i="3" s="1"/>
  <c r="BA13" i="3"/>
  <c r="E10" i="6"/>
  <c r="E11" i="6"/>
  <c r="E61" i="39" s="1"/>
  <c r="BL17" i="3"/>
  <c r="AZ17" i="3"/>
  <c r="BL13" i="3"/>
  <c r="J56" i="9"/>
  <c r="J57" i="9"/>
  <c r="J59" i="9" s="1"/>
  <c r="J61" i="9" s="1"/>
  <c r="A24" i="51"/>
  <c r="B18" i="72" s="1"/>
  <c r="E14" i="6"/>
  <c r="E64" i="39" s="1"/>
  <c r="E5" i="6"/>
  <c r="D9" i="11" s="1"/>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s="1"/>
  <c r="B14" i="72" s="1"/>
  <c r="C46" i="36"/>
  <c r="D46" i="36" s="1"/>
  <c r="C59" i="34"/>
  <c r="D59" i="34"/>
  <c r="C52" i="37"/>
  <c r="D52" i="37"/>
  <c r="A4" i="51"/>
  <c r="B6" i="72"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W14" i="33"/>
  <c r="W30" i="33"/>
  <c r="AC13"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52" i="43"/>
  <c r="B56" i="43"/>
  <c r="B60" i="43"/>
  <c r="B63" i="43"/>
  <c r="B67" i="43"/>
  <c r="D23" i="15"/>
  <c r="D22" i="15"/>
  <c r="AZ13" i="3"/>
  <c r="D19" i="12"/>
  <c r="C19" i="12" s="1"/>
  <c r="AR11" i="1"/>
  <c r="T13" i="1"/>
  <c r="C24" i="12"/>
  <c r="AA39" i="40"/>
  <c r="S39" i="40"/>
  <c r="AA12" i="33"/>
  <c r="J32" i="39"/>
  <c r="H32" i="39"/>
  <c r="AA32" i="39"/>
  <c r="S32" i="39"/>
  <c r="AB21" i="39"/>
  <c r="U21" i="39"/>
  <c r="AA21" i="39"/>
  <c r="S21" i="39"/>
  <c r="W21" i="39"/>
  <c r="AA9" i="35"/>
  <c r="S9" i="35"/>
  <c r="AC17" i="37"/>
  <c r="S17" i="37"/>
  <c r="J19" i="37"/>
  <c r="S19" i="37"/>
  <c r="AA19" i="37"/>
  <c r="AA23" i="37"/>
  <c r="J23" i="37"/>
  <c r="G79" i="37"/>
  <c r="J10" i="37"/>
  <c r="I60" i="37"/>
  <c r="H11" i="37"/>
  <c r="U10" i="37"/>
  <c r="G70" i="34"/>
  <c r="H11" i="34"/>
  <c r="U10" i="34"/>
  <c r="J10" i="34"/>
  <c r="I67" i="34"/>
  <c r="AB41" i="33"/>
  <c r="U41" i="33"/>
  <c r="J36" i="33"/>
  <c r="W36" i="33" s="1"/>
  <c r="H36" i="33"/>
  <c r="AB36" i="33" s="1"/>
  <c r="J27" i="33"/>
  <c r="W27" i="33" s="1"/>
  <c r="J25" i="33"/>
  <c r="AC25" i="33" s="1"/>
  <c r="F23" i="33"/>
  <c r="AA23" i="33" s="1"/>
  <c r="W23" i="33"/>
  <c r="H19" i="33"/>
  <c r="AB19" i="33" s="1"/>
  <c r="H17" i="33"/>
  <c r="U17" i="33" s="1"/>
  <c r="F17" i="33"/>
  <c r="AA17" i="33" s="1"/>
  <c r="W17" i="33"/>
  <c r="AC10" i="33"/>
  <c r="W10" i="33"/>
  <c r="AC37" i="21"/>
  <c r="U33" i="21"/>
  <c r="S37" i="21"/>
  <c r="AA23" i="21"/>
  <c r="AB15" i="21"/>
  <c r="J23" i="21"/>
  <c r="F85" i="21"/>
  <c r="G85" i="21" s="1"/>
  <c r="H23" i="21"/>
  <c r="AB23" i="21" s="1"/>
  <c r="S13" i="21"/>
  <c r="E239" i="3"/>
  <c r="E516" i="3"/>
  <c r="E569" i="3"/>
  <c r="E396" i="3"/>
  <c r="E229" i="3"/>
  <c r="E97" i="3"/>
  <c r="E397" i="3"/>
  <c r="E314" i="3"/>
  <c r="E568" i="3"/>
  <c r="E511" i="3"/>
  <c r="I6" i="3"/>
  <c r="E16" i="3"/>
  <c r="E536" i="3"/>
  <c r="AK6" i="3"/>
  <c r="E549" i="3"/>
  <c r="E434"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O19" i="43"/>
  <c r="E52" i="37"/>
  <c r="F52" i="37"/>
  <c r="E59" i="34"/>
  <c r="F59" i="34" s="1"/>
  <c r="G59" i="34" s="1"/>
  <c r="H59" i="34" s="1"/>
  <c r="I59" i="34" s="1"/>
  <c r="J59" i="34" s="1"/>
  <c r="K59" i="34" s="1"/>
  <c r="L27" i="6"/>
  <c r="AP7" i="1"/>
  <c r="Q16" i="1"/>
  <c r="F27" i="69" s="1"/>
  <c r="C47" i="69" s="1"/>
  <c r="D45"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J11" i="37"/>
  <c r="AC11" i="37" s="1"/>
  <c r="W10" i="37"/>
  <c r="AC10" i="37"/>
  <c r="U11" i="34"/>
  <c r="AB11" i="34"/>
  <c r="AC10" i="34"/>
  <c r="W10" i="34"/>
  <c r="H70" i="34"/>
  <c r="I70" i="34"/>
  <c r="J70" i="34" s="1"/>
  <c r="K70" i="34" s="1"/>
  <c r="L70" i="34" s="1"/>
  <c r="M70" i="34" s="1"/>
  <c r="J11" i="34"/>
  <c r="AC36" i="33"/>
  <c r="U36" i="33"/>
  <c r="U23" i="21"/>
  <c r="AC23" i="21"/>
  <c r="W23" i="21"/>
  <c r="W11" i="37"/>
  <c r="W11" i="34"/>
  <c r="AC11" i="34"/>
  <c r="C13" i="12"/>
  <c r="F34" i="11"/>
  <c r="F11" i="12"/>
  <c r="F34" i="68"/>
  <c r="R8" i="1"/>
  <c r="AE8" i="1"/>
  <c r="AG6" i="1"/>
  <c r="H109" i="9"/>
  <c r="D124" i="9" s="1"/>
  <c r="D16" i="53"/>
  <c r="B34" i="72" s="1"/>
  <c r="J7" i="33"/>
  <c r="W7" i="33" s="1"/>
  <c r="F7" i="33"/>
  <c r="S7" i="33" s="1"/>
  <c r="H7" i="33"/>
  <c r="AB7" i="33" s="1"/>
  <c r="AA7" i="33"/>
  <c r="D59" i="9"/>
  <c r="M55" i="9" s="1"/>
  <c r="AD3" i="71"/>
  <c r="M26" i="15"/>
  <c r="F9" i="15"/>
  <c r="E2" i="69"/>
  <c r="E10" i="76"/>
  <c r="M8" i="67"/>
  <c r="E8" i="76"/>
  <c r="D2" i="37"/>
  <c r="F36" i="15"/>
  <c r="M6" i="15"/>
  <c r="F16" i="67"/>
  <c r="E11" i="76"/>
  <c r="M23" i="67"/>
  <c r="D2" i="36"/>
  <c r="B13" i="76"/>
  <c r="B10" i="76"/>
  <c r="M28" i="67"/>
  <c r="AO9" i="1"/>
  <c r="D2" i="21"/>
  <c r="M22" i="15"/>
  <c r="F26" i="15"/>
  <c r="L48" i="67"/>
  <c r="F4" i="73"/>
  <c r="F37" i="15"/>
  <c r="M24" i="67"/>
  <c r="F40" i="67"/>
  <c r="F9" i="67"/>
  <c r="F37" i="67"/>
  <c r="AO11" i="1"/>
  <c r="E2" i="68"/>
  <c r="M27" i="15"/>
  <c r="F7" i="73"/>
  <c r="F38" i="15"/>
  <c r="F3" i="73"/>
  <c r="D2" i="33"/>
  <c r="M24" i="15"/>
  <c r="L47" i="15"/>
  <c r="B12" i="76"/>
  <c r="AO12" i="1"/>
  <c r="F42" i="67"/>
  <c r="F43" i="15"/>
  <c r="F42" i="15"/>
  <c r="M22" i="67"/>
  <c r="D2" i="34"/>
  <c r="AO8" i="1"/>
  <c r="E13" i="76"/>
  <c r="AO13" i="1"/>
  <c r="F36" i="67"/>
  <c r="L48" i="15"/>
  <c r="F5" i="73"/>
  <c r="M9" i="15"/>
  <c r="M29" i="67"/>
  <c r="F40" i="15"/>
  <c r="M28" i="15"/>
  <c r="B8" i="76"/>
  <c r="J15" i="15"/>
  <c r="F6" i="73"/>
  <c r="M6" i="67"/>
  <c r="J15" i="67"/>
  <c r="E9" i="76"/>
  <c r="F20" i="31"/>
  <c r="B7" i="76"/>
  <c r="F8" i="15"/>
  <c r="AO10" i="1"/>
  <c r="M8" i="15"/>
  <c r="F7" i="15"/>
  <c r="F8" i="67"/>
  <c r="E7" i="76"/>
  <c r="M26" i="67"/>
  <c r="F43" i="67"/>
  <c r="M27" i="67"/>
  <c r="D2" i="35"/>
  <c r="E12" i="76"/>
  <c r="F7" i="67"/>
  <c r="M29" i="15"/>
  <c r="F38" i="67"/>
  <c r="B11" i="76"/>
  <c r="F13" i="15"/>
  <c r="F26" i="67"/>
  <c r="B9" i="76"/>
  <c r="M23" i="15"/>
  <c r="F16" i="15"/>
  <c r="L47" i="67"/>
  <c r="M9" i="67"/>
  <c r="F6" i="15"/>
  <c r="F13" i="67"/>
  <c r="F6" i="67"/>
  <c r="C76" i="15"/>
  <c r="C76" i="67"/>
  <c r="H110" i="9" l="1"/>
  <c r="D18" i="53" s="1"/>
  <c r="B35" i="72" s="1"/>
  <c r="H103" i="9"/>
  <c r="J32" i="33"/>
  <c r="W32" i="33" s="1"/>
  <c r="U29" i="33"/>
  <c r="AB29" i="33"/>
  <c r="U31" i="33"/>
  <c r="F31" i="33"/>
  <c r="AB14" i="33"/>
  <c r="AA13" i="33"/>
  <c r="B55" i="43"/>
  <c r="B49" i="43"/>
  <c r="C21" i="39"/>
  <c r="C29" i="39"/>
  <c r="B66" i="43"/>
  <c r="C9" i="11"/>
  <c r="AA28" i="35"/>
  <c r="S28" i="35"/>
  <c r="D63" i="40"/>
  <c r="C65" i="40"/>
  <c r="F53" i="9"/>
  <c r="F54" i="85"/>
  <c r="F53" i="85"/>
  <c r="D68" i="85"/>
  <c r="F52" i="85"/>
  <c r="F48" i="85"/>
  <c r="O52" i="85" s="1"/>
  <c r="F52" i="80"/>
  <c r="F54" i="80"/>
  <c r="D68" i="80"/>
  <c r="F53" i="80"/>
  <c r="E12" i="6"/>
  <c r="AZ521" i="3"/>
  <c r="AZ508" i="3"/>
  <c r="AC44" i="33"/>
  <c r="W44" i="33"/>
  <c r="S14" i="33"/>
  <c r="AA14" i="33"/>
  <c r="AA11" i="36"/>
  <c r="S11" i="36"/>
  <c r="AC11" i="35"/>
  <c r="W11" i="35"/>
  <c r="W30" i="34"/>
  <c r="AC30" i="34"/>
  <c r="AA45" i="33"/>
  <c r="S45" i="33"/>
  <c r="AC29" i="33"/>
  <c r="W29" i="33"/>
  <c r="W28" i="21"/>
  <c r="AC28" i="21"/>
  <c r="U40" i="33"/>
  <c r="J28" i="34"/>
  <c r="U23" i="34"/>
  <c r="AB23" i="34"/>
  <c r="J20" i="35"/>
  <c r="W20" i="35" s="1"/>
  <c r="AB30" i="35"/>
  <c r="U30" i="35"/>
  <c r="AB23" i="40"/>
  <c r="U23" i="40"/>
  <c r="AA42" i="39"/>
  <c r="S42" i="39"/>
  <c r="AB39" i="37"/>
  <c r="U39" i="37"/>
  <c r="W33" i="33"/>
  <c r="AA26" i="33"/>
  <c r="S26" i="33"/>
  <c r="BL586" i="3"/>
  <c r="BA586" i="3"/>
  <c r="U12" i="33"/>
  <c r="AB12" i="33"/>
  <c r="AC40" i="33"/>
  <c r="W40" i="33"/>
  <c r="J26" i="33"/>
  <c r="H26" i="33"/>
  <c r="AC8" i="34"/>
  <c r="W8" i="34"/>
  <c r="G56" i="35"/>
  <c r="H56" i="35" s="1"/>
  <c r="I56" i="35" s="1"/>
  <c r="H10" i="35"/>
  <c r="F10"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J9" i="37"/>
  <c r="H9" i="37"/>
  <c r="F9" i="37"/>
  <c r="AB40" i="40"/>
  <c r="U40" i="40"/>
  <c r="U9" i="35"/>
  <c r="T9" i="1"/>
  <c r="AQ9" i="1"/>
  <c r="T11" i="1"/>
  <c r="AQ13" i="1"/>
  <c r="W17" i="21"/>
  <c r="S23" i="39"/>
  <c r="AA39" i="39"/>
  <c r="T10" i="1"/>
  <c r="T12" i="1"/>
  <c r="U32" i="37"/>
  <c r="S20" i="35"/>
  <c r="S27" i="36"/>
  <c r="AC27" i="36"/>
  <c r="W39" i="39"/>
  <c r="AC34" i="33"/>
  <c r="C77" i="9"/>
  <c r="C74" i="9" s="1"/>
  <c r="C77" i="85"/>
  <c r="C74" i="85" s="1"/>
  <c r="C77" i="80"/>
  <c r="C74" i="80" s="1"/>
  <c r="E13" i="6"/>
  <c r="E15" i="6"/>
  <c r="H49" i="43"/>
  <c r="W37" i="37"/>
  <c r="BQ5" i="3"/>
  <c r="F28" i="6" s="1"/>
  <c r="AZ347" i="3"/>
  <c r="AZ378" i="3"/>
  <c r="S11" i="39"/>
  <c r="W14" i="39"/>
  <c r="AC46" i="21"/>
  <c r="W44" i="21"/>
  <c r="S25" i="21"/>
  <c r="AA25" i="21"/>
  <c r="AZ497" i="3"/>
  <c r="AZ511" i="3"/>
  <c r="AZ515" i="3"/>
  <c r="AZ519" i="3"/>
  <c r="AZ565" i="3"/>
  <c r="AZ569" i="3"/>
  <c r="AZ573" i="3"/>
  <c r="AZ577" i="3"/>
  <c r="AZ583" i="3"/>
  <c r="AZ558" i="3"/>
  <c r="U13" i="33"/>
  <c r="AB45" i="33"/>
  <c r="AB46" i="34"/>
  <c r="W13" i="36"/>
  <c r="U46" i="33"/>
  <c r="S44" i="33"/>
  <c r="AA44" i="33"/>
  <c r="U11" i="36"/>
  <c r="AB11" i="36"/>
  <c r="W32" i="36"/>
  <c r="AC32" i="36"/>
  <c r="W31" i="33"/>
  <c r="AC31" i="33"/>
  <c r="AA41" i="33"/>
  <c r="S41" i="33"/>
  <c r="U11" i="21"/>
  <c r="AB11" i="21"/>
  <c r="U34" i="39"/>
  <c r="AB34" i="39"/>
  <c r="S41" i="39"/>
  <c r="AA41" i="39"/>
  <c r="AB12" i="21"/>
  <c r="U12" i="21"/>
  <c r="BL587" i="3"/>
  <c r="AZ587" i="3" s="1"/>
  <c r="BL585" i="3"/>
  <c r="AZ585" i="3" s="1"/>
  <c r="H101" i="33"/>
  <c r="I101" i="33" s="1"/>
  <c r="J101" i="33" s="1"/>
  <c r="K101" i="33" s="1"/>
  <c r="L101" i="33" s="1"/>
  <c r="M101" i="33" s="1"/>
  <c r="H32" i="33"/>
  <c r="AB32" i="33" s="1"/>
  <c r="F32" i="33"/>
  <c r="AA32" i="33" s="1"/>
  <c r="J42" i="33"/>
  <c r="AC42" i="33" s="1"/>
  <c r="F123" i="33"/>
  <c r="G123" i="33" s="1"/>
  <c r="H123" i="33" s="1"/>
  <c r="I123" i="33" s="1"/>
  <c r="J123" i="33" s="1"/>
  <c r="K123" i="33" s="1"/>
  <c r="L123" i="33" s="1"/>
  <c r="M123" i="33" s="1"/>
  <c r="H42" i="33"/>
  <c r="J9" i="34"/>
  <c r="H9" i="34"/>
  <c r="AB8" i="35"/>
  <c r="U8" i="35"/>
  <c r="E64" i="35"/>
  <c r="H14" i="35"/>
  <c r="F84" i="35"/>
  <c r="G84" i="35" s="1"/>
  <c r="H84" i="35" s="1"/>
  <c r="I84" i="35" s="1"/>
  <c r="J84" i="35" s="1"/>
  <c r="K84" i="35" s="1"/>
  <c r="L84" i="35" s="1"/>
  <c r="M84" i="35" s="1"/>
  <c r="H28" i="35"/>
  <c r="H23" i="35"/>
  <c r="J23" i="35"/>
  <c r="F23" i="35"/>
  <c r="AB14" i="37"/>
  <c r="U14" i="37"/>
  <c r="J27" i="37"/>
  <c r="J14" i="37"/>
  <c r="F27" i="37"/>
  <c r="F14" i="37"/>
  <c r="H33" i="40"/>
  <c r="F33" i="40"/>
  <c r="S34" i="39"/>
  <c r="S40" i="40"/>
  <c r="S34" i="40"/>
  <c r="AC9" i="40"/>
  <c r="AC40" i="40"/>
  <c r="F39" i="37"/>
  <c r="BL550" i="3"/>
  <c r="BA551" i="3"/>
  <c r="AZ551" i="3" s="1"/>
  <c r="AZ409" i="3"/>
  <c r="AZ416" i="3"/>
  <c r="AZ425" i="3"/>
  <c r="AZ432" i="3"/>
  <c r="AZ445" i="3"/>
  <c r="AZ447" i="3"/>
  <c r="AZ464" i="3"/>
  <c r="AZ467" i="3"/>
  <c r="AZ474" i="3"/>
  <c r="AZ480" i="3"/>
  <c r="AZ482" i="3"/>
  <c r="AZ486" i="3"/>
  <c r="AZ488" i="3"/>
  <c r="M18" i="80"/>
  <c r="B118" i="80" s="1"/>
  <c r="B15" i="74" s="1"/>
  <c r="D78" i="9"/>
  <c r="D93" i="85"/>
  <c r="D78" i="85"/>
  <c r="D93" i="80"/>
  <c r="D78" i="80"/>
  <c r="O17" i="43"/>
  <c r="M17" i="43"/>
  <c r="N17" i="43"/>
  <c r="L17" i="43"/>
  <c r="E17" i="43"/>
  <c r="AZ332" i="3"/>
  <c r="AZ397" i="3"/>
  <c r="AZ212" i="3"/>
  <c r="AZ217" i="3"/>
  <c r="AZ220" i="3"/>
  <c r="AZ228" i="3"/>
  <c r="AZ231" i="3"/>
  <c r="AZ244" i="3"/>
  <c r="AZ247" i="3"/>
  <c r="AZ260" i="3"/>
  <c r="AZ264" i="3"/>
  <c r="AZ272" i="3"/>
  <c r="AZ276" i="3"/>
  <c r="AZ289" i="3"/>
  <c r="AZ294" i="3"/>
  <c r="AZ300" i="3"/>
  <c r="AZ118" i="3"/>
  <c r="AZ121" i="3"/>
  <c r="AZ134" i="3"/>
  <c r="AZ137" i="3"/>
  <c r="AZ145" i="3"/>
  <c r="AZ161" i="3"/>
  <c r="AZ177" i="3"/>
  <c r="AZ193" i="3"/>
  <c r="AZ34" i="3"/>
  <c r="AZ38" i="3"/>
  <c r="AZ44" i="3"/>
  <c r="AZ48" i="3"/>
  <c r="AZ60" i="3"/>
  <c r="AZ64" i="3"/>
  <c r="AZ78" i="3"/>
  <c r="AZ91" i="3"/>
  <c r="AZ98" i="3"/>
  <c r="F3" i="35"/>
  <c r="M108" i="43"/>
  <c r="M100" i="43"/>
  <c r="I108" i="43"/>
  <c r="I100" i="43"/>
  <c r="E108" i="43"/>
  <c r="E100" i="43"/>
  <c r="D24" i="67"/>
  <c r="D22" i="67"/>
  <c r="T50" i="71"/>
  <c r="D50" i="71"/>
  <c r="P52" i="71"/>
  <c r="P51" i="71"/>
  <c r="C13" i="71"/>
  <c r="T14" i="71"/>
  <c r="D14" i="71"/>
  <c r="U14" i="71" s="1"/>
  <c r="K100" i="43"/>
  <c r="D108" i="43"/>
  <c r="D100" i="43"/>
  <c r="D23" i="67"/>
  <c r="D25" i="71"/>
  <c r="C26" i="71"/>
  <c r="M47" i="85"/>
  <c r="M47" i="80"/>
  <c r="A2" i="85"/>
  <c r="A118" i="85"/>
  <c r="AB21" i="33"/>
  <c r="S54" i="71"/>
  <c r="B53" i="71"/>
  <c r="AA10" i="71"/>
  <c r="AB10" i="71"/>
  <c r="Y8" i="71"/>
  <c r="Z8" i="71" s="1"/>
  <c r="AB8" i="71"/>
  <c r="Y7" i="71"/>
  <c r="Z7" i="71" s="1"/>
  <c r="AB7" i="71"/>
  <c r="Y5" i="71"/>
  <c r="Z5" i="71" s="1"/>
  <c r="AA5" i="71"/>
  <c r="S21" i="34"/>
  <c r="V14" i="71"/>
  <c r="AA14" i="71"/>
  <c r="AA12" i="71"/>
  <c r="X14" i="71"/>
  <c r="Y14" i="71"/>
  <c r="Z14" i="71" s="1"/>
  <c r="Y13" i="71"/>
  <c r="Z13" i="71" s="1"/>
  <c r="Y12" i="71"/>
  <c r="Z12" i="71" s="1"/>
  <c r="Y11" i="71"/>
  <c r="Z11" i="71" s="1"/>
  <c r="AA22" i="71"/>
  <c r="AB19" i="71"/>
  <c r="Y19" i="71"/>
  <c r="Z19" i="71" s="1"/>
  <c r="X18" i="71"/>
  <c r="N54" i="71"/>
  <c r="X23" i="71"/>
  <c r="AA15" i="71"/>
  <c r="AA8" i="71"/>
  <c r="X8" i="71"/>
  <c r="X7" i="71"/>
  <c r="AA7" i="71"/>
  <c r="J1" i="73"/>
  <c r="M56" i="85"/>
  <c r="J56" i="85"/>
  <c r="J57" i="85" s="1"/>
  <c r="J59" i="85" s="1"/>
  <c r="J61" i="85" s="1"/>
  <c r="N56" i="85"/>
  <c r="K56" i="85"/>
  <c r="M56" i="80"/>
  <c r="J56" i="80"/>
  <c r="J57" i="80" s="1"/>
  <c r="J59" i="80" s="1"/>
  <c r="J61" i="80" s="1"/>
  <c r="K56" i="80"/>
  <c r="N56" i="80"/>
  <c r="X10" i="71"/>
  <c r="Y10" i="71"/>
  <c r="Z10" i="71" s="1"/>
  <c r="V10" i="71"/>
  <c r="B10" i="71"/>
  <c r="C10" i="71"/>
  <c r="Y9" i="71"/>
  <c r="Z9" i="71" s="1"/>
  <c r="AA9" i="71"/>
  <c r="AB9" i="71"/>
  <c r="X9" i="71"/>
  <c r="AB6" i="71"/>
  <c r="AB5" i="71"/>
  <c r="X6" i="71"/>
  <c r="AA6" i="71"/>
  <c r="X5" i="71"/>
  <c r="AC35" i="33"/>
  <c r="U19" i="33"/>
  <c r="W42" i="33"/>
  <c r="S36" i="33"/>
  <c r="S23" i="33"/>
  <c r="AB34" i="33"/>
  <c r="AA34" i="33"/>
  <c r="AC32" i="33"/>
  <c r="W16" i="35"/>
  <c r="AC20" i="35"/>
  <c r="W28" i="35"/>
  <c r="AC18" i="35"/>
  <c r="U33" i="35"/>
  <c r="S32" i="35"/>
  <c r="F87" i="35"/>
  <c r="F29" i="35"/>
  <c r="U18" i="35"/>
  <c r="S25" i="33"/>
  <c r="AB27" i="33"/>
  <c r="S9" i="33"/>
  <c r="W43" i="33"/>
  <c r="S38" i="33"/>
  <c r="AA35" i="33"/>
  <c r="U35" i="33"/>
  <c r="AC27" i="33"/>
  <c r="S17" i="33"/>
  <c r="U15" i="33"/>
  <c r="AB10" i="33"/>
  <c r="AB25" i="33"/>
  <c r="W25" i="33"/>
  <c r="AB23" i="33"/>
  <c r="S19" i="33"/>
  <c r="AB17" i="33"/>
  <c r="S18" i="35"/>
  <c r="C51" i="10"/>
  <c r="A118" i="80"/>
  <c r="A2" i="80"/>
  <c r="F26" i="35"/>
  <c r="J26" i="35"/>
  <c r="H26" i="35"/>
  <c r="U7" i="33"/>
  <c r="G17" i="43"/>
  <c r="C16" i="43" s="1"/>
  <c r="C5" i="43" s="1"/>
  <c r="P74" i="67"/>
  <c r="J53" i="67"/>
  <c r="Q52" i="67" s="1"/>
  <c r="P61" i="15"/>
  <c r="J53" i="15"/>
  <c r="Q52" i="15" s="1"/>
  <c r="F32" i="15"/>
  <c r="F60" i="15" s="1"/>
  <c r="F31" i="12"/>
  <c r="C31" i="12" s="1"/>
  <c r="D68" i="9"/>
  <c r="F32" i="67"/>
  <c r="F60" i="67" s="1"/>
  <c r="F30" i="11"/>
  <c r="C48" i="11" s="1"/>
  <c r="C30" i="11"/>
  <c r="M18" i="15"/>
  <c r="F30" i="69"/>
  <c r="F28" i="67"/>
  <c r="C28" i="67" s="1"/>
  <c r="F30" i="68"/>
  <c r="C36" i="68"/>
  <c r="F54" i="9"/>
  <c r="F28" i="15"/>
  <c r="C28" i="15" s="1"/>
  <c r="M18" i="67"/>
  <c r="F52" i="9"/>
  <c r="F27" i="68"/>
  <c r="C29" i="68" s="1"/>
  <c r="D27" i="68" s="1"/>
  <c r="C36" i="69"/>
  <c r="G16" i="1"/>
  <c r="B113" i="43"/>
  <c r="F101" i="43"/>
  <c r="E22" i="43"/>
  <c r="C101" i="43"/>
  <c r="N104" i="46"/>
  <c r="L101" i="43"/>
  <c r="D101" i="43"/>
  <c r="I101" i="43"/>
  <c r="G22" i="43"/>
  <c r="AH11" i="43"/>
  <c r="AH13" i="43" s="1"/>
  <c r="AD11" i="43"/>
  <c r="AD13" i="43" s="1"/>
  <c r="Z11" i="43"/>
  <c r="Z13" i="43" s="1"/>
  <c r="S5" i="43"/>
  <c r="AG11" i="43"/>
  <c r="AG13" i="43" s="1"/>
  <c r="AC11" i="43"/>
  <c r="AC13" i="43" s="1"/>
  <c r="Y11" i="43"/>
  <c r="Y13" i="43" s="1"/>
  <c r="S6" i="43"/>
  <c r="S4" i="43"/>
  <c r="S7" i="43"/>
  <c r="F22" i="43"/>
  <c r="K101" i="43"/>
  <c r="N101" i="43"/>
  <c r="G101" i="43"/>
  <c r="J101" i="43"/>
  <c r="H22" i="43"/>
  <c r="H101" i="43"/>
  <c r="M101" i="43"/>
  <c r="M104" i="43" s="1"/>
  <c r="E101" i="43"/>
  <c r="S2" i="43"/>
  <c r="AJ11" i="43"/>
  <c r="AJ13" i="43" s="1"/>
  <c r="AF11" i="43"/>
  <c r="AF13" i="43" s="1"/>
  <c r="AB11" i="43"/>
  <c r="AB13" i="43" s="1"/>
  <c r="Z7" i="43"/>
  <c r="AI11" i="43"/>
  <c r="AI13" i="43" s="1"/>
  <c r="AE11" i="43"/>
  <c r="AE13" i="43" s="1"/>
  <c r="AA11" i="43"/>
  <c r="AA13" i="43" s="1"/>
  <c r="C23" i="43"/>
  <c r="C21" i="43" s="1"/>
  <c r="S3" i="43"/>
  <c r="J22" i="43"/>
  <c r="E57" i="40"/>
  <c r="E62" i="39"/>
  <c r="E534" i="3"/>
  <c r="E532" i="3"/>
  <c r="E493" i="3"/>
  <c r="K6" i="3"/>
  <c r="E525" i="3"/>
  <c r="E519" i="3"/>
  <c r="E393" i="3"/>
  <c r="E330" i="3"/>
  <c r="E369" i="3"/>
  <c r="E313" i="3"/>
  <c r="E105" i="3"/>
  <c r="E133" i="3"/>
  <c r="E173" i="3"/>
  <c r="E193" i="3"/>
  <c r="E116" i="3"/>
  <c r="E177" i="3"/>
  <c r="E197" i="3"/>
  <c r="E224" i="3"/>
  <c r="E238" i="3"/>
  <c r="E277" i="3"/>
  <c r="E223" i="3"/>
  <c r="E45" i="3"/>
  <c r="E85" i="3"/>
  <c r="E120" i="3"/>
  <c r="E140" i="3"/>
  <c r="E109" i="43"/>
  <c r="H105" i="43"/>
  <c r="H106" i="43"/>
  <c r="M105" i="43"/>
  <c r="E105" i="43"/>
  <c r="E107" i="43"/>
  <c r="E89" i="3"/>
  <c r="E157" i="3"/>
  <c r="E122" i="3"/>
  <c r="E181" i="3"/>
  <c r="E269" i="3"/>
  <c r="E228" i="3"/>
  <c r="E148" i="3"/>
  <c r="E188" i="3"/>
  <c r="E236" i="3"/>
  <c r="E99" i="3"/>
  <c r="E156" i="3"/>
  <c r="E191" i="3"/>
  <c r="E136" i="3"/>
  <c r="E159" i="3"/>
  <c r="E196" i="3"/>
  <c r="E245" i="3"/>
  <c r="E262" i="3"/>
  <c r="E301" i="3"/>
  <c r="E244" i="3"/>
  <c r="E263" i="3"/>
  <c r="E296" i="3"/>
  <c r="E303" i="3"/>
  <c r="E368" i="3"/>
  <c r="E382" i="3"/>
  <c r="E306" i="3"/>
  <c r="E350" i="3"/>
  <c r="E453" i="3"/>
  <c r="E423" i="3"/>
  <c r="E402" i="3"/>
  <c r="E578" i="3"/>
  <c r="E586" i="3"/>
  <c r="AI6" i="3"/>
  <c r="AN6" i="3"/>
  <c r="E518" i="3"/>
  <c r="E495" i="3"/>
  <c r="E385" i="3"/>
  <c r="E353" i="3"/>
  <c r="E151" i="3"/>
  <c r="E201" i="3"/>
  <c r="E247" i="3"/>
  <c r="E431" i="3"/>
  <c r="E579" i="3"/>
  <c r="E509" i="3"/>
  <c r="D9" i="68"/>
  <c r="C9" i="68" s="1"/>
  <c r="D9" i="69"/>
  <c r="C9" i="69" s="1"/>
  <c r="E56" i="40"/>
  <c r="C36" i="11"/>
  <c r="M18" i="9"/>
  <c r="B118" i="9" s="1"/>
  <c r="B14" i="74" s="1"/>
  <c r="B1" i="74" s="1"/>
  <c r="D3" i="33"/>
  <c r="E143" i="3"/>
  <c r="E285" i="3"/>
  <c r="E337" i="3"/>
  <c r="E359" i="3"/>
  <c r="E410" i="3"/>
  <c r="E574" i="3"/>
  <c r="E555" i="3"/>
  <c r="O6" i="3"/>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F27" i="6"/>
  <c r="E51" i="40"/>
  <c r="E56" i="39"/>
  <c r="E16" i="6"/>
  <c r="F10" i="39"/>
  <c r="AA10" i="39" s="1"/>
  <c r="J10" i="40"/>
  <c r="W10" i="40" s="1"/>
  <c r="F27" i="11"/>
  <c r="F28" i="12"/>
  <c r="C29" i="12" s="1"/>
  <c r="D28" i="12" s="1"/>
  <c r="H16" i="1"/>
  <c r="M7" i="1"/>
  <c r="O7" i="1" s="1"/>
  <c r="P7" i="1" s="1"/>
  <c r="T8" i="1"/>
  <c r="E59" i="40"/>
  <c r="P6" i="1"/>
  <c r="O9" i="1"/>
  <c r="P9" i="1" s="1"/>
  <c r="O8" i="1"/>
  <c r="O14" i="1"/>
  <c r="P14" i="1" s="1"/>
  <c r="A15" i="62"/>
  <c r="B61" i="72" s="1"/>
  <c r="J10" i="39"/>
  <c r="F10" i="40"/>
  <c r="D10" i="52"/>
  <c r="D125" i="9"/>
  <c r="D11" i="52" s="1"/>
  <c r="H14" i="74"/>
  <c r="B7" i="74" s="1"/>
  <c r="D17" i="53"/>
  <c r="B36" i="72" s="1"/>
  <c r="L59" i="34"/>
  <c r="M59" i="34" s="1"/>
  <c r="N59" i="34" s="1"/>
  <c r="O59" i="34" s="1"/>
  <c r="S10" i="39"/>
  <c r="AC7" i="33"/>
  <c r="J7" i="34"/>
  <c r="F48" i="35"/>
  <c r="C70" i="39"/>
  <c r="D68" i="39"/>
  <c r="H10" i="40"/>
  <c r="H10" i="39"/>
  <c r="H7" i="34"/>
  <c r="G52" i="37"/>
  <c r="E46" i="36"/>
  <c r="D58" i="21"/>
  <c r="C94" i="9"/>
  <c r="C92" i="9"/>
  <c r="C20" i="43"/>
  <c r="F7" i="71"/>
  <c r="F6" i="71" s="1"/>
  <c r="F5" i="71" s="1"/>
  <c r="Y6" i="71"/>
  <c r="Z6" i="71" s="1"/>
  <c r="B7" i="49"/>
  <c r="E4" i="4" s="1"/>
  <c r="B5" i="62" s="1"/>
  <c r="B73" i="72" s="1"/>
  <c r="E7" i="49"/>
  <c r="B15" i="49"/>
  <c r="AB3" i="71"/>
  <c r="X3" i="71"/>
  <c r="E7" i="71"/>
  <c r="E6" i="71" s="1"/>
  <c r="E10" i="49"/>
  <c r="B6" i="49"/>
  <c r="E14" i="49"/>
  <c r="AF3" i="71"/>
  <c r="P24" i="43" s="1"/>
  <c r="B66" i="40" s="1"/>
  <c r="P22" i="43"/>
  <c r="C23" i="12"/>
  <c r="C29" i="69"/>
  <c r="D27" i="69" s="1"/>
  <c r="B13" i="49"/>
  <c r="C4" i="4"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M17" i="15"/>
  <c r="F59" i="15"/>
  <c r="F31" i="67"/>
  <c r="C16" i="15"/>
  <c r="C16" i="67"/>
  <c r="D120" i="9" l="1"/>
  <c r="D8" i="53"/>
  <c r="U32" i="33"/>
  <c r="S32" i="33"/>
  <c r="S31" i="33"/>
  <c r="AA31" i="33"/>
  <c r="C9" i="71"/>
  <c r="T10" i="71"/>
  <c r="D10" i="71"/>
  <c r="U10" i="71" s="1"/>
  <c r="B52" i="71"/>
  <c r="N53" i="71"/>
  <c r="AZ550" i="3"/>
  <c r="AZ5" i="3" s="1"/>
  <c r="BL5" i="3"/>
  <c r="AB33" i="40"/>
  <c r="U33" i="40"/>
  <c r="AA27" i="37"/>
  <c r="S27" i="37"/>
  <c r="AC27" i="37"/>
  <c r="W27" i="37"/>
  <c r="W23" i="35"/>
  <c r="AC23" i="35"/>
  <c r="AB28" i="35"/>
  <c r="U28" i="35"/>
  <c r="AB14" i="35"/>
  <c r="U14" i="35"/>
  <c r="AB9" i="34"/>
  <c r="U9" i="34"/>
  <c r="AB42" i="33"/>
  <c r="U42" i="33"/>
  <c r="E60" i="40"/>
  <c r="E65" i="39"/>
  <c r="BA5" i="3"/>
  <c r="AB9" i="37"/>
  <c r="U9" i="37"/>
  <c r="U24" i="36"/>
  <c r="AB24" i="36"/>
  <c r="S12" i="36"/>
  <c r="AA12" i="36"/>
  <c r="W12" i="36"/>
  <c r="AC12" i="36"/>
  <c r="AA35" i="35"/>
  <c r="S35" i="35"/>
  <c r="AB25" i="35"/>
  <c r="U25" i="35"/>
  <c r="W25" i="35"/>
  <c r="AC25" i="35"/>
  <c r="AC13" i="35"/>
  <c r="W13" i="35"/>
  <c r="W47" i="34"/>
  <c r="AC47" i="34"/>
  <c r="U47" i="34"/>
  <c r="AB47" i="34"/>
  <c r="W45" i="34"/>
  <c r="AC45" i="34"/>
  <c r="S31" i="34"/>
  <c r="AA31" i="34"/>
  <c r="AC31" i="34"/>
  <c r="W31" i="34"/>
  <c r="S29" i="34"/>
  <c r="AA29" i="34"/>
  <c r="U30" i="33"/>
  <c r="AB30" i="33"/>
  <c r="U10" i="35"/>
  <c r="AB10" i="35"/>
  <c r="AB26" i="33"/>
  <c r="U26" i="33"/>
  <c r="AZ586" i="3"/>
  <c r="W28" i="34"/>
  <c r="AC28" i="34"/>
  <c r="E5" i="71"/>
  <c r="V6" i="71"/>
  <c r="P21" i="43"/>
  <c r="F7" i="34"/>
  <c r="AA7" i="34" s="1"/>
  <c r="R49" i="34" s="1"/>
  <c r="B9" i="71"/>
  <c r="B8" i="71" s="1"/>
  <c r="B7" i="71" s="1"/>
  <c r="B6" i="71" s="1"/>
  <c r="S10" i="71"/>
  <c r="T26" i="71"/>
  <c r="D26" i="71"/>
  <c r="C12" i="71"/>
  <c r="D12" i="71" s="1"/>
  <c r="D13" i="71"/>
  <c r="AA39" i="37"/>
  <c r="S39" i="37"/>
  <c r="AA33" i="40"/>
  <c r="S33" i="40"/>
  <c r="AA14" i="37"/>
  <c r="S14" i="37"/>
  <c r="W14" i="37"/>
  <c r="AC14" i="37"/>
  <c r="AA23" i="35"/>
  <c r="S23" i="35"/>
  <c r="AB23" i="35"/>
  <c r="U23" i="35"/>
  <c r="F64" i="35"/>
  <c r="G64" i="35" s="1"/>
  <c r="J14" i="35"/>
  <c r="F14" i="35"/>
  <c r="AC9" i="34"/>
  <c r="W9" i="34"/>
  <c r="F30" i="6"/>
  <c r="F31" i="6" s="1"/>
  <c r="E28" i="6"/>
  <c r="E58" i="40"/>
  <c r="E63" i="39"/>
  <c r="E66" i="39" s="1"/>
  <c r="AA9" i="37"/>
  <c r="S9" i="37"/>
  <c r="AC9" i="37"/>
  <c r="W9" i="37"/>
  <c r="AC24" i="36"/>
  <c r="W24" i="36"/>
  <c r="AB12" i="36"/>
  <c r="U12" i="36"/>
  <c r="U35" i="35"/>
  <c r="AB35" i="35"/>
  <c r="AC35" i="35"/>
  <c r="W35" i="35"/>
  <c r="S25" i="35"/>
  <c r="AA25" i="35"/>
  <c r="AB13" i="35"/>
  <c r="U13" i="35"/>
  <c r="S13" i="35"/>
  <c r="AA13" i="35"/>
  <c r="AA47" i="34"/>
  <c r="S47" i="34"/>
  <c r="S45" i="34"/>
  <c r="AA45" i="34"/>
  <c r="U45" i="34"/>
  <c r="AB45" i="34"/>
  <c r="U31" i="34"/>
  <c r="AB31" i="34"/>
  <c r="AB29" i="34"/>
  <c r="U29" i="34"/>
  <c r="AA30" i="33"/>
  <c r="S30" i="33"/>
  <c r="S10" i="35"/>
  <c r="AA10" i="35"/>
  <c r="W26" i="33"/>
  <c r="AC26" i="33"/>
  <c r="D65" i="40"/>
  <c r="E63" i="40"/>
  <c r="C47" i="68"/>
  <c r="D45" i="68" s="1"/>
  <c r="S29" i="35"/>
  <c r="AA29" i="35"/>
  <c r="G87" i="35"/>
  <c r="H87" i="35" s="1"/>
  <c r="I87" i="35" s="1"/>
  <c r="J87" i="35" s="1"/>
  <c r="K87" i="35" s="1"/>
  <c r="L87" i="35" s="1"/>
  <c r="M87" i="35" s="1"/>
  <c r="J29" i="35"/>
  <c r="H29" i="35"/>
  <c r="AC26" i="35"/>
  <c r="W26" i="35"/>
  <c r="AB26" i="35"/>
  <c r="U26" i="35"/>
  <c r="AA26" i="35"/>
  <c r="S26" i="35"/>
  <c r="D5" i="43"/>
  <c r="F1" i="67"/>
  <c r="F1" i="15"/>
  <c r="C30" i="68"/>
  <c r="C48" i="68"/>
  <c r="C48" i="69"/>
  <c r="C30" i="69"/>
  <c r="AC10" i="40"/>
  <c r="M109" i="43"/>
  <c r="M102" i="43"/>
  <c r="M103" i="43"/>
  <c r="M106" i="43"/>
  <c r="H6" i="3"/>
  <c r="AC6" i="3"/>
  <c r="M107" i="43"/>
  <c r="E104" i="43"/>
  <c r="E106" i="43"/>
  <c r="E102" i="43"/>
  <c r="E103" i="43"/>
  <c r="H107" i="43"/>
  <c r="H103" i="43"/>
  <c r="H102" i="43"/>
  <c r="H104" i="43"/>
  <c r="H109" i="43"/>
  <c r="J104" i="43"/>
  <c r="J105" i="43"/>
  <c r="J107" i="43"/>
  <c r="J102" i="43"/>
  <c r="J106" i="43"/>
  <c r="J109" i="43"/>
  <c r="J103" i="43"/>
  <c r="N102" i="43"/>
  <c r="N105" i="43"/>
  <c r="N107" i="43"/>
  <c r="N109" i="43"/>
  <c r="N103" i="43"/>
  <c r="N106" i="43"/>
  <c r="N104" i="43"/>
  <c r="I109" i="43"/>
  <c r="I102" i="43"/>
  <c r="I106" i="43"/>
  <c r="I103" i="43"/>
  <c r="I104" i="43"/>
  <c r="I107" i="43"/>
  <c r="I105" i="43"/>
  <c r="L109" i="43"/>
  <c r="L102" i="43"/>
  <c r="L105" i="43"/>
  <c r="L104" i="43"/>
  <c r="L106" i="43"/>
  <c r="L107" i="43"/>
  <c r="L103" i="43"/>
  <c r="C104" i="43"/>
  <c r="C107" i="43"/>
  <c r="C103" i="43"/>
  <c r="C102" i="43"/>
  <c r="C106" i="43"/>
  <c r="C105" i="43"/>
  <c r="C109" i="43"/>
  <c r="F104" i="43"/>
  <c r="F102" i="43"/>
  <c r="F103" i="43"/>
  <c r="F109" i="43"/>
  <c r="F107" i="43"/>
  <c r="F106" i="43"/>
  <c r="F105" i="43"/>
  <c r="G105" i="43"/>
  <c r="G102" i="43"/>
  <c r="G107" i="43"/>
  <c r="G104" i="43"/>
  <c r="G103" i="43"/>
  <c r="G106" i="43"/>
  <c r="G109" i="43"/>
  <c r="K103" i="43"/>
  <c r="K102" i="43"/>
  <c r="K106" i="43"/>
  <c r="K109" i="43"/>
  <c r="K107" i="43"/>
  <c r="K104" i="43"/>
  <c r="K105" i="43"/>
  <c r="D22" i="43"/>
  <c r="D109" i="43"/>
  <c r="D103" i="43"/>
  <c r="D104" i="43"/>
  <c r="D107" i="43"/>
  <c r="D105" i="43"/>
  <c r="D106" i="43"/>
  <c r="D102"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E27" i="6"/>
  <c r="O16" i="1"/>
  <c r="C47" i="11"/>
  <c r="D45" i="11" s="1"/>
  <c r="C29" i="11"/>
  <c r="D27" i="11" s="1"/>
  <c r="P8" i="1"/>
  <c r="P16" i="1"/>
  <c r="C11" i="12" s="1"/>
  <c r="AA10" i="40"/>
  <c r="S10" i="40"/>
  <c r="AC10" i="39"/>
  <c r="W10" i="39"/>
  <c r="C7" i="74"/>
  <c r="B4" i="62"/>
  <c r="B71" i="72" s="1"/>
  <c r="K4" i="4"/>
  <c r="B46" i="48" s="1"/>
  <c r="B4" i="72" s="1"/>
  <c r="E58" i="21"/>
  <c r="F58" i="21" s="1"/>
  <c r="G58" i="21" s="1"/>
  <c r="H58" i="21" s="1"/>
  <c r="I58" i="21" s="1"/>
  <c r="J58" i="21" s="1"/>
  <c r="K58" i="21" s="1"/>
  <c r="L58" i="21" s="1"/>
  <c r="M58" i="21" s="1"/>
  <c r="N58" i="21" s="1"/>
  <c r="O58" i="21" s="1"/>
  <c r="H7" i="21"/>
  <c r="F46" i="36"/>
  <c r="G46" i="36" s="1"/>
  <c r="H46" i="36" s="1"/>
  <c r="I46" i="36" s="1"/>
  <c r="J46" i="36" s="1"/>
  <c r="K46" i="36" s="1"/>
  <c r="L46" i="36" s="1"/>
  <c r="M46" i="36" s="1"/>
  <c r="N46" i="36" s="1"/>
  <c r="O46" i="36" s="1"/>
  <c r="J7" i="36"/>
  <c r="F7" i="36"/>
  <c r="U7" i="34"/>
  <c r="AB7" i="34"/>
  <c r="T49" i="34" s="1"/>
  <c r="G49" i="34" s="1"/>
  <c r="AB10" i="40"/>
  <c r="U10" i="40"/>
  <c r="W7" i="34"/>
  <c r="AC7" i="34"/>
  <c r="V49" i="34" s="1"/>
  <c r="I49" i="34" s="1"/>
  <c r="S7" i="34"/>
  <c r="F7" i="21"/>
  <c r="H7" i="36"/>
  <c r="H52" i="37"/>
  <c r="AB10" i="39"/>
  <c r="U10" i="39"/>
  <c r="D70" i="39"/>
  <c r="E68" i="39"/>
  <c r="G48" i="35"/>
  <c r="P23" i="43"/>
  <c r="B71" i="39" s="1"/>
  <c r="P25" i="43"/>
  <c r="C49" i="67"/>
  <c r="C49" i="15"/>
  <c r="M11" i="15"/>
  <c r="J10" i="15" s="1"/>
  <c r="J5" i="15" s="1"/>
  <c r="F11" i="67"/>
  <c r="F11" i="15"/>
  <c r="M11" i="67"/>
  <c r="J10" i="67" s="1"/>
  <c r="J5" i="67" s="1"/>
  <c r="Q73" i="67"/>
  <c r="Q60" i="67"/>
  <c r="Q60" i="15"/>
  <c r="Q73" i="15"/>
  <c r="Q74" i="15"/>
  <c r="Q61" i="15"/>
  <c r="Q61" i="67"/>
  <c r="Q74" i="67"/>
  <c r="D7" i="73"/>
  <c r="D3" i="73"/>
  <c r="AE6" i="1"/>
  <c r="D4" i="73"/>
  <c r="D5" i="73"/>
  <c r="G1" i="73" s="1"/>
  <c r="D6" i="73"/>
  <c r="AE7" i="1"/>
  <c r="D9" i="53" l="1"/>
  <c r="B25" i="72" s="1"/>
  <c r="B24" i="72"/>
  <c r="D6" i="52"/>
  <c r="D121" i="9"/>
  <c r="D7" i="52" s="1"/>
  <c r="K120" i="9"/>
  <c r="A18" i="62" s="1"/>
  <c r="B64" i="72" s="1"/>
  <c r="B40" i="1"/>
  <c r="F22" i="68" s="1"/>
  <c r="E20" i="43"/>
  <c r="E3" i="6"/>
  <c r="AY6" i="3"/>
  <c r="W14" i="35"/>
  <c r="AC14" i="35"/>
  <c r="B5" i="71"/>
  <c r="S6" i="71"/>
  <c r="N51" i="71"/>
  <c r="N52" i="71"/>
  <c r="J7" i="21"/>
  <c r="F63" i="40"/>
  <c r="E65" i="40"/>
  <c r="E30" i="6"/>
  <c r="K14" i="1"/>
  <c r="AA14" i="35"/>
  <c r="S14" i="35"/>
  <c r="C8" i="71"/>
  <c r="D9" i="71"/>
  <c r="W29" i="35"/>
  <c r="AC29" i="35"/>
  <c r="AB29" i="35"/>
  <c r="U29" i="35"/>
  <c r="C115" i="43"/>
  <c r="D113" i="43" s="1"/>
  <c r="E6" i="3"/>
  <c r="E31" i="6"/>
  <c r="K26" i="6"/>
  <c r="M26" i="6" s="1"/>
  <c r="I26" i="6" s="1"/>
  <c r="S26" i="6" s="1"/>
  <c r="K19" i="6"/>
  <c r="S6" i="1" s="1"/>
  <c r="K25" i="6"/>
  <c r="M25" i="6" s="1"/>
  <c r="I25" i="6" s="1"/>
  <c r="S25" i="6" s="1"/>
  <c r="K21" i="6"/>
  <c r="M21" i="6" s="1"/>
  <c r="I21" i="6" s="1"/>
  <c r="S21" i="6" s="1"/>
  <c r="K22" i="6"/>
  <c r="M22" i="6" s="1"/>
  <c r="I22" i="6" s="1"/>
  <c r="S22" i="6" s="1"/>
  <c r="K23" i="6"/>
  <c r="M23" i="6" s="1"/>
  <c r="I23" i="6" s="1"/>
  <c r="S23" i="6" s="1"/>
  <c r="K24" i="6"/>
  <c r="M24" i="6" s="1"/>
  <c r="I24" i="6" s="1"/>
  <c r="S24" i="6" s="1"/>
  <c r="K20" i="6"/>
  <c r="C15" i="12"/>
  <c r="C12" i="12"/>
  <c r="H48" i="35"/>
  <c r="S7" i="21"/>
  <c r="AA7" i="21"/>
  <c r="R48" i="21" s="1"/>
  <c r="G53" i="34"/>
  <c r="H53" i="34" s="1"/>
  <c r="G54" i="34"/>
  <c r="H54" i="34" s="1"/>
  <c r="S7" i="36"/>
  <c r="AA7" i="36"/>
  <c r="R36" i="36" s="1"/>
  <c r="AC7" i="21"/>
  <c r="V48" i="21" s="1"/>
  <c r="I48" i="21" s="1"/>
  <c r="W7" i="21"/>
  <c r="F68" i="39"/>
  <c r="E70" i="39"/>
  <c r="I52" i="37"/>
  <c r="J52" i="37" s="1"/>
  <c r="K52" i="37" s="1"/>
  <c r="L52" i="37" s="1"/>
  <c r="M52" i="37" s="1"/>
  <c r="N52" i="37" s="1"/>
  <c r="O52" i="37" s="1"/>
  <c r="H7" i="37"/>
  <c r="U7" i="36"/>
  <c r="AB7" i="36"/>
  <c r="T36" i="36" s="1"/>
  <c r="G36" i="36" s="1"/>
  <c r="E49" i="34"/>
  <c r="R50" i="34"/>
  <c r="I53" i="34"/>
  <c r="J53" i="34" s="1"/>
  <c r="AC7" i="36"/>
  <c r="V36" i="36" s="1"/>
  <c r="I36" i="36" s="1"/>
  <c r="W7" i="36"/>
  <c r="AB7" i="21"/>
  <c r="T48" i="21" s="1"/>
  <c r="G48" i="21" s="1"/>
  <c r="U7" i="21"/>
  <c r="J24" i="67"/>
  <c r="J26" i="67"/>
  <c r="J18" i="67"/>
  <c r="C53" i="67"/>
  <c r="C48" i="67" s="1"/>
  <c r="C10" i="67"/>
  <c r="C5" i="67" s="1"/>
  <c r="J24" i="15"/>
  <c r="J18" i="15"/>
  <c r="J26" i="15"/>
  <c r="C53" i="15"/>
  <c r="C48" i="15" s="1"/>
  <c r="C10" i="15"/>
  <c r="C5" i="15" s="1"/>
  <c r="F24" i="67"/>
  <c r="C24" i="67" s="1"/>
  <c r="C17" i="15"/>
  <c r="F41" i="67"/>
  <c r="F41" i="15"/>
  <c r="F25" i="12" l="1"/>
  <c r="F22" i="11"/>
  <c r="C23" i="11" s="1"/>
  <c r="F24" i="15"/>
  <c r="C24" i="15" s="1"/>
  <c r="F22" i="69"/>
  <c r="C44" i="69" s="1"/>
  <c r="D41" i="69" s="1"/>
  <c r="E6" i="70"/>
  <c r="D8" i="71"/>
  <c r="C7" i="71"/>
  <c r="F65" i="40"/>
  <c r="G63"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264" i="3"/>
  <c r="AY376"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32" i="3"/>
  <c r="AY362"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44"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280" i="3"/>
  <c r="AY221" i="3"/>
  <c r="AY331"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49" i="3"/>
  <c r="AY378"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P28" i="43"/>
  <c r="N28" i="43"/>
  <c r="M28" i="43"/>
  <c r="O28" i="43"/>
  <c r="J7" i="37"/>
  <c r="AC7" i="37" s="1"/>
  <c r="V42" i="37" s="1"/>
  <c r="I42" i="37" s="1"/>
  <c r="M14" i="1"/>
  <c r="M16" i="1" s="1"/>
  <c r="C34" i="69"/>
  <c r="K16" i="1"/>
  <c r="M18" i="85"/>
  <c r="B118" i="85" s="1"/>
  <c r="L18" i="85"/>
  <c r="D3" i="34"/>
  <c r="C17" i="4"/>
  <c r="B4" i="52" s="1"/>
  <c r="B43" i="72" s="1"/>
  <c r="D37" i="11"/>
  <c r="C37" i="11" s="1"/>
  <c r="E6" i="6"/>
  <c r="D3" i="21"/>
  <c r="D3" i="37"/>
  <c r="D14" i="12"/>
  <c r="D19" i="11"/>
  <c r="C19" i="11" s="1"/>
  <c r="C20" i="11" s="1"/>
  <c r="C28" i="11" s="1"/>
  <c r="C27" i="11" s="1"/>
  <c r="F69" i="67"/>
  <c r="F69" i="15"/>
  <c r="J29" i="67"/>
  <c r="J29" i="15"/>
  <c r="H23" i="6"/>
  <c r="M20" i="6"/>
  <c r="I20" i="6" s="1"/>
  <c r="S7" i="1"/>
  <c r="AQ6" i="1"/>
  <c r="T6" i="1"/>
  <c r="AR6" i="1"/>
  <c r="S16" i="1"/>
  <c r="H20" i="6"/>
  <c r="K27" i="6"/>
  <c r="M19" i="6"/>
  <c r="E54" i="34"/>
  <c r="F54" i="34" s="1"/>
  <c r="E53" i="34"/>
  <c r="F53" i="34" s="1"/>
  <c r="W7" i="37"/>
  <c r="R37" i="36"/>
  <c r="E36" i="36"/>
  <c r="F7" i="37"/>
  <c r="G52" i="21"/>
  <c r="H52" i="21" s="1"/>
  <c r="G53" i="21"/>
  <c r="H53" i="21" s="1"/>
  <c r="I40" i="36"/>
  <c r="J40" i="36" s="1"/>
  <c r="I54" i="34"/>
  <c r="J54" i="34" s="1"/>
  <c r="C49" i="34"/>
  <c r="C50" i="34"/>
  <c r="B2" i="34" s="1"/>
  <c r="B3" i="34" s="1"/>
  <c r="G40" i="36"/>
  <c r="H40" i="36" s="1"/>
  <c r="G41" i="36"/>
  <c r="H41" i="36" s="1"/>
  <c r="AB7" i="37"/>
  <c r="T42" i="37" s="1"/>
  <c r="G42" i="37" s="1"/>
  <c r="U7" i="37"/>
  <c r="G68" i="39"/>
  <c r="F70" i="39"/>
  <c r="I52" i="21"/>
  <c r="J52" i="21" s="1"/>
  <c r="R49" i="21"/>
  <c r="E48" i="21"/>
  <c r="I48" i="35"/>
  <c r="C23" i="68"/>
  <c r="C26" i="68"/>
  <c r="D22" i="68" s="1"/>
  <c r="C44" i="68"/>
  <c r="D41" i="68" s="1"/>
  <c r="C38" i="15"/>
  <c r="C32" i="15"/>
  <c r="C26" i="12"/>
  <c r="D25" i="12" s="1"/>
  <c r="C44" i="11"/>
  <c r="D41" i="11" s="1"/>
  <c r="C66" i="15"/>
  <c r="C60" i="15"/>
  <c r="C60" i="67"/>
  <c r="C66" i="67"/>
  <c r="C38" i="67"/>
  <c r="C32" i="67"/>
  <c r="C17" i="67"/>
  <c r="C14" i="67"/>
  <c r="C14" i="15"/>
  <c r="C25" i="11" l="1"/>
  <c r="C26" i="69"/>
  <c r="D22" i="69" s="1"/>
  <c r="C26" i="11"/>
  <c r="D22" i="11" s="1"/>
  <c r="C24" i="11"/>
  <c r="C18" i="15"/>
  <c r="C15" i="15"/>
  <c r="C18" i="67"/>
  <c r="C15" i="67"/>
  <c r="S20" i="6"/>
  <c r="L18" i="80"/>
  <c r="D17" i="12"/>
  <c r="C17" i="12" s="1"/>
  <c r="C14" i="12"/>
  <c r="C16" i="12" s="1"/>
  <c r="C38" i="69"/>
  <c r="C35" i="69"/>
  <c r="E7" i="70"/>
  <c r="D20" i="12"/>
  <c r="C20" i="12" s="1"/>
  <c r="C18" i="12" s="1"/>
  <c r="D10" i="68"/>
  <c r="D10" i="69"/>
  <c r="D10" i="11"/>
  <c r="C10" i="11" s="1"/>
  <c r="C34" i="68"/>
  <c r="N16" i="1"/>
  <c r="L16" i="1"/>
  <c r="C34" i="11"/>
  <c r="M19" i="85"/>
  <c r="C118" i="85" s="1"/>
  <c r="L19" i="85"/>
  <c r="D25" i="6"/>
  <c r="R25" i="6" s="1"/>
  <c r="D22" i="6"/>
  <c r="D24" i="6"/>
  <c r="D9" i="6"/>
  <c r="D26" i="6"/>
  <c r="D8" i="6"/>
  <c r="D20" i="6"/>
  <c r="D12" i="6"/>
  <c r="D13" i="6"/>
  <c r="E61" i="40"/>
  <c r="H24" i="6"/>
  <c r="R24" i="6" s="1"/>
  <c r="H25" i="6"/>
  <c r="H26" i="6"/>
  <c r="D15" i="6"/>
  <c r="D21" i="6"/>
  <c r="D6" i="6"/>
  <c r="D10" i="6"/>
  <c r="D29" i="6"/>
  <c r="D19" i="6"/>
  <c r="C18" i="4"/>
  <c r="D23" i="6"/>
  <c r="R23" i="6" s="1"/>
  <c r="D5" i="6"/>
  <c r="D11" i="6"/>
  <c r="D28" i="6"/>
  <c r="D30" i="6" s="1"/>
  <c r="H21" i="6"/>
  <c r="D14" i="6"/>
  <c r="H22" i="6"/>
  <c r="R22" i="6" s="1"/>
  <c r="G65" i="40"/>
  <c r="H63" i="40"/>
  <c r="C6" i="71"/>
  <c r="D7" i="71"/>
  <c r="E2" i="70"/>
  <c r="AQ7" i="1"/>
  <c r="T7" i="1"/>
  <c r="T16" i="1" s="1"/>
  <c r="AR7" i="1"/>
  <c r="I19" i="6"/>
  <c r="L18" i="9" s="1"/>
  <c r="M27" i="6"/>
  <c r="E52" i="21"/>
  <c r="F52" i="21" s="1"/>
  <c r="E53" i="21"/>
  <c r="F53" i="21" s="1"/>
  <c r="H68" i="39"/>
  <c r="G70" i="39"/>
  <c r="G46" i="37"/>
  <c r="H46" i="37" s="1"/>
  <c r="G47" i="37"/>
  <c r="H47" i="37" s="1"/>
  <c r="AA7" i="37"/>
  <c r="R42" i="37" s="1"/>
  <c r="S7" i="37"/>
  <c r="E40" i="36"/>
  <c r="F40" i="36" s="1"/>
  <c r="E41" i="36"/>
  <c r="F41" i="36" s="1"/>
  <c r="I46" i="37"/>
  <c r="J46" i="37" s="1"/>
  <c r="J48" i="35"/>
  <c r="C48" i="21"/>
  <c r="C49" i="21"/>
  <c r="B2" i="21" s="1"/>
  <c r="B3" i="21" s="1"/>
  <c r="I53" i="21"/>
  <c r="J53" i="21" s="1"/>
  <c r="I41" i="36"/>
  <c r="J41" i="36" s="1"/>
  <c r="C37" i="36"/>
  <c r="B2" i="36" s="1"/>
  <c r="B3" i="36" s="1"/>
  <c r="C36" i="36"/>
  <c r="C33" i="15"/>
  <c r="J59" i="15"/>
  <c r="J60" i="15" s="1"/>
  <c r="C33" i="67"/>
  <c r="J59" i="67"/>
  <c r="J60" i="67" s="1"/>
  <c r="C22" i="11" l="1"/>
  <c r="C31" i="11" s="1"/>
  <c r="C19" i="67"/>
  <c r="C19" i="15"/>
  <c r="C20" i="15" s="1"/>
  <c r="C26" i="15" s="1"/>
  <c r="H65" i="40"/>
  <c r="I63" i="40"/>
  <c r="M19" i="9"/>
  <c r="C118" i="9" s="1"/>
  <c r="C14" i="74" s="1"/>
  <c r="D27" i="6"/>
  <c r="R21" i="6"/>
  <c r="L19" i="80"/>
  <c r="M19" i="80"/>
  <c r="C118" i="80" s="1"/>
  <c r="C15" i="74" s="1"/>
  <c r="R26" i="6"/>
  <c r="C35" i="68"/>
  <c r="C38" i="68"/>
  <c r="D19" i="69"/>
  <c r="C10" i="69"/>
  <c r="C8" i="69" s="1"/>
  <c r="C5" i="69" s="1"/>
  <c r="C21" i="12"/>
  <c r="R20" i="6"/>
  <c r="R7" i="1" s="1"/>
  <c r="C20" i="67"/>
  <c r="C26" i="67" s="1"/>
  <c r="C5" i="71"/>
  <c r="D5" i="71" s="1"/>
  <c r="T6" i="71"/>
  <c r="D6" i="71"/>
  <c r="D31" i="6"/>
  <c r="C4" i="52"/>
  <c r="B45" i="72" s="1"/>
  <c r="A7" i="51"/>
  <c r="B7" i="72" s="1"/>
  <c r="A10" i="51"/>
  <c r="B9" i="72" s="1"/>
  <c r="D16" i="6"/>
  <c r="C38" i="11"/>
  <c r="C35" i="11"/>
  <c r="C33" i="11" s="1"/>
  <c r="F50" i="68"/>
  <c r="F50" i="11"/>
  <c r="F50" i="69"/>
  <c r="D19" i="68"/>
  <c r="C10" i="68"/>
  <c r="S19" i="6"/>
  <c r="S27" i="6" s="1"/>
  <c r="I27" i="6"/>
  <c r="H19" i="6"/>
  <c r="L19" i="9" s="1"/>
  <c r="K48" i="35"/>
  <c r="R43" i="37"/>
  <c r="E42" i="37"/>
  <c r="I68" i="39"/>
  <c r="H70" i="39"/>
  <c r="Q48" i="67"/>
  <c r="Q48" i="15"/>
  <c r="F35" i="67"/>
  <c r="M21" i="67"/>
  <c r="C23" i="15" l="1"/>
  <c r="C29" i="15" s="1"/>
  <c r="Q49" i="15" s="1"/>
  <c r="J20" i="67"/>
  <c r="F63" i="67"/>
  <c r="C62" i="67" s="1"/>
  <c r="C34" i="67"/>
  <c r="C31" i="67" s="1"/>
  <c r="C19" i="68"/>
  <c r="D37" i="68"/>
  <c r="C37" i="68" s="1"/>
  <c r="C33" i="68" s="1"/>
  <c r="C39" i="11"/>
  <c r="C43" i="11" s="1"/>
  <c r="C42" i="11"/>
  <c r="M20" i="43"/>
  <c r="C19" i="43" s="1"/>
  <c r="U6" i="71"/>
  <c r="C22" i="12"/>
  <c r="C30" i="12" s="1"/>
  <c r="C28" i="12" s="1"/>
  <c r="C19" i="69"/>
  <c r="C24" i="69" s="1"/>
  <c r="D37" i="69"/>
  <c r="C37" i="69" s="1"/>
  <c r="C33" i="69" s="1"/>
  <c r="B2" i="74"/>
  <c r="D7" i="74" s="1"/>
  <c r="I65" i="40"/>
  <c r="J63" i="40"/>
  <c r="C36" i="15"/>
  <c r="I5" i="6"/>
  <c r="I6" i="6"/>
  <c r="C11" i="33" s="1"/>
  <c r="C23" i="67"/>
  <c r="C29" i="67" s="1"/>
  <c r="F35" i="85" s="1"/>
  <c r="C23" i="69"/>
  <c r="H27" i="6"/>
  <c r="R19" i="6"/>
  <c r="E47" i="37"/>
  <c r="F47" i="37" s="1"/>
  <c r="E46" i="37"/>
  <c r="F46" i="37" s="1"/>
  <c r="I47" i="37"/>
  <c r="J47" i="37" s="1"/>
  <c r="J68" i="39"/>
  <c r="I70" i="39"/>
  <c r="C43" i="37"/>
  <c r="B2" i="37" s="1"/>
  <c r="B3" i="37" s="1"/>
  <c r="C42" i="37"/>
  <c r="L48" i="35"/>
  <c r="C13" i="15" l="1"/>
  <c r="C75" i="15" s="1"/>
  <c r="J19" i="15"/>
  <c r="C20" i="69"/>
  <c r="C28" i="69" s="1"/>
  <c r="C27" i="69" s="1"/>
  <c r="C57" i="15"/>
  <c r="C61" i="15" s="1"/>
  <c r="J14" i="15"/>
  <c r="J13" i="15" s="1"/>
  <c r="J23" i="15" s="1"/>
  <c r="C27" i="12"/>
  <c r="C25" i="12" s="1"/>
  <c r="C32" i="12" s="1"/>
  <c r="B2" i="12" s="1"/>
  <c r="B3" i="12" s="1"/>
  <c r="C41" i="11"/>
  <c r="C35" i="85"/>
  <c r="C57" i="67"/>
  <c r="J19" i="67"/>
  <c r="J17" i="67" s="1"/>
  <c r="C36" i="67"/>
  <c r="F35" i="80"/>
  <c r="J14" i="67"/>
  <c r="C13" i="67"/>
  <c r="Q49" i="67"/>
  <c r="C64" i="15"/>
  <c r="J22" i="15"/>
  <c r="C39" i="69"/>
  <c r="C42" i="69"/>
  <c r="C20" i="68"/>
  <c r="C24" i="68"/>
  <c r="J11" i="33"/>
  <c r="F11" i="33"/>
  <c r="H11" i="33"/>
  <c r="C56" i="15"/>
  <c r="C65" i="15" s="1"/>
  <c r="J65" i="40"/>
  <c r="K63" i="40"/>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C46" i="11"/>
  <c r="C45" i="11" s="1"/>
  <c r="C39" i="68"/>
  <c r="C43" i="68" s="1"/>
  <c r="C42" i="68"/>
  <c r="R27" i="6"/>
  <c r="R6" i="1"/>
  <c r="M48" i="35"/>
  <c r="K68" i="39"/>
  <c r="J70" i="39"/>
  <c r="L57" i="67"/>
  <c r="L60" i="67" s="1"/>
  <c r="L46" i="67" s="1"/>
  <c r="F35" i="15"/>
  <c r="M21" i="15"/>
  <c r="C49" i="11" l="1"/>
  <c r="C51" i="11" s="1"/>
  <c r="C52" i="11" s="1"/>
  <c r="B2" i="11" s="1"/>
  <c r="B3" i="11" s="1"/>
  <c r="Q70" i="15"/>
  <c r="C37" i="15"/>
  <c r="C25" i="69"/>
  <c r="C22" i="69" s="1"/>
  <c r="C41" i="68"/>
  <c r="C31" i="69"/>
  <c r="G39" i="43"/>
  <c r="I39" i="43" s="1"/>
  <c r="E39" i="43"/>
  <c r="G33" i="43"/>
  <c r="I33" i="43" s="1"/>
  <c r="E33" i="43"/>
  <c r="G34" i="43"/>
  <c r="I34" i="43" s="1"/>
  <c r="E34" i="43"/>
  <c r="AA11" i="33"/>
  <c r="R48" i="33" s="1"/>
  <c r="S11" i="33"/>
  <c r="C46" i="69"/>
  <c r="C45" i="69" s="1"/>
  <c r="C43" i="69"/>
  <c r="J22" i="67"/>
  <c r="J13" i="67"/>
  <c r="J23" i="67" s="1"/>
  <c r="C64" i="67"/>
  <c r="C61" i="67"/>
  <c r="C59" i="67" s="1"/>
  <c r="C46" i="68"/>
  <c r="C45" i="68" s="1"/>
  <c r="E38" i="43"/>
  <c r="G38" i="43"/>
  <c r="I38" i="43" s="1"/>
  <c r="E29" i="43"/>
  <c r="C30" i="43"/>
  <c r="E30" i="43" s="1"/>
  <c r="G36" i="43"/>
  <c r="I36" i="43" s="1"/>
  <c r="E36" i="43"/>
  <c r="G35" i="43"/>
  <c r="I35" i="43" s="1"/>
  <c r="E35" i="43"/>
  <c r="G37" i="43"/>
  <c r="I37" i="43" s="1"/>
  <c r="E37" i="43"/>
  <c r="L63" i="40"/>
  <c r="K65" i="40"/>
  <c r="AB11" i="33"/>
  <c r="T48" i="33" s="1"/>
  <c r="G48" i="33" s="1"/>
  <c r="U11" i="33"/>
  <c r="W11" i="33"/>
  <c r="AC11" i="33"/>
  <c r="V48" i="33" s="1"/>
  <c r="I48" i="33" s="1"/>
  <c r="C28" i="68"/>
  <c r="C27" i="68" s="1"/>
  <c r="C25" i="68"/>
  <c r="C22" i="68" s="1"/>
  <c r="C41" i="69"/>
  <c r="C37" i="67"/>
  <c r="C30" i="67" s="1"/>
  <c r="C39" i="67" s="1"/>
  <c r="C56" i="67"/>
  <c r="C65" i="67" s="1"/>
  <c r="C75" i="67"/>
  <c r="Q70" i="67"/>
  <c r="F63" i="15"/>
  <c r="C62" i="15" s="1"/>
  <c r="C59" i="15" s="1"/>
  <c r="C58" i="15" s="1"/>
  <c r="C67" i="15" s="1"/>
  <c r="C68" i="15" s="1"/>
  <c r="C34" i="15"/>
  <c r="C31" i="15" s="1"/>
  <c r="J20" i="15"/>
  <c r="J17" i="15" s="1"/>
  <c r="J16" i="15" s="1"/>
  <c r="J25" i="15" s="1"/>
  <c r="R16" i="1"/>
  <c r="L68" i="39"/>
  <c r="K70" i="39"/>
  <c r="N48" i="35"/>
  <c r="Q66" i="67"/>
  <c r="Q57" i="67"/>
  <c r="C30" i="15" l="1"/>
  <c r="C39" i="15" s="1"/>
  <c r="C40" i="15" s="1"/>
  <c r="C46" i="15" s="1"/>
  <c r="C27" i="43"/>
  <c r="C26" i="43"/>
  <c r="B2" i="43" s="1"/>
  <c r="C31" i="68"/>
  <c r="C49" i="68"/>
  <c r="C51" i="68" s="1"/>
  <c r="J16" i="67"/>
  <c r="J25" i="67" s="1"/>
  <c r="Q69" i="67"/>
  <c r="Q68" i="67" s="1"/>
  <c r="C40" i="67"/>
  <c r="I52" i="33"/>
  <c r="J52" i="33" s="1"/>
  <c r="R49" i="33"/>
  <c r="E48" i="33"/>
  <c r="C80" i="67"/>
  <c r="C79" i="67" s="1"/>
  <c r="C49" i="69"/>
  <c r="C51" i="69" s="1"/>
  <c r="G52" i="33"/>
  <c r="H52" i="33" s="1"/>
  <c r="G53" i="33"/>
  <c r="H53" i="33" s="1"/>
  <c r="M63" i="40"/>
  <c r="L65" i="40"/>
  <c r="C58" i="67"/>
  <c r="C67" i="67" s="1"/>
  <c r="C68" i="67" s="1"/>
  <c r="C56" i="11"/>
  <c r="C57" i="11" s="1"/>
  <c r="L57" i="15"/>
  <c r="L60" i="15" s="1"/>
  <c r="Q69" i="15"/>
  <c r="Q68" i="15" s="1"/>
  <c r="C80" i="15"/>
  <c r="C79" i="15" s="1"/>
  <c r="C71" i="15"/>
  <c r="O48" i="35"/>
  <c r="J7" i="35" s="1"/>
  <c r="M68" i="39"/>
  <c r="L70" i="39"/>
  <c r="L51" i="15"/>
  <c r="E6" i="76"/>
  <c r="B6" i="76"/>
  <c r="L51" i="67"/>
  <c r="Q67" i="15" l="1"/>
  <c r="C52" i="68"/>
  <c r="B2" i="68" s="1"/>
  <c r="B3" i="68" s="1"/>
  <c r="E2" i="76"/>
  <c r="Q67" i="67"/>
  <c r="B2" i="76"/>
  <c r="B3" i="76" s="1"/>
  <c r="C45" i="67"/>
  <c r="C46" i="67" s="1"/>
  <c r="C71" i="67"/>
  <c r="C52" i="69"/>
  <c r="B2" i="69" s="1"/>
  <c r="B3" i="69" s="1"/>
  <c r="C48" i="33"/>
  <c r="C49" i="33"/>
  <c r="B3" i="43"/>
  <c r="M65" i="40"/>
  <c r="N63" i="40"/>
  <c r="E53" i="33"/>
  <c r="F53" i="33" s="1"/>
  <c r="E52" i="33"/>
  <c r="F52" i="33" s="1"/>
  <c r="I53" i="33"/>
  <c r="J53" i="33" s="1"/>
  <c r="Q47" i="67"/>
  <c r="Q53" i="67" s="1"/>
  <c r="C43" i="67"/>
  <c r="Q56" i="67"/>
  <c r="Q62" i="67" s="1"/>
  <c r="Q65" i="67"/>
  <c r="Q75" i="67" s="1"/>
  <c r="C83" i="67"/>
  <c r="C82" i="67" s="1"/>
  <c r="D2" i="67"/>
  <c r="Q47" i="15"/>
  <c r="Q53" i="15" s="1"/>
  <c r="C83" i="15"/>
  <c r="C82" i="15" s="1"/>
  <c r="Q65" i="15"/>
  <c r="C43" i="15"/>
  <c r="Q56" i="15"/>
  <c r="L46" i="15"/>
  <c r="B2" i="15" s="1"/>
  <c r="Q57" i="15"/>
  <c r="Q66" i="15"/>
  <c r="W7" i="35"/>
  <c r="AC7" i="35"/>
  <c r="V38" i="35" s="1"/>
  <c r="I38" i="35" s="1"/>
  <c r="N68" i="39"/>
  <c r="M70" i="39"/>
  <c r="H7" i="35"/>
  <c r="F7" i="35"/>
  <c r="C19" i="9"/>
  <c r="AO6" i="1"/>
  <c r="C57" i="68" l="1"/>
  <c r="C56" i="68" s="1"/>
  <c r="C57" i="69"/>
  <c r="C56" i="69" s="1"/>
  <c r="B2" i="67"/>
  <c r="B3" i="67"/>
  <c r="N65" i="40"/>
  <c r="O63" i="40"/>
  <c r="O65" i="40" s="1"/>
  <c r="B2" i="33"/>
  <c r="B3" i="33"/>
  <c r="R24" i="31" s="1"/>
  <c r="Q75" i="15"/>
  <c r="C35" i="80"/>
  <c r="C102" i="9"/>
  <c r="C21" i="9"/>
  <c r="B6" i="70"/>
  <c r="B3" i="15"/>
  <c r="Q62" i="15"/>
  <c r="AA7" i="35"/>
  <c r="R38" i="35" s="1"/>
  <c r="S7" i="35"/>
  <c r="I42" i="35"/>
  <c r="J42" i="35" s="1"/>
  <c r="U7" i="35"/>
  <c r="AB7" i="35"/>
  <c r="T38" i="35" s="1"/>
  <c r="G38" i="35" s="1"/>
  <c r="O68" i="39"/>
  <c r="O70" i="39" s="1"/>
  <c r="N70" i="39"/>
  <c r="AO7" i="1"/>
  <c r="C19" i="85"/>
  <c r="C19" i="80"/>
  <c r="C20" i="9"/>
  <c r="D34" i="9"/>
  <c r="C20" i="80"/>
  <c r="C20" i="85"/>
  <c r="D35" i="9"/>
  <c r="C103" i="85" l="1"/>
  <c r="C103" i="80"/>
  <c r="C102" i="80"/>
  <c r="C21" i="80"/>
  <c r="C102" i="85"/>
  <c r="C21" i="85"/>
  <c r="B7" i="70"/>
  <c r="B2" i="70" s="1"/>
  <c r="B3" i="70" s="1"/>
  <c r="S24" i="31"/>
  <c r="R26" i="31"/>
  <c r="S26" i="31" s="1"/>
  <c r="R25" i="31"/>
  <c r="S25" i="31" s="1"/>
  <c r="R28" i="31"/>
  <c r="S28" i="31" s="1"/>
  <c r="R27" i="31"/>
  <c r="S27" i="31" s="1"/>
  <c r="H7" i="40"/>
  <c r="F7" i="40"/>
  <c r="J7" i="40"/>
  <c r="F118" i="80"/>
  <c r="F119" i="80" s="1"/>
  <c r="C103" i="9"/>
  <c r="G42" i="35"/>
  <c r="H42" i="35" s="1"/>
  <c r="G43" i="35"/>
  <c r="H43" i="35" s="1"/>
  <c r="F7" i="39"/>
  <c r="H7" i="39"/>
  <c r="J7" i="39"/>
  <c r="R39" i="35"/>
  <c r="E38" i="35"/>
  <c r="G118" i="80" l="1"/>
  <c r="S7" i="40"/>
  <c r="AA7" i="40"/>
  <c r="R42" i="40" s="1"/>
  <c r="S22" i="31"/>
  <c r="W7" i="40"/>
  <c r="AC7" i="40"/>
  <c r="V42" i="40" s="1"/>
  <c r="I42" i="40" s="1"/>
  <c r="I46" i="40" s="1"/>
  <c r="J46" i="40" s="1"/>
  <c r="U7" i="40"/>
  <c r="AB7" i="40"/>
  <c r="T42" i="40" s="1"/>
  <c r="G42" i="40" s="1"/>
  <c r="C39" i="35"/>
  <c r="B2" i="35" s="1"/>
  <c r="B3" i="35" s="1"/>
  <c r="C38" i="35"/>
  <c r="AB7" i="39"/>
  <c r="T47" i="39" s="1"/>
  <c r="G47" i="39" s="1"/>
  <c r="U7" i="39"/>
  <c r="E43" i="35"/>
  <c r="F43" i="35" s="1"/>
  <c r="E42" i="35"/>
  <c r="F42" i="35" s="1"/>
  <c r="I43" i="35"/>
  <c r="J43" i="35" s="1"/>
  <c r="AC7" i="39"/>
  <c r="V47" i="39" s="1"/>
  <c r="I47" i="39" s="1"/>
  <c r="W7" i="39"/>
  <c r="S7" i="39"/>
  <c r="AA7" i="39"/>
  <c r="R47" i="39" s="1"/>
  <c r="G47" i="40" l="1"/>
  <c r="H47" i="40" s="1"/>
  <c r="G46" i="40"/>
  <c r="H46" i="40" s="1"/>
  <c r="S24" i="81"/>
  <c r="R25" i="81"/>
  <c r="S25" i="81" s="1"/>
  <c r="R27" i="81"/>
  <c r="S27" i="81" s="1"/>
  <c r="R29" i="81"/>
  <c r="S29" i="81" s="1"/>
  <c r="R31" i="81"/>
  <c r="S31" i="81" s="1"/>
  <c r="R33" i="81"/>
  <c r="S33" i="81" s="1"/>
  <c r="R35" i="81"/>
  <c r="S35" i="81" s="1"/>
  <c r="R37" i="81"/>
  <c r="S37" i="81" s="1"/>
  <c r="R39" i="81"/>
  <c r="S39" i="81" s="1"/>
  <c r="R41" i="81"/>
  <c r="S41" i="81" s="1"/>
  <c r="R43" i="81"/>
  <c r="S43" i="81" s="1"/>
  <c r="R45" i="81"/>
  <c r="S45" i="81" s="1"/>
  <c r="R47" i="81"/>
  <c r="S47" i="81" s="1"/>
  <c r="R49" i="81"/>
  <c r="S49" i="81" s="1"/>
  <c r="R51" i="81"/>
  <c r="S51" i="81" s="1"/>
  <c r="R53" i="81"/>
  <c r="S53" i="81" s="1"/>
  <c r="R55" i="81"/>
  <c r="S55" i="81" s="1"/>
  <c r="R57" i="81"/>
  <c r="S57" i="81" s="1"/>
  <c r="R59" i="81"/>
  <c r="S59" i="81" s="1"/>
  <c r="R61" i="81"/>
  <c r="S61" i="81" s="1"/>
  <c r="R63" i="81"/>
  <c r="S63" i="81" s="1"/>
  <c r="R65" i="81"/>
  <c r="S65" i="81" s="1"/>
  <c r="R67" i="81"/>
  <c r="S67" i="81" s="1"/>
  <c r="R69" i="81"/>
  <c r="S69" i="81" s="1"/>
  <c r="R71" i="81"/>
  <c r="S71" i="81" s="1"/>
  <c r="R73" i="81"/>
  <c r="S73" i="81" s="1"/>
  <c r="R75" i="81"/>
  <c r="S75" i="81" s="1"/>
  <c r="R77" i="81"/>
  <c r="S77" i="81" s="1"/>
  <c r="R79" i="81"/>
  <c r="S79" i="81" s="1"/>
  <c r="R81" i="81"/>
  <c r="S81" i="81" s="1"/>
  <c r="R83" i="81"/>
  <c r="S83" i="81" s="1"/>
  <c r="R85" i="81"/>
  <c r="S85" i="81" s="1"/>
  <c r="R87" i="81"/>
  <c r="S87" i="81" s="1"/>
  <c r="R89" i="81"/>
  <c r="S89" i="81" s="1"/>
  <c r="R91" i="81"/>
  <c r="S91" i="81" s="1"/>
  <c r="R93" i="81"/>
  <c r="S93" i="81" s="1"/>
  <c r="R95" i="81"/>
  <c r="S95" i="81" s="1"/>
  <c r="R97" i="81"/>
  <c r="S97" i="81" s="1"/>
  <c r="R99" i="81"/>
  <c r="S99" i="81" s="1"/>
  <c r="R101" i="81"/>
  <c r="S101" i="81" s="1"/>
  <c r="R103" i="81"/>
  <c r="S103" i="81" s="1"/>
  <c r="R105" i="81"/>
  <c r="S105" i="81" s="1"/>
  <c r="R107" i="81"/>
  <c r="S107" i="81" s="1"/>
  <c r="R109" i="81"/>
  <c r="S109" i="81" s="1"/>
  <c r="R111" i="81"/>
  <c r="S111" i="81" s="1"/>
  <c r="R113" i="81"/>
  <c r="S113" i="81" s="1"/>
  <c r="R115" i="81"/>
  <c r="S115" i="81" s="1"/>
  <c r="R117" i="81"/>
  <c r="S117" i="81" s="1"/>
  <c r="R119" i="81"/>
  <c r="S119" i="81" s="1"/>
  <c r="R121" i="81"/>
  <c r="S121" i="81" s="1"/>
  <c r="R123" i="81"/>
  <c r="S123" i="81" s="1"/>
  <c r="R26" i="81"/>
  <c r="S26" i="81" s="1"/>
  <c r="R28" i="81"/>
  <c r="S28" i="81" s="1"/>
  <c r="R30" i="81"/>
  <c r="S30" i="81" s="1"/>
  <c r="R32" i="81"/>
  <c r="S32" i="81" s="1"/>
  <c r="R34" i="81"/>
  <c r="S34" i="81" s="1"/>
  <c r="R36" i="81"/>
  <c r="S36" i="81" s="1"/>
  <c r="R38" i="81"/>
  <c r="S38" i="81" s="1"/>
  <c r="R40" i="81"/>
  <c r="S40" i="81" s="1"/>
  <c r="R42" i="81"/>
  <c r="S42" i="81" s="1"/>
  <c r="R44" i="81"/>
  <c r="S44" i="81" s="1"/>
  <c r="R46" i="81"/>
  <c r="S46" i="81" s="1"/>
  <c r="R48" i="81"/>
  <c r="S48" i="81" s="1"/>
  <c r="R50" i="81"/>
  <c r="S50" i="81" s="1"/>
  <c r="R52" i="81"/>
  <c r="S52" i="81" s="1"/>
  <c r="R54" i="81"/>
  <c r="S54" i="81" s="1"/>
  <c r="R56" i="81"/>
  <c r="S56" i="81" s="1"/>
  <c r="R58" i="81"/>
  <c r="S58" i="81" s="1"/>
  <c r="R60" i="81"/>
  <c r="S60" i="81" s="1"/>
  <c r="R62" i="81"/>
  <c r="S62" i="81" s="1"/>
  <c r="R64" i="81"/>
  <c r="S64" i="81" s="1"/>
  <c r="R66" i="81"/>
  <c r="S66" i="81" s="1"/>
  <c r="R68" i="81"/>
  <c r="S68" i="81" s="1"/>
  <c r="R70" i="81"/>
  <c r="S70" i="81" s="1"/>
  <c r="R72" i="81"/>
  <c r="S72" i="81" s="1"/>
  <c r="R74" i="81"/>
  <c r="S74" i="81" s="1"/>
  <c r="R76" i="81"/>
  <c r="S76" i="81" s="1"/>
  <c r="R78" i="81"/>
  <c r="S78" i="81" s="1"/>
  <c r="R80" i="81"/>
  <c r="S80" i="81" s="1"/>
  <c r="R82" i="81"/>
  <c r="S82" i="81" s="1"/>
  <c r="R84" i="81"/>
  <c r="S84" i="81" s="1"/>
  <c r="R86" i="81"/>
  <c r="S86" i="81" s="1"/>
  <c r="R88" i="81"/>
  <c r="S88" i="81" s="1"/>
  <c r="R90" i="81"/>
  <c r="S90" i="81" s="1"/>
  <c r="R92" i="81"/>
  <c r="S92" i="81" s="1"/>
  <c r="R94" i="81"/>
  <c r="S94" i="81" s="1"/>
  <c r="R96" i="81"/>
  <c r="S96" i="81" s="1"/>
  <c r="R98" i="81"/>
  <c r="S98" i="81" s="1"/>
  <c r="R100" i="81"/>
  <c r="S100" i="81" s="1"/>
  <c r="R102" i="81"/>
  <c r="S102" i="81" s="1"/>
  <c r="R104" i="81"/>
  <c r="S104" i="81" s="1"/>
  <c r="R106" i="81"/>
  <c r="S106" i="81" s="1"/>
  <c r="R108" i="81"/>
  <c r="S108" i="81" s="1"/>
  <c r="R110" i="81"/>
  <c r="S110" i="81" s="1"/>
  <c r="R112" i="81"/>
  <c r="S112" i="81" s="1"/>
  <c r="R114" i="81"/>
  <c r="S114" i="81" s="1"/>
  <c r="R116" i="81"/>
  <c r="S116" i="81" s="1"/>
  <c r="R118" i="81"/>
  <c r="S118" i="81" s="1"/>
  <c r="R120" i="81"/>
  <c r="S120" i="81" s="1"/>
  <c r="R122" i="81"/>
  <c r="S122" i="81" s="1"/>
  <c r="R124" i="81"/>
  <c r="S124" i="81" s="1"/>
  <c r="E42" i="40"/>
  <c r="R43" i="40"/>
  <c r="B20" i="31"/>
  <c r="R22" i="31"/>
  <c r="B21" i="31" s="1"/>
  <c r="I51" i="39"/>
  <c r="J51" i="39" s="1"/>
  <c r="E47" i="39"/>
  <c r="I52" i="39" s="1"/>
  <c r="J52" i="39" s="1"/>
  <c r="R48" i="39"/>
  <c r="G51" i="39"/>
  <c r="H51" i="39" s="1"/>
  <c r="G52" i="39"/>
  <c r="H52" i="39" s="1"/>
  <c r="D20" i="9"/>
  <c r="D19" i="9"/>
  <c r="D102" i="9" l="1"/>
  <c r="D21" i="9"/>
  <c r="D22" i="9"/>
  <c r="G19" i="9"/>
  <c r="D103" i="9"/>
  <c r="G20" i="9"/>
  <c r="I47" i="40"/>
  <c r="J47" i="40" s="1"/>
  <c r="E46" i="40"/>
  <c r="F46" i="40" s="1"/>
  <c r="E47" i="40"/>
  <c r="F47" i="40" s="1"/>
  <c r="C43" i="40"/>
  <c r="C42" i="40"/>
  <c r="S22" i="81"/>
  <c r="C48" i="39"/>
  <c r="C47" i="39"/>
  <c r="E51" i="39"/>
  <c r="F51" i="39" s="1"/>
  <c r="E52" i="39"/>
  <c r="F52" i="39" s="1"/>
  <c r="R22" i="81" l="1"/>
  <c r="B21" i="81" s="1"/>
  <c r="B20" i="81"/>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C32" i="9"/>
  <c r="G21"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20" i="80"/>
  <c r="D20" i="85"/>
  <c r="D19" i="80"/>
  <c r="D19" i="85"/>
  <c r="D102" i="85" l="1"/>
  <c r="D21" i="85"/>
  <c r="D22" i="85"/>
  <c r="D102" i="80"/>
  <c r="D21" i="80"/>
  <c r="D22" i="80"/>
  <c r="G19" i="80"/>
  <c r="D103" i="85"/>
  <c r="G20" i="85"/>
  <c r="D103" i="80"/>
  <c r="G20" i="80"/>
  <c r="C35" i="9"/>
  <c r="F118" i="9" s="1"/>
  <c r="F122" i="77" s="1"/>
  <c r="H118" i="9"/>
  <c r="C34" i="9"/>
  <c r="D118" i="9" s="1"/>
  <c r="G122" i="77" l="1"/>
  <c r="F123" i="77"/>
  <c r="D119" i="9"/>
  <c r="D5" i="52" s="1"/>
  <c r="B49" i="72" s="1"/>
  <c r="D4" i="52"/>
  <c r="B47" i="72" s="1"/>
  <c r="F118" i="85"/>
  <c r="F4" i="52"/>
  <c r="B51" i="72" s="1"/>
  <c r="F119" i="9"/>
  <c r="F5" i="52" s="1"/>
  <c r="B53" i="72" s="1"/>
  <c r="G118" i="9"/>
  <c r="G4" i="52" s="1"/>
  <c r="B52" i="72" s="1"/>
  <c r="G19" i="85"/>
  <c r="F34" i="85" s="1"/>
  <c r="I118" i="9"/>
  <c r="H4" i="52"/>
  <c r="C104" i="9"/>
  <c r="H101" i="9"/>
  <c r="H119" i="9"/>
  <c r="H5" i="52" s="1"/>
  <c r="D14" i="74"/>
  <c r="F34" i="80"/>
  <c r="C34" i="80" s="1"/>
  <c r="C32" i="80"/>
  <c r="G21" i="80"/>
  <c r="C34" i="85" l="1"/>
  <c r="C32" i="85"/>
  <c r="D35" i="85" s="1"/>
  <c r="G21" i="85"/>
  <c r="G118" i="85"/>
  <c r="F119" i="85"/>
  <c r="D34" i="80"/>
  <c r="D118" i="80"/>
  <c r="D122" i="77" s="1"/>
  <c r="D123" i="77" s="1"/>
  <c r="H118" i="80"/>
  <c r="D35" i="80"/>
  <c r="F14" i="74"/>
  <c r="E14" i="74"/>
  <c r="H107" i="9"/>
  <c r="D45" i="9"/>
  <c r="D5" i="53"/>
  <c r="M48" i="9"/>
  <c r="C105" i="9"/>
  <c r="I4" i="52"/>
  <c r="H102" i="9"/>
  <c r="D7" i="53" s="1"/>
  <c r="B21" i="72" s="1"/>
  <c r="E118" i="9"/>
  <c r="E4" i="52" s="1"/>
  <c r="B48" i="72" s="1"/>
  <c r="E122" i="77" l="1"/>
  <c r="I122" i="77" s="1"/>
  <c r="H122" i="77"/>
  <c r="H108" i="9"/>
  <c r="D15" i="53" s="1"/>
  <c r="B31" i="72" s="1"/>
  <c r="D13" i="53"/>
  <c r="M49" i="9"/>
  <c r="D122" i="9"/>
  <c r="D119" i="80"/>
  <c r="E118" i="80"/>
  <c r="D118" i="85"/>
  <c r="C78" i="9"/>
  <c r="C73" i="9" s="1"/>
  <c r="D52" i="9"/>
  <c r="C72" i="9"/>
  <c r="C79" i="9" s="1"/>
  <c r="D53" i="9"/>
  <c r="D55" i="9"/>
  <c r="M53" i="9" s="1"/>
  <c r="C64" i="9"/>
  <c r="C63" i="9" s="1"/>
  <c r="C67" i="9" s="1"/>
  <c r="C68" i="9" s="1"/>
  <c r="D54" i="9" s="1"/>
  <c r="C85" i="9"/>
  <c r="C93" i="9"/>
  <c r="C86" i="9" s="1"/>
  <c r="D15" i="74"/>
  <c r="I118" i="80"/>
  <c r="C104" i="80"/>
  <c r="H119" i="80"/>
  <c r="H101" i="80"/>
  <c r="H118" i="85"/>
  <c r="D6" i="53"/>
  <c r="B22" i="72" s="1"/>
  <c r="B20" i="72"/>
  <c r="D34" i="85"/>
  <c r="H123" i="77" l="1"/>
  <c r="D127" i="77" s="1"/>
  <c r="D126" i="77"/>
  <c r="H107" i="80"/>
  <c r="M48" i="80"/>
  <c r="D45" i="80"/>
  <c r="E15" i="74"/>
  <c r="F15" i="74"/>
  <c r="B5" i="74"/>
  <c r="C95" i="9"/>
  <c r="C80" i="9"/>
  <c r="E80" i="9" s="1"/>
  <c r="E81" i="9" s="1"/>
  <c r="G14" i="74"/>
  <c r="D123" i="9"/>
  <c r="D9" i="52" s="1"/>
  <c r="D8" i="52"/>
  <c r="D14" i="53"/>
  <c r="B32" i="72" s="1"/>
  <c r="B30" i="72"/>
  <c r="H119" i="85"/>
  <c r="I118" i="85"/>
  <c r="H101" i="85"/>
  <c r="C104" i="85"/>
  <c r="C105" i="80"/>
  <c r="H102" i="80"/>
  <c r="E118" i="85"/>
  <c r="D119" i="85"/>
  <c r="L68" i="9"/>
  <c r="M68" i="9" s="1"/>
  <c r="L63" i="9"/>
  <c r="M63" i="9" s="1"/>
  <c r="L64" i="9"/>
  <c r="M64" i="9" s="1"/>
  <c r="L66" i="9"/>
  <c r="M66" i="9" s="1"/>
  <c r="L65" i="9"/>
  <c r="M65" i="9" s="1"/>
  <c r="L67" i="9"/>
  <c r="M67" i="9" s="1"/>
  <c r="C81" i="9" l="1"/>
  <c r="H107" i="85"/>
  <c r="D45" i="85"/>
  <c r="M48" i="85"/>
  <c r="M69" i="9"/>
  <c r="N69" i="9" s="1"/>
  <c r="H102" i="85"/>
  <c r="C105" i="85"/>
  <c r="D5" i="74"/>
  <c r="C5" i="74"/>
  <c r="C96" i="9"/>
  <c r="E96" i="9" s="1"/>
  <c r="E97" i="9" s="1"/>
  <c r="C93" i="80"/>
  <c r="C86" i="80" s="1"/>
  <c r="D52" i="80"/>
  <c r="C64" i="80"/>
  <c r="C63" i="80" s="1"/>
  <c r="C67" i="80" s="1"/>
  <c r="C68" i="80" s="1"/>
  <c r="D54" i="80" s="1"/>
  <c r="C72" i="80"/>
  <c r="C78" i="80"/>
  <c r="C73" i="80" s="1"/>
  <c r="D55" i="80"/>
  <c r="M53" i="80" s="1"/>
  <c r="C85" i="80"/>
  <c r="C95" i="80" s="1"/>
  <c r="D53" i="80"/>
  <c r="G15" i="74"/>
  <c r="B6" i="74" s="1"/>
  <c r="D122" i="80"/>
  <c r="D123" i="80" s="1"/>
  <c r="H108" i="80"/>
  <c r="M49" i="80"/>
  <c r="C6" i="74" l="1"/>
  <c r="D6" i="74"/>
  <c r="C96" i="80"/>
  <c r="E96" i="80" s="1"/>
  <c r="E97" i="80" s="1"/>
  <c r="C85" i="85"/>
  <c r="D53" i="85"/>
  <c r="C93" i="85"/>
  <c r="C86" i="85" s="1"/>
  <c r="D55" i="85"/>
  <c r="M53" i="85" s="1"/>
  <c r="D52" i="85"/>
  <c r="C64" i="85"/>
  <c r="C63" i="85" s="1"/>
  <c r="C67" i="85" s="1"/>
  <c r="C68" i="85" s="1"/>
  <c r="D54" i="85" s="1"/>
  <c r="D48" i="85" s="1"/>
  <c r="M52" i="85" s="1"/>
  <c r="C78" i="85"/>
  <c r="C73" i="85" s="1"/>
  <c r="C72" i="85"/>
  <c r="L66" i="80"/>
  <c r="M66" i="80" s="1"/>
  <c r="L67" i="80"/>
  <c r="M67" i="80" s="1"/>
  <c r="L68" i="80"/>
  <c r="M68" i="80" s="1"/>
  <c r="L64" i="80"/>
  <c r="M64" i="80" s="1"/>
  <c r="L65" i="80"/>
  <c r="M65" i="80" s="1"/>
  <c r="L63" i="80"/>
  <c r="M63" i="80" s="1"/>
  <c r="C79" i="80"/>
  <c r="C97" i="9"/>
  <c r="D58" i="9" s="1"/>
  <c r="D56" i="9" s="1"/>
  <c r="M54" i="9" s="1"/>
  <c r="N57" i="9" s="1"/>
  <c r="D122" i="85"/>
  <c r="D123" i="85" s="1"/>
  <c r="H108" i="85"/>
  <c r="M49" i="85"/>
  <c r="M69" i="80" l="1"/>
  <c r="N69" i="80" s="1"/>
  <c r="C79" i="85"/>
  <c r="C97" i="80"/>
  <c r="D58" i="80" s="1"/>
  <c r="D56" i="80" s="1"/>
  <c r="M54" i="80" s="1"/>
  <c r="N57" i="80" s="1"/>
  <c r="N59" i="80" s="1"/>
  <c r="N61" i="80" s="1"/>
  <c r="H112" i="80" s="1"/>
  <c r="L65" i="85"/>
  <c r="M65" i="85" s="1"/>
  <c r="L63" i="85"/>
  <c r="M63" i="85" s="1"/>
  <c r="L64" i="85"/>
  <c r="M64" i="85" s="1"/>
  <c r="L68" i="85"/>
  <c r="M68" i="85" s="1"/>
  <c r="L66" i="85"/>
  <c r="M66" i="85" s="1"/>
  <c r="L67" i="85"/>
  <c r="M67" i="85" s="1"/>
  <c r="C80" i="85"/>
  <c r="E80" i="85" s="1"/>
  <c r="E81" i="85" s="1"/>
  <c r="C80" i="80"/>
  <c r="E80" i="80" s="1"/>
  <c r="E81" i="80" s="1"/>
  <c r="N58" i="9"/>
  <c r="N59" i="9"/>
  <c r="P57" i="9"/>
  <c r="C95" i="85"/>
  <c r="N58" i="80" l="1"/>
  <c r="N60" i="80"/>
  <c r="H111" i="80"/>
  <c r="D126" i="80" s="1"/>
  <c r="D127" i="80" s="1"/>
  <c r="P57" i="80"/>
  <c r="M69" i="85"/>
  <c r="N69" i="85" s="1"/>
  <c r="C96" i="85"/>
  <c r="E96" i="85" s="1"/>
  <c r="E97" i="85" s="1"/>
  <c r="N61" i="9"/>
  <c r="H112" i="9" s="1"/>
  <c r="D21" i="53" s="1"/>
  <c r="B39" i="72" s="1"/>
  <c r="N60" i="9"/>
  <c r="H111" i="9"/>
  <c r="C81" i="80"/>
  <c r="C81" i="85"/>
  <c r="D19" i="53" l="1"/>
  <c r="D126" i="9"/>
  <c r="C97" i="85"/>
  <c r="D58" i="85" s="1"/>
  <c r="D56" i="85" s="1"/>
  <c r="M54" i="85" s="1"/>
  <c r="N57" i="85" s="1"/>
  <c r="D12" i="52" l="1"/>
  <c r="D127" i="9"/>
  <c r="D13" i="52" s="1"/>
  <c r="P57" i="85"/>
  <c r="N58" i="85"/>
  <c r="N59" i="85"/>
  <c r="B38" i="72"/>
  <c r="D20" i="53"/>
  <c r="B40" i="72" s="1"/>
  <c r="H111" i="85" l="1"/>
  <c r="N61" i="85"/>
  <c r="H112" i="85" s="1"/>
  <c r="N60" i="85"/>
  <c r="D126" i="85" l="1"/>
  <c r="D127" i="85" s="1"/>
  <c r="I14" i="74"/>
  <c r="B8" i="74" s="1"/>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<sst xmlns="http://schemas.openxmlformats.org/spreadsheetml/2006/main" count="8335" uniqueCount="3305">
  <si>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</si>
  <si>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</si>
  <si>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</si>
  <si>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</si>
  <si>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</si>
  <si>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</si>
  <si>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</si>
  <si>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</si>
  <si>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</si>
  <si>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</si>
  <si>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</si>
  <si>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</si>
  <si>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</si>
  <si>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</si>
  <si>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</si>
  <si>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</si>
  <si>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</si>
  <si>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</si>
  <si>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</si>
  <si>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</si>
  <si>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</si>
  <si>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</si>
  <si>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</si>
  <si>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</si>
  <si>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</si>
  <si>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</si>
  <si>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</si>
  <si>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</si>
  <si>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</si>
  <si>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</si>
  <si>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</si>
  <si>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</si>
  <si>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</si>
  <si>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</si>
  <si>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</si>
  <si>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</si>
  <si>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</si>
  <si>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</si>
  <si>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</si>
  <si>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</si>
  <si>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</si>
  <si>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</si>
  <si>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</si>
  <si>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</si>
  <si>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</si>
  <si>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</si>
  <si>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</si>
  <si>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</si>
  <si>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</si>
  <si>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</si>
  <si>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</si>
  <si>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</si>
  <si>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</si>
  <si>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</si>
  <si>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</si>
  <si>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</si>
  <si>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</si>
  <si>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</si>
  <si>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</si>
  <si>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</si>
  <si>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</si>
  <si>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</si>
  <si>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</si>
  <si>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</si>
  <si>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</si>
  <si>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</si>
  <si>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</si>
  <si>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</si>
  <si>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</si>
  <si>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</si>
  <si>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</si>
  <si>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</si>
  <si>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</si>
  <si>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</si>
  <si>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</si>
  <si>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</si>
  <si>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</si>
  <si>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</si>
  <si>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</si>
  <si>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</si>
  <si>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</si>
  <si>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</si>
  <si>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</si>
  <si>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</si>
  <si>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</si>
  <si>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</si>
  <si>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</si>
  <si>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</si>
  <si>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</si>
  <si>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</si>
  <si>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</si>
  <si>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</si>
  <si>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</si>
  <si>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</si>
  <si>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</si>
  <si>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</si>
  <si>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</si>
  <si>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</si>
  <si>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</si>
  <si>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</si>
  <si>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</si>
  <si>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</si>
  <si>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</si>
  <si>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</si>
  <si>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</si>
  <si>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</si>
  <si>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</si>
  <si>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</si>
  <si>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</si>
  <si>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</si>
  <si>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</si>
  <si>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</si>
  <si>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</si>
  <si>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</si>
  <si>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</si>
  <si>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</si>
  <si>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</si>
  <si>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</si>
  <si>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</si>
  <si>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</si>
  <si>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</si>
  <si>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</si>
  <si>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</si>
  <si>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</si>
  <si>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</si>
  <si>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</si>
  <si>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</si>
  <si>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</si>
  <si>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</si>
  <si>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</si>
  <si>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</si>
  <si>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</si>
  <si>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</si>
  <si>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</si>
  <si>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</si>
  <si>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</si>
  <si>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</si>
  <si>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</si>
  <si>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</si>
  <si>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</si>
  <si>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</si>
  <si>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</si>
  <si>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</si>
  <si>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</si>
  <si>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</si>
  <si>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</si>
  <si>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</si>
  <si>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</si>
  <si>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</si>
  <si>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</si>
  <si>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</si>
  <si>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</si>
  <si>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</si>
  <si>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</si>
  <si>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</si>
  <si>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</si>
  <si>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</si>
  <si>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</si>
  <si>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</si>
  <si>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</si>
  <si>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</si>
  <si>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</si>
  <si>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</si>
  <si>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</si>
  <si>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</si>
  <si>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</si>
  <si>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</si>
  <si>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</si>
  <si>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</si>
  <si>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</si>
  <si>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</si>
  <si>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</si>
  <si>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</si>
  <si>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</si>
  <si>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</si>
  <si>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</si>
  <si>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</si>
  <si>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</si>
  <si>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</si>
  <si>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</si>
  <si>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</si>
  <si>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</si>
  <si>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</si>
  <si>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</si>
  <si>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</si>
  <si>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</si>
  <si>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</si>
  <si>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</si>
  <si>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</si>
  <si>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</si>
  <si>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</si>
  <si>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</si>
  <si>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</si>
  <si>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</si>
  <si>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</si>
  <si>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</si>
  <si>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</si>
  <si>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</si>
  <si>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</si>
  <si>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</si>
  <si>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</si>
  <si>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</si>
  <si>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</si>
  <si>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</si>
  <si>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</si>
  <si>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</si>
  <si>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</si>
  <si>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</si>
  <si>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</si>
  <si>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</si>
  <si>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</si>
  <si>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</si>
  <si>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</si>
  <si>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</si>
  <si>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</si>
  <si>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</si>
  <si>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</si>
  <si>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</si>
  <si>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</si>
  <si>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</si>
  <si>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</si>
  <si>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</si>
  <si>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</si>
  <si>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</si>
  <si>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</si>
  <si>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</si>
  <si>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</si>
  <si>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</si>
  <si>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</si>
  <si>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</si>
  <si>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</si>
  <si>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</si>
  <si>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</si>
  <si>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</si>
  <si>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</si>
  <si>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</si>
  <si>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</si>
  <si>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</si>
  <si>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</si>
  <si>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</si>
  <si>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</si>
  <si>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</si>
  <si>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</si>
  <si>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</si>
  <si>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</si>
  <si>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</si>
  <si>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</si>
  <si>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</si>
  <si>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</si>
  <si>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</si>
  <si>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</si>
  <si>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</si>
  <si>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</si>
  <si>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</si>
  <si>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</si>
  <si>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</si>
  <si>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</si>
  <si>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</si>
  <si>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</si>
  <si>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</si>
  <si>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</si>
  <si>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</si>
  <si>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</si>
  <si>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</si>
  <si>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</si>
  <si>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</si>
  <si>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</si>
  <si>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</si>
  <si>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</si>
  <si>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</si>
  <si>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</si>
  <si>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</si>
  <si>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</si>
  <si>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</si>
  <si>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</si>
  <si>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</si>
  <si>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</si>
  <si>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</si>
  <si>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</si>
  <si>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</si>
  <si>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</si>
  <si>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</si>
  <si>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</si>
  <si>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</si>
  <si>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</si>
  <si>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</si>
  <si>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</si>
  <si>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</si>
  <si>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</si>
  <si>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</si>
  <si>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</si>
  <si>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</si>
  <si>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</si>
  <si>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</si>
  <si>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</si>
  <si>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</si>
  <si>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</si>
  <si>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</si>
  <si>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</si>
  <si>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</si>
  <si>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</si>
  <si>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</si>
  <si>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</si>
  <si>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</si>
  <si>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</si>
  <si>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</si>
  <si>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</si>
  <si>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</si>
  <si>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</si>
  <si>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</si>
  <si>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</si>
  <si>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</si>
  <si>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</si>
  <si>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</si>
  <si>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</si>
  <si>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</si>
  <si>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</si>
  <si>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</si>
  <si>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</si>
  <si>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</si>
  <si>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</si>
  <si>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</si>
  <si>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</si>
  <si>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</si>
  <si>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</si>
  <si>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</si>
  <si>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</si>
  <si>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</si>
  <si>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</si>
  <si>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</si>
  <si>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</si>
  <si>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</si>
  <si>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</si>
  <si>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</si>
  <si>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</si>
  <si>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</si>
  <si>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</si>
  <si>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</si>
  <si>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</si>
  <si>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</si>
  <si>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</si>
  <si>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</si>
  <si>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</si>
  <si>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</si>
  <si>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</si>
  <si>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</si>
  <si>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</si>
  <si>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</si>
  <si>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</si>
  <si>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</si>
  <si>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</si>
  <si>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</si>
  <si>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</si>
  <si>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</si>
  <si>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</si>
  <si>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</si>
  <si>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</si>
  <si>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</si>
  <si>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</si>
  <si>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</si>
  <si>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</si>
  <si>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</si>
  <si>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</si>
  <si>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</si>
  <si>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</si>
  <si>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</si>
  <si>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</si>
  <si>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</si>
  <si>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</si>
  <si>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</si>
  <si>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</si>
  <si>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</si>
  <si>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</si>
  <si>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</si>
  <si>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</si>
  <si>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</si>
  <si>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</si>
  <si>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</si>
  <si>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</si>
  <si>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</si>
  <si>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</si>
  <si>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</si>
  <si>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</si>
  <si>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</si>
  <si>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</si>
  <si>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</si>
  <si>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</si>
  <si>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</si>
  <si>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</si>
  <si>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</si>
  <si>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</si>
  <si>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</si>
  <si>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</si>
  <si>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</si>
  <si>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</si>
  <si>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</si>
  <si>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</si>
  <si>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</si>
  <si>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</si>
  <si>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</si>
  <si>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</si>
  <si>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</si>
  <si>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</si>
  <si>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</si>
  <si>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</si>
  <si>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</si>
  <si>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</si>
  <si>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</si>
  <si>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</si>
  <si>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</si>
  <si>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</si>
  <si>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</si>
  <si>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</si>
  <si>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</si>
  <si>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</si>
  <si>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</si>
  <si>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</si>
  <si>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</si>
  <si>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</si>
  <si>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</si>
  <si>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</si>
  <si>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</si>
  <si>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</si>
  <si>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</si>
  <si>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</si>
  <si>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</si>
  <si>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</si>
  <si>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</si>
  <si>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</si>
  <si>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</si>
  <si>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</si>
  <si>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</si>
  <si>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</si>
  <si>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</si>
  <si>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</si>
  <si>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</si>
  <si>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</si>
  <si>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</si>
  <si>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</si>
  <si>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</si>
  <si>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</si>
  <si>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</si>
  <si>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</si>
  <si>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</si>
  <si>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</si>
  <si>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</si>
  <si>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</si>
  <si>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</si>
  <si>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</si>
  <si>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</si>
  <si>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</si>
  <si>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</si>
  <si>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</si>
  <si>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</si>
  <si>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</si>
  <si>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</si>
  <si>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</si>
  <si>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</si>
  <si>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</si>
  <si>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</si>
  <si>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</si>
  <si>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</si>
  <si>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</si>
  <si>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</si>
  <si>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</si>
  <si>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</si>
  <si>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</si>
  <si>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</si>
  <si>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</si>
  <si>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</si>
  <si>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</si>
  <si>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</si>
  <si>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</si>
  <si>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</si>
  <si>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</si>
  <si>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</si>
  <si>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</si>
  <si>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</si>
  <si>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</si>
  <si>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</si>
  <si>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</si>
  <si>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</si>
  <si>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</si>
  <si>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</si>
  <si>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</si>
  <si>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</si>
  <si>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</si>
  <si>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</si>
  <si>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</si>
  <si>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</si>
  <si>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</si>
  <si>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</si>
  <si>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</si>
  <si>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</si>
  <si>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</si>
  <si>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</si>
  <si>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</si>
  <si>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</si>
  <si>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</si>
  <si>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</si>
  <si>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</si>
  <si>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</si>
  <si>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</si>
  <si>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</si>
  <si>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</si>
  <si>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</si>
  <si>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</si>
  <si>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</si>
  <si>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</si>
  <si>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</si>
  <si>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</si>
  <si>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</si>
  <si>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</si>
  <si>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</si>
  <si>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</si>
  <si>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</si>
  <si>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</si>
  <si>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</si>
  <si>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</si>
  <si>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</si>
  <si>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</si>
  <si>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</si>
  <si>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</si>
  <si>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</si>
  <si>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</si>
  <si>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</si>
  <si>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</si>
  <si>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</si>
  <si>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</si>
  <si>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</si>
  <si>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</si>
  <si>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</si>
  <si>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</si>
  <si>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</si>
  <si>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</si>
  <si>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</si>
  <si>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</si>
  <si>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</si>
  <si>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</si>
  <si>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</si>
  <si>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</si>
  <si>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</si>
  <si>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</si>
  <si>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</si>
  <si>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</si>
  <si>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</si>
  <si>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</si>
  <si>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</si>
  <si>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</si>
  <si>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</si>
  <si>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</si>
  <si>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</si>
  <si>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</si>
  <si>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</si>
  <si>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</si>
  <si>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</si>
  <si>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</si>
  <si>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</si>
  <si>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</si>
  <si>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</si>
  <si>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</si>
  <si>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</si>
  <si>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</si>
  <si>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</si>
  <si>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</si>
  <si>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</si>
  <si>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</si>
  <si>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</si>
  <si>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</si>
  <si>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</si>
  <si>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</si>
  <si>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</si>
  <si>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</si>
  <si>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</si>
  <si>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</si>
  <si>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</si>
  <si>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</si>
  <si>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</si>
  <si>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</si>
  <si>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</si>
  <si>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</si>
  <si>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</si>
  <si>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</si>
  <si>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</si>
  <si>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</si>
  <si>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</si>
  <si>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</si>
  <si>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</si>
  <si>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</si>
  <si>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</si>
  <si>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</si>
  <si>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</si>
  <si>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</si>
  <si>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</si>
  <si>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</si>
  <si>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</si>
  <si>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</si>
  <si>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</si>
  <si>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</si>
  <si>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</si>
  <si>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</si>
  <si>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</si>
  <si>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</si>
  <si>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</si>
  <si>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</si>
  <si>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</si>
  <si>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</si>
  <si>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</si>
  <si>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</si>
  <si>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</si>
  <si>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</si>
  <si>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</si>
  <si>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</si>
  <si>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</si>
  <si>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</si>
  <si>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</si>
  <si>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</si>
  <si>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</si>
  <si>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</si>
  <si>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</si>
  <si>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</si>
  <si>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</si>
  <si>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</si>
  <si>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</si>
  <si>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</si>
  <si>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</si>
  <si>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</si>
  <si>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</si>
  <si>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</si>
  <si>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</si>
  <si>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</si>
  <si>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</si>
  <si>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</si>
  <si>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</si>
  <si>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</si>
  <si>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</si>
  <si>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</si>
  <si>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</si>
  <si>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</si>
  <si>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</si>
  <si>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</si>
  <si>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</si>
  <si>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</si>
  <si>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</si>
  <si>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</si>
  <si>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</si>
  <si>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</si>
  <si>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</si>
  <si>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</si>
  <si>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</si>
  <si>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</si>
  <si>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</si>
  <si>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</si>
  <si>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</si>
  <si>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</si>
  <si>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</si>
  <si>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</si>
  <si>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</si>
  <si>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</si>
  <si>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</si>
  <si>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</si>
  <si>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</si>
  <si>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</si>
  <si>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</si>
  <si>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</si>
  <si>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</si>
  <si>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</si>
  <si>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</si>
  <si>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</si>
  <si>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</si>
  <si>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</si>
  <si>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</si>
  <si>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</si>
  <si>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</si>
  <si>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</si>
  <si>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</si>
  <si>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</si>
  <si>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</si>
  <si>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</si>
  <si>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</si>
  <si>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</si>
  <si>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</si>
  <si>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</si>
  <si>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</si>
  <si>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</si>
  <si>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</si>
  <si>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</si>
  <si>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</si>
  <si>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</si>
  <si>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</si>
  <si>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</si>
  <si>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</si>
  <si>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</si>
  <si>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</si>
  <si>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</si>
  <si>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</si>
  <si>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</si>
  <si>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</si>
  <si>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</si>
  <si>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</si>
  <si>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</si>
  <si>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</si>
  <si>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</si>
  <si>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</si>
  <si>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</si>
  <si>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</si>
  <si>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</si>
  <si>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</si>
  <si>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</si>
  <si>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</si>
  <si>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</si>
  <si>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</si>
  <si>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</si>
  <si>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</si>
  <si>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</si>
  <si>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</si>
  <si>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</si>
  <si>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</si>
  <si>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</si>
  <si>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</si>
  <si>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</si>
  <si>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</si>
  <si>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</si>
  <si>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</si>
  <si>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</si>
  <si>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</si>
  <si>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</si>
  <si>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</si>
  <si>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</si>
  <si>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</si>
  <si>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</si>
  <si>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</si>
  <si>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</si>
  <si>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</si>
  <si>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</si>
  <si>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</si>
  <si>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</si>
  <si>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</si>
  <si>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</si>
  <si>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</si>
  <si>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</si>
  <si>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</si>
  <si>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</si>
  <si>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</si>
  <si>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</si>
  <si>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</si>
  <si>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</si>
  <si>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</si>
  <si>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</si>
  <si>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</si>
  <si>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</si>
  <si>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</si>
  <si>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</si>
  <si>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</si>
  <si>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</si>
  <si>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</si>
  <si>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</si>
  <si>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</si>
  <si>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</si>
  <si>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</si>
  <si>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</si>
  <si>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</si>
  <si>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</si>
  <si>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</si>
  <si>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</si>
  <si>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</si>
  <si>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</si>
  <si>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</si>
  <si>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</si>
  <si>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</si>
  <si>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</si>
  <si>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</si>
  <si>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</si>
  <si>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</si>
  <si>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</si>
  <si>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</si>
  <si>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</si>
  <si>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</si>
  <si>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</si>
  <si>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</si>
  <si>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</si>
  <si>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</si>
  <si>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</si>
  <si>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</si>
  <si>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</si>
  <si>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</si>
  <si>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</si>
  <si>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</si>
  <si>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</si>
  <si>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</si>
  <si>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</si>
  <si>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</si>
  <si>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</si>
  <si>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</si>
  <si>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</si>
  <si>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</si>
  <si>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</si>
  <si>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</si>
  <si>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</si>
  <si>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</si>
  <si>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</si>
  <si>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</si>
  <si>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</si>
  <si>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</si>
  <si>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</si>
  <si>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</si>
  <si>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</si>
  <si>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</si>
  <si>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</si>
  <si>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</si>
  <si>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</si>
  <si>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</si>
  <si>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</si>
  <si>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</si>
  <si>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</si>
  <si>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</si>
  <si>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</si>
  <si>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</si>
  <si>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</si>
  <si>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</si>
  <si>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</si>
  <si>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</si>
  <si>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</si>
  <si>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</si>
  <si>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</si>
  <si>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</si>
  <si>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</si>
  <si>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</si>
  <si>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</si>
  <si>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</si>
  <si>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</si>
  <si>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</si>
  <si>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</si>
  <si>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</si>
  <si>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</si>
  <si>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</si>
  <si>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</si>
  <si>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</si>
  <si>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</si>
  <si>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</si>
  <si>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</si>
  <si>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</si>
  <si>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</si>
  <si>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</si>
  <si>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</si>
  <si>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</si>
  <si>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</si>
  <si>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</si>
  <si>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</si>
  <si>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</si>
  <si>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</si>
  <si>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</si>
  <si>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</si>
  <si>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</si>
  <si>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</si>
  <si>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</si>
  <si>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</si>
  <si>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</si>
  <si>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</si>
  <si>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</si>
  <si>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</si>
  <si>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</si>
  <si>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</si>
  <si>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</si>
  <si>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</si>
  <si>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</si>
  <si>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</si>
  <si>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</si>
  <si>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</si>
  <si>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</si>
  <si>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</si>
  <si>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</si>
  <si>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</si>
  <si>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</si>
  <si>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</si>
  <si>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</si>
  <si>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</si>
  <si>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</si>
  <si>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</si>
  <si>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</si>
  <si>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</si>
  <si>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</si>
  <si>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</si>
  <si>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</si>
  <si>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</si>
  <si>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</si>
  <si>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</si>
  <si>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</si>
  <si>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</si>
  <si>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</si>
  <si>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</si>
  <si>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</si>
  <si>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</si>
  <si>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</si>
  <si>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</si>
  <si>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</si>
  <si>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</si>
  <si>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</si>
  <si>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</si>
  <si>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</si>
  <si>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</si>
  <si>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</si>
  <si>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</si>
  <si>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</si>
  <si>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</si>
  <si>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</si>
  <si>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</si>
  <si>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</si>
  <si>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</si>
  <si>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</si>
  <si>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</si>
  <si>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</si>
  <si>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</si>
  <si>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</si>
  <si>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</si>
  <si>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</si>
  <si>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</si>
  <si>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</si>
  <si>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</si>
  <si>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</si>
  <si>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</si>
  <si>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</si>
  <si>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</si>
  <si>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</si>
  <si>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</si>
  <si>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</si>
  <si>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</si>
  <si>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</si>
  <si>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</si>
  <si>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</si>
  <si>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</si>
  <si>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</si>
  <si>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</si>
  <si>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</si>
  <si>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</si>
  <si>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</si>
  <si>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</si>
  <si>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</si>
  <si>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</si>
  <si>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</si>
  <si>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</si>
  <si>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</si>
  <si>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</si>
  <si>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</si>
  <si>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</si>
  <si>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</si>
  <si>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</si>
  <si>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</si>
  <si>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</si>
  <si>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</si>
  <si>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</si>
  <si>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</si>
  <si>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</si>
  <si>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</si>
  <si>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</si>
  <si>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</si>
  <si>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</si>
  <si>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</si>
  <si>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</si>
  <si>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</si>
  <si>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</si>
  <si>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</si>
  <si>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</si>
  <si>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</si>
  <si>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</si>
  <si>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</si>
  <si>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</si>
  <si>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</si>
  <si>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</si>
  <si>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</si>
  <si>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</si>
  <si>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</si>
  <si>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</si>
  <si>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</si>
  <si>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</si>
  <si>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</si>
  <si>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</si>
  <si>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</si>
  <si>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</si>
  <si>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</si>
  <si>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</si>
  <si>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</si>
  <si>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</si>
  <si>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</si>
  <si>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</si>
  <si>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</si>
  <si>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</si>
  <si>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</si>
  <si>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</si>
  <si>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</si>
  <si>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</si>
  <si>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</si>
  <si>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</si>
  <si>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</si>
  <si>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</si>
  <si>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</si>
  <si>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</si>
  <si>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</si>
  <si>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</si>
  <si>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</si>
  <si>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</si>
  <si>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</si>
  <si>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</si>
  <si>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</si>
  <si>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</si>
  <si>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</si>
  <si>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</si>
  <si>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</si>
  <si>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</si>
  <si>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</si>
  <si>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</si>
  <si>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</si>
  <si>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</si>
  <si>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</si>
  <si>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</si>
  <si>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</si>
  <si>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</si>
  <si>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</si>
  <si>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</si>
  <si>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</si>
  <si>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</si>
  <si>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</si>
  <si>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</si>
  <si>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</si>
  <si>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</si>
  <si>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</si>
  <si>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</si>
  <si>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</si>
  <si>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</si>
  <si>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</si>
  <si>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</si>
  <si>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</si>
  <si>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</si>
  <si>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</si>
  <si>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</si>
  <si>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</si>
  <si>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</si>
  <si>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</si>
  <si>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</si>
  <si>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</si>
  <si>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</si>
  <si>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</si>
  <si>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</si>
  <si>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</si>
  <si>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</si>
  <si>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</si>
  <si>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</si>
  <si>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</si>
  <si>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</si>
  <si>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</si>
  <si>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</si>
  <si>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</si>
  <si>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</si>
  <si>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</si>
  <si>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</si>
  <si>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</si>
  <si>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</si>
  <si>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</si>
  <si>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</si>
  <si>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</si>
  <si>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</si>
  <si>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</si>
  <si>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</si>
  <si>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</si>
  <si>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</si>
  <si>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</si>
  <si>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</si>
  <si>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</si>
  <si>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</si>
  <si>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</si>
  <si>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</si>
  <si>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</si>
  <si>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</si>
  <si>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</si>
  <si>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</si>
  <si>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</si>
  <si>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</si>
  <si>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</si>
  <si>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</si>
  <si>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</si>
  <si>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</si>
  <si>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</si>
  <si>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</si>
  <si>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</si>
  <si>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</si>
  <si>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</si>
  <si>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</si>
  <si>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</si>
  <si>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</si>
  <si>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</si>
  <si>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</si>
  <si>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</si>
  <si>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</si>
  <si>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</si>
  <si>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</si>
  <si>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</si>
  <si>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</si>
  <si>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</si>
  <si>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</si>
  <si>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</si>
  <si>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</si>
  <si>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</si>
  <si>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</si>
  <si>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</si>
  <si>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</si>
  <si>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</si>
  <si>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</si>
  <si>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</si>
  <si>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</si>
  <si>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</si>
  <si>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</si>
  <si>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</si>
  <si>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</si>
  <si>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</si>
  <si>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</si>
  <si>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</si>
  <si>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</si>
  <si>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</si>
  <si>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</si>
  <si>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</si>
  <si>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</si>
  <si>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</si>
  <si>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</si>
  <si>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</si>
  <si>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</si>
  <si>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</si>
  <si>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</si>
  <si>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</si>
  <si>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</si>
  <si>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</si>
  <si>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</si>
  <si>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</si>
  <si>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</si>
  <si>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</si>
  <si>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</si>
  <si>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</si>
  <si>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</si>
  <si>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</si>
  <si>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</si>
  <si>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</si>
  <si>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</si>
  <si>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</si>
  <si>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</si>
  <si>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</si>
  <si>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</si>
  <si>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</si>
  <si>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</si>
  <si>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</si>
  <si>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</si>
  <si>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</si>
  <si>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</si>
  <si>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</si>
  <si>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</si>
  <si>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</si>
  <si>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</si>
  <si>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</si>
  <si>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</si>
  <si>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</si>
  <si>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</si>
  <si>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</si>
  <si>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</si>
  <si>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</si>
  <si>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</si>
  <si>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</si>
  <si>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</si>
  <si>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</si>
  <si>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</si>
  <si>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</si>
  <si>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</si>
  <si>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</si>
  <si>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</si>
  <si>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</si>
  <si>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</si>
  <si>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</si>
  <si>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</si>
  <si>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</si>
  <si>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</si>
  <si>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</si>
  <si>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</si>
  <si>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</si>
  <si>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</si>
  <si>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</si>
  <si>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</si>
  <si>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</si>
  <si>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</si>
  <si>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</si>
  <si>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</si>
  <si>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</si>
  <si>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</si>
  <si>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</si>
  <si>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</si>
  <si>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</si>
  <si>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</si>
  <si>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</si>
  <si>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</si>
  <si>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</si>
  <si>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</si>
  <si>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</si>
  <si>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</si>
  <si>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</si>
  <si>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</si>
  <si>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</si>
  <si>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</si>
  <si>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</si>
  <si>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</si>
  <si>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</si>
  <si>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</si>
  <si>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</si>
  <si>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</si>
  <si>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</si>
  <si>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</si>
  <si>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</si>
  <si>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</si>
  <si>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</si>
  <si>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</si>
  <si>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</si>
  <si>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</si>
  <si>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</si>
  <si>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</si>
  <si>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</si>
  <si>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</si>
  <si>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</si>
  <si>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</si>
  <si>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</si>
  <si>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</si>
  <si>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</si>
  <si>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</si>
  <si>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</si>
  <si>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</si>
  <si>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</si>
  <si>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</si>
  <si>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</si>
  <si>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</si>
  <si>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</si>
  <si>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</si>
  <si>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</si>
  <si>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</si>
  <si>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</si>
  <si>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</si>
  <si>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</si>
  <si>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</si>
  <si>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</si>
  <si>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</si>
  <si>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</si>
  <si>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</si>
  <si>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</si>
  <si>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</si>
  <si>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</si>
  <si>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</si>
  <si>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</si>
  <si>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</si>
  <si>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</si>
  <si>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</si>
  <si>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</si>
  <si>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</si>
  <si>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</si>
  <si>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</si>
  <si>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</si>
  <si>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</si>
  <si>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</si>
  <si>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</si>
  <si>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</si>
  <si>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</si>
  <si>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</si>
  <si>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</si>
  <si>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</si>
  <si>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</si>
  <si>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</si>
  <si>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</si>
  <si>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</si>
  <si>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</si>
  <si>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</si>
  <si>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</si>
  <si>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</si>
  <si>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</si>
  <si>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</si>
  <si>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</si>
  <si>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</si>
  <si>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</si>
  <si>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</si>
  <si>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</si>
  <si>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</si>
  <si>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</si>
  <si>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</si>
  <si>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</si>
  <si>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</si>
  <si>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</si>
  <si>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</si>
  <si>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</si>
  <si>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</si>
  <si>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</si>
  <si>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</si>
  <si>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</si>
  <si>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</si>
  <si>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</si>
  <si>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</si>
  <si>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</si>
  <si>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</si>
  <si>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</si>
  <si>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</si>
  <si>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</si>
  <si>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</si>
  <si>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</si>
  <si>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</si>
  <si>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</si>
  <si>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</si>
  <si>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</si>
  <si>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</si>
  <si>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</si>
  <si>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</si>
  <si>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</si>
  <si>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</si>
  <si>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</si>
  <si>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</si>
  <si>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</si>
  <si>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</si>
  <si>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</si>
  <si>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</si>
  <si>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</si>
  <si>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</si>
  <si>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</si>
  <si>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</si>
  <si>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</si>
  <si>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</si>
  <si>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</si>
  <si>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</si>
  <si>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</si>
  <si>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</si>
  <si>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</si>
  <si>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</si>
  <si>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</si>
  <si>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</si>
  <si>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</si>
  <si>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</si>
  <si>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</si>
  <si>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</si>
  <si>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</si>
  <si>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</si>
  <si>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</si>
  <si>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</si>
  <si>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</si>
  <si>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</si>
  <si>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</si>
  <si>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</si>
  <si>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</si>
  <si>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</si>
  <si>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</si>
  <si>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</si>
  <si>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</si>
  <si>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</si>
  <si>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</si>
  <si>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</si>
  <si>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</si>
  <si>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</si>
  <si>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</si>
  <si>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</si>
  <si>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</si>
  <si>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</si>
  <si>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</si>
  <si>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</si>
  <si>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</si>
  <si>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</si>
  <si>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</si>
  <si>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</si>
  <si>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</si>
  <si>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</si>
  <si>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</si>
  <si>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</si>
  <si>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</si>
  <si>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</si>
  <si>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</si>
  <si>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</si>
  <si>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</si>
  <si>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</si>
  <si>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</si>
  <si>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</si>
  <si>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</si>
  <si>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</si>
  <si>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</si>
  <si>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</si>
  <si>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</si>
  <si>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</si>
  <si>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</si>
  <si>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</si>
  <si>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</si>
  <si>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</si>
  <si>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</si>
  <si>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</si>
  <si>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</si>
  <si>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</si>
  <si>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</si>
  <si>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</si>
  <si>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</si>
  <si>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</si>
  <si>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</si>
  <si>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</si>
  <si>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</si>
  <si>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</si>
  <si>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</si>
  <si>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</si>
  <si>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</si>
  <si>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</si>
  <si>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</si>
  <si>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</si>
  <si>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</si>
  <si>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</si>
  <si>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</si>
  <si>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</si>
  <si>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</si>
  <si>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</si>
  <si>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</si>
  <si>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</si>
  <si>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</si>
  <si>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</si>
  <si>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</si>
  <si>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</si>
  <si>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</si>
  <si>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</si>
  <si>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</si>
  <si>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</si>
  <si>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</si>
  <si>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</si>
  <si>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</si>
  <si>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</si>
  <si>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</si>
  <si>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</si>
  <si>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</si>
  <si>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</si>
  <si>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</si>
  <si>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</si>
  <si>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</si>
  <si>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</si>
  <si>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</si>
  <si>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</si>
  <si>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</si>
  <si>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</si>
  <si>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</si>
  <si>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</si>
  <si>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</si>
  <si>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</si>
  <si>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</si>
  <si>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</si>
  <si>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</si>
  <si>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</si>
  <si>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</si>
  <si>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</si>
  <si>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</si>
  <si>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</si>
  <si>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</si>
  <si>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</si>
  <si>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</si>
  <si>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</si>
  <si>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</si>
  <si>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</si>
  <si>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</si>
  <si>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</si>
  <si>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</si>
  <si>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</si>
  <si>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</si>
  <si>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</si>
  <si>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</si>
  <si>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</si>
  <si>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</si>
  <si>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</si>
  <si>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</si>
  <si>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</si>
  <si>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</si>
  <si>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</si>
  <si>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</si>
  <si>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</si>
  <si>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</si>
  <si>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</si>
  <si>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</si>
  <si>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</si>
  <si>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</si>
  <si>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</si>
  <si>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</si>
  <si>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</si>
  <si>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</si>
  <si>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</si>
  <si>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</si>
  <si>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</si>
  <si>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</si>
  <si>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</si>
  <si>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</si>
  <si>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</si>
  <si>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</si>
  <si>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</si>
  <si>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</si>
  <si>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</si>
  <si>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</si>
  <si>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</si>
  <si>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</si>
  <si>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</si>
  <si>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</si>
  <si>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</si>
  <si>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</si>
  <si>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</si>
  <si>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</si>
  <si>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</si>
  <si>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</si>
  <si>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</si>
  <si>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</si>
  <si>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</si>
  <si>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</si>
  <si>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</si>
  <si>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</si>
  <si>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</si>
  <si>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</si>
  <si>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</si>
  <si>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</si>
  <si>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</si>
  <si>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</si>
  <si>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</si>
  <si>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</si>
  <si>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</si>
  <si>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</si>
  <si>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</si>
  <si>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</si>
  <si>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</si>
  <si>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</si>
  <si>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</si>
  <si>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</si>
  <si>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</si>
  <si>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</si>
  <si>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</si>
  <si>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</si>
  <si>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</si>
  <si>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</si>
  <si>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</si>
  <si>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</si>
  <si>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</si>
  <si>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</si>
  <si>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</si>
  <si>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</si>
  <si>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</si>
  <si>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</si>
  <si>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</si>
  <si>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</si>
  <si>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</si>
  <si>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</si>
  <si>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</si>
  <si>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</si>
  <si>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</si>
  <si>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</si>
  <si>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</si>
  <si>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</si>
  <si>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</si>
  <si>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</si>
  <si>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</si>
  <si>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</si>
  <si>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</si>
  <si>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</si>
  <si>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</si>
  <si>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</si>
  <si>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</si>
  <si>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</si>
  <si>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</si>
  <si>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</si>
  <si>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</si>
  <si>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</si>
  <si>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</si>
  <si>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</si>
  <si>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</si>
  <si>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</si>
  <si>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</si>
  <si>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</si>
  <si>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</si>
  <si>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</si>
  <si>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</si>
  <si>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</si>
  <si>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</si>
  <si>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</si>
  <si>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</si>
  <si>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</si>
  <si>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</si>
  <si>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</si>
  <si>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</si>
  <si>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</si>
  <si>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</si>
  <si>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</si>
  <si>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</si>
  <si>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</si>
  <si>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</si>
  <si>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</si>
  <si>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</si>
  <si>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</si>
  <si>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</si>
  <si>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</si>
  <si>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</si>
  <si>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</si>
  <si>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</si>
  <si>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</si>
  <si>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</si>
  <si>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</si>
  <si>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</si>
  <si>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</si>
  <si>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</si>
  <si>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</si>
  <si>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</si>
  <si>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</si>
  <si>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</si>
  <si>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</si>
  <si>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</si>
  <si>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</si>
  <si>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</si>
  <si>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</si>
  <si>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</si>
  <si>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</si>
  <si>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</si>
  <si>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</si>
  <si>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</si>
  <si>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</si>
  <si>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</si>
  <si>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</si>
  <si>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</si>
  <si>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</si>
  <si>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</si>
  <si>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</si>
  <si>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</si>
  <si>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</si>
  <si>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</si>
  <si>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</si>
  <si>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</si>
  <si>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</si>
  <si>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</si>
  <si>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</si>
  <si>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</si>
  <si>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</si>
  <si>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</si>
  <si>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</si>
  <si>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</si>
  <si>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</si>
  <si>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</si>
  <si>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</si>
  <si>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</si>
  <si>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</si>
  <si>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</si>
  <si>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</si>
  <si>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</si>
  <si>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</si>
  <si>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</si>
  <si>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</si>
  <si>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</si>
  <si>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</si>
  <si>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</si>
  <si>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</si>
  <si>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</si>
  <si>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</si>
  <si>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</si>
  <si>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</si>
  <si>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</si>
  <si>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</si>
  <si>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</si>
  <si>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</si>
  <si>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</si>
  <si>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</si>
  <si>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</si>
  <si>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</si>
  <si>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</si>
  <si>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</si>
  <si>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</si>
  <si>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</si>
  <si>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</si>
  <si>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</si>
  <si>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</si>
  <si>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</si>
  <si>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</si>
  <si>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</si>
  <si>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</si>
  <si>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</si>
  <si>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</si>
  <si>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</si>
  <si>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</si>
  <si>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</si>
  <si>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</si>
  <si>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</si>
  <si>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</si>
  <si>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</si>
  <si>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</si>
  <si>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</si>
  <si>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</si>
  <si>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</si>
  <si>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</si>
  <si>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</si>
  <si>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</si>
  <si>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</si>
  <si>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</si>
  <si>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</si>
  <si>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</si>
  <si>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</si>
  <si>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</si>
  <si>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</si>
  <si>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</si>
  <si>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</si>
  <si>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</si>
  <si>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</si>
  <si>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</si>
  <si>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</si>
  <si>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</si>
  <si>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</si>
  <si>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</si>
  <si>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</si>
  <si>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</si>
  <si>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</si>
  <si>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</si>
  <si>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</si>
  <si>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</si>
  <si>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</si>
  <si>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</si>
  <si>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</si>
  <si>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</si>
  <si>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</si>
  <si>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</si>
  <si>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</si>
  <si>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</si>
  <si>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</si>
  <si>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</si>
  <si>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</si>
  <si>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</si>
  <si>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</si>
  <si>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</si>
  <si>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</si>
  <si>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</si>
  <si>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</si>
  <si>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</si>
  <si>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</si>
  <si>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</si>
  <si>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</si>
  <si>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</si>
  <si>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</si>
  <si>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</si>
  <si>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</si>
  <si>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</si>
  <si>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</si>
  <si>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</si>
  <si>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</si>
  <si>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</si>
  <si>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</si>
  <si>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</si>
  <si>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</si>
  <si>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</si>
  <si>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</si>
  <si>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</si>
  <si>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</si>
  <si>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</si>
  <si>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</si>
  <si>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</si>
  <si>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</si>
  <si>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</si>
  <si>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</si>
  <si>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</si>
  <si>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</si>
  <si>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</si>
  <si>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</si>
  <si>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</si>
  <si>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</si>
  <si>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</si>
  <si>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</si>
  <si>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</si>
  <si>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</si>
  <si>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</si>
  <si>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</si>
  <si>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</si>
  <si>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</si>
  <si>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</si>
  <si>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</si>
  <si>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</si>
  <si>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</si>
  <si>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</si>
  <si>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</si>
  <si>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</si>
  <si>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</si>
  <si>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</si>
  <si>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</si>
  <si>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</si>
  <si>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</si>
  <si>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</si>
  <si>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</si>
  <si>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</si>
  <si>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</si>
  <si>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</si>
  <si>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</si>
  <si>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</si>
  <si>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</si>
  <si>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</si>
  <si>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</si>
  <si>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</si>
  <si>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</si>
  <si>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</si>
  <si>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</si>
  <si>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</si>
  <si>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</si>
  <si>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</si>
  <si>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</si>
  <si>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</si>
  <si>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</si>
  <si>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</si>
  <si>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</si>
  <si>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</si>
  <si>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</si>
  <si>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</si>
  <si>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</si>
  <si>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</si>
  <si>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</si>
  <si>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</si>
  <si>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</si>
  <si>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</si>
  <si>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</si>
  <si>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</si>
  <si>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</si>
  <si>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</si>
  <si>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</si>
  <si>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</si>
  <si>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</si>
  <si>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</si>
  <si>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</si>
  <si>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</si>
  <si>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</si>
  <si>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</si>
  <si>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</si>
  <si>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</si>
  <si>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</si>
  <si>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</si>
  <si>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</si>
  <si>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</si>
  <si>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</si>
  <si>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</si>
  <si>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</si>
  <si>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</si>
  <si>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</si>
  <si>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</si>
  <si>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</si>
  <si>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</si>
  <si>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</si>
  <si>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</si>
  <si>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</si>
  <si>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</si>
  <si>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</si>
  <si>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</si>
  <si>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</si>
  <si>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</si>
  <si>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</si>
  <si>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</si>
  <si>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</si>
  <si>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</si>
  <si>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</si>
  <si>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</si>
  <si>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</si>
  <si>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</si>
  <si>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</si>
  <si>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</si>
  <si>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</si>
  <si>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</si>
  <si>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</si>
  <si>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</si>
  <si>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</si>
  <si>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</si>
  <si>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</si>
  <si>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</si>
  <si>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</si>
  <si>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</si>
  <si>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</si>
  <si>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</si>
  <si>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</si>
  <si>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</si>
  <si>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</si>
  <si>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</si>
  <si>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</si>
  <si>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</si>
  <si>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</si>
  <si>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</si>
  <si>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</si>
  <si>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</si>
  <si>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</si>
  <si>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</si>
  <si>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</si>
  <si>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</si>
  <si>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</si>
  <si>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</si>
  <si>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</si>
  <si>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</si>
  <si>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</si>
  <si>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</si>
  <si>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</si>
  <si>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</si>
  <si>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</si>
  <si>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</si>
  <si>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</si>
  <si>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</si>
  <si>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</si>
  <si>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</si>
  <si>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</si>
  <si>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</si>
  <si>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</si>
  <si>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</si>
  <si>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</si>
  <si>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</si>
  <si>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</si>
  <si>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</si>
  <si>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</si>
  <si>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</si>
  <si>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</si>
  <si>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</si>
  <si>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</si>
  <si>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</si>
  <si>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</si>
  <si>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</si>
  <si>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</si>
  <si>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</si>
  <si>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</si>
  <si>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</si>
  <si>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</si>
  <si>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</si>
  <si>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</si>
  <si>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</si>
  <si>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</si>
  <si>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</si>
  <si>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</si>
  <si>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</si>
  <si>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</si>
  <si>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</si>
  <si>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</si>
  <si>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</si>
  <si>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</si>
  <si>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</si>
  <si>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</si>
  <si>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</si>
  <si>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</si>
  <si>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</si>
  <si>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</si>
  <si>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</si>
  <si>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</si>
  <si>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</si>
  <si>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</si>
  <si>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</si>
  <si>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</si>
  <si>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</si>
  <si>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</si>
  <si>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</si>
  <si>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</si>
  <si>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</si>
  <si>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</si>
  <si>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</si>
  <si>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</si>
  <si>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</si>
  <si>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</si>
  <si>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</si>
  <si>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</si>
  <si>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</si>
  <si>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</si>
  <si>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</si>
  <si>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</si>
  <si>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</si>
  <si>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</si>
  <si>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</si>
  <si>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</si>
  <si>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</si>
  <si>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</si>
  <si>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</si>
  <si>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</si>
  <si>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</si>
  <si>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</si>
  <si>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</si>
  <si>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</si>
  <si>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</si>
  <si>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</si>
  <si>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</si>
  <si>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</si>
  <si>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</si>
  <si>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</si>
  <si>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</si>
  <si>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</si>
  <si>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</si>
  <si>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</si>
  <si>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</si>
  <si>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</si>
  <si>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</si>
  <si>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</si>
  <si>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</si>
  <si>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</si>
  <si>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</si>
  <si>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</si>
  <si>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</si>
  <si>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</si>
  <si>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</si>
  <si>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</si>
  <si>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</si>
  <si>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</si>
  <si>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</si>
  <si>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</si>
  <si>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</si>
  <si>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</si>
  <si>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</si>
  <si>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</si>
  <si>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</si>
  <si>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</si>
  <si>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</si>
  <si>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</si>
  <si>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</si>
  <si>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</si>
  <si>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</si>
  <si>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</si>
  <si>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</si>
  <si>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</si>
  <si>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</si>
  <si>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</si>
  <si>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</si>
  <si>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</si>
  <si>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</si>
  <si>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</si>
  <si>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</si>
  <si>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</si>
  <si>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</si>
  <si>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</si>
  <si>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</si>
  <si>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</si>
  <si>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</si>
  <si>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</si>
  <si>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</si>
  <si>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</si>
  <si>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</si>
  <si>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</si>
  <si>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</si>
  <si>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</si>
  <si>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</si>
  <si>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</si>
  <si>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</si>
  <si>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</si>
  <si>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</si>
  <si>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</si>
  <si>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</si>
  <si>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</si>
  <si>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</si>
  <si>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</si>
  <si>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</si>
  <si>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</si>
  <si>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</si>
  <si>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</si>
  <si>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</si>
  <si>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</si>
  <si>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</si>
  <si>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</si>
  <si>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</si>
  <si>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</si>
  <si>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</si>
  <si>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</si>
  <si>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</si>
  <si>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</si>
  <si>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</si>
  <si>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</si>
  <si>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</si>
  <si>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</si>
  <si>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</si>
  <si>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</si>
  <si>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</si>
  <si>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</si>
  <si>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</si>
  <si>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</si>
  <si>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</si>
  <si>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</si>
  <si>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</si>
  <si>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</si>
  <si>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</si>
  <si>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</si>
  <si>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</si>
  <si>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</si>
  <si>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</si>
  <si>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</si>
  <si>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</si>
  <si>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</si>
  <si>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</si>
  <si>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</si>
  <si>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</si>
  <si>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</si>
  <si>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</si>
  <si>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</si>
  <si>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</si>
  <si>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</si>
  <si>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</si>
  <si>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</si>
  <si>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</si>
  <si>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</si>
  <si>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</si>
  <si>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</si>
  <si>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</si>
  <si>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</si>
  <si>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</si>
  <si>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</si>
  <si>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</si>
  <si>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</si>
  <si>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</si>
  <si>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</si>
  <si>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</si>
  <si>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</si>
  <si>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</si>
  <si>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</si>
  <si>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</si>
  <si>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</si>
  <si>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</si>
  <si>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</si>
  <si>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</si>
  <si>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</si>
  <si>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</si>
  <si>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</si>
  <si>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</si>
  <si>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</si>
  <si>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</si>
  <si>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</si>
  <si>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</si>
  <si>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</si>
  <si>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</si>
  <si>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</si>
  <si>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</si>
  <si>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</si>
  <si>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</si>
  <si>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</si>
  <si>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</si>
  <si>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</si>
  <si>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</si>
  <si>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</si>
  <si>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</si>
  <si>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</si>
  <si>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</si>
  <si>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</si>
  <si>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</si>
  <si>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</si>
  <si>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</si>
  <si>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</si>
  <si>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</si>
  <si>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</si>
  <si>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</si>
  <si>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</si>
  <si>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</si>
  <si>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</si>
  <si>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</si>
  <si>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</si>
  <si>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</si>
  <si>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</si>
  <si>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</si>
  <si>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</si>
  <si>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</si>
  <si>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</si>
  <si>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</si>
  <si>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</si>
  <si>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</si>
  <si>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</si>
  <si>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</si>
  <si>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</si>
  <si>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</si>
  <si>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</si>
  <si>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</si>
  <si>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</si>
  <si>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</si>
  <si>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</si>
  <si>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</si>
  <si>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</si>
  <si>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</si>
  <si>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</si>
  <si>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</si>
  <si>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</si>
  <si>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</si>
  <si>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</si>
  <si>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</si>
  <si>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</si>
  <si>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</si>
  <si>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</si>
  <si>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</si>
  <si>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</si>
  <si>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</si>
  <si>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</si>
  <si>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</si>
  <si>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</si>
  <si>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</si>
  <si>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</si>
  <si>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</si>
  <si>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</si>
  <si>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</si>
  <si>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</si>
  <si>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</si>
  <si>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</si>
  <si>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</si>
  <si>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</si>
  <si>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</si>
  <si>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</si>
  <si>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</si>
  <si>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</si>
  <si>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</si>
  <si>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</si>
  <si>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</si>
  <si>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</si>
  <si>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</si>
  <si>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</si>
  <si>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</si>
  <si>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</si>
  <si>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</si>
  <si>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</si>
  <si>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</si>
  <si>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</si>
  <si>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</si>
  <si>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</si>
  <si>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</si>
  <si>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</si>
  <si>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</si>
  <si>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</si>
  <si>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</si>
  <si>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</si>
  <si>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</si>
  <si>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</si>
  <si>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</si>
  <si>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</si>
  <si>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</si>
  <si>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</si>
  <si>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</si>
  <si>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</si>
  <si>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</si>
  <si>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</si>
  <si>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</si>
  <si>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</si>
  <si>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</si>
  <si>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</si>
  <si>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</si>
  <si>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</si>
  <si>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</si>
  <si>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</si>
  <si>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</si>
  <si>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</si>
  <si>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</si>
  <si>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</si>
  <si>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</si>
  <si>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</si>
  <si>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</si>
  <si>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</si>
  <si>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</si>
  <si>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</si>
  <si>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</si>
  <si>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</si>
  <si>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</si>
  <si>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</si>
  <si>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</si>
  <si>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</si>
  <si>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</si>
  <si>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</si>
  <si>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</si>
  <si>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</si>
  <si>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</si>
  <si>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</si>
  <si>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</si>
  <si>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</si>
  <si>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</si>
  <si>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</si>
  <si>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</si>
  <si>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</si>
  <si>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</si>
  <si>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</si>
  <si>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</si>
  <si>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</si>
  <si>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</si>
  <si>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</si>
  <si>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</si>
  <si>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</si>
  <si>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</si>
  <si>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</si>
  <si>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</si>
  <si>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</si>
  <si>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</si>
  <si>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</si>
  <si>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</si>
  <si>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</si>
  <si>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</si>
  <si>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</si>
  <si>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</si>
  <si>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</si>
  <si>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</si>
  <si>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</si>
  <si>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</si>
  <si>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</si>
  <si>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</si>
  <si>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</si>
  <si>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</si>
  <si>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</si>
  <si>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</si>
  <si>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</si>
  <si>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</si>
  <si>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</si>
  <si>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</si>
  <si>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</si>
  <si>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</si>
  <si>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</si>
  <si>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</si>
  <si>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</si>
  <si>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</si>
  <si>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</si>
  <si>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</si>
  <si>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</si>
  <si>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</si>
  <si>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</si>
  <si>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</si>
  <si>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</si>
  <si>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</si>
  <si>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</si>
  <si>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</si>
  <si>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</si>
  <si>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</si>
  <si>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</si>
  <si>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</si>
  <si>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</si>
  <si>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</si>
  <si>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</si>
  <si>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</si>
  <si>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</si>
  <si>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</si>
  <si>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</si>
  <si>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</si>
  <si>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</si>
  <si>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</si>
  <si>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</si>
  <si>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</si>
  <si>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</si>
  <si>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</si>
  <si>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</si>
  <si>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</si>
  <si>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</si>
  <si>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</si>
  <si>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</si>
  <si>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</si>
  <si>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</si>
  <si>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</si>
  <si>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</si>
  <si>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</si>
  <si>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</si>
  <si>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</si>
  <si>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</si>
  <si>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</si>
  <si>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</si>
  <si>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</si>
  <si>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</si>
  <si>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</si>
  <si>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</si>
  <si>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</si>
  <si>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</si>
  <si>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</si>
  <si>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</si>
  <si>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</si>
  <si>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</si>
  <si>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</si>
  <si>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</si>
  <si>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</si>
  <si>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</si>
  <si>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</si>
  <si>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</si>
  <si>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</si>
  <si>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</si>
  <si>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</si>
  <si>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</si>
  <si>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</si>
  <si>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</si>
  <si>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</si>
  <si>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</si>
  <si>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</si>
  <si>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</si>
  <si>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</si>
  <si>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</si>
  <si>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</si>
  <si>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</si>
  <si>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</si>
  <si>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</si>
  <si>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</si>
  <si>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</si>
  <si>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</si>
  <si>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</si>
  <si>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</si>
  <si>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</si>
  <si>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</si>
  <si>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</si>
  <si>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</si>
  <si>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</si>
  <si>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</si>
  <si>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</si>
  <si>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</si>
  <si>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</si>
  <si>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</si>
  <si>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</si>
  <si>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</si>
  <si>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</si>
  <si>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</si>
  <si>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</si>
  <si>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</si>
  <si>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</si>
  <si>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</si>
  <si>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</si>
  <si>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</si>
  <si>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</si>
  <si>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</si>
  <si>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</si>
  <si>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</si>
  <si>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</si>
  <si>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</si>
  <si>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</si>
  <si>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</si>
  <si>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</si>
  <si>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</si>
  <si>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</si>
  <si>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</si>
  <si>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</si>
  <si>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</si>
  <si>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</si>
  <si>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</si>
  <si>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</si>
  <si>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</si>
  <si>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</si>
  <si>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</si>
  <si>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</si>
  <si>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</si>
  <si>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</si>
  <si>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</si>
  <si>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</si>
  <si>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</si>
  <si>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</si>
  <si>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</si>
  <si>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</si>
  <si>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</si>
  <si>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</si>
  <si>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</si>
  <si>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</si>
  <si>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</si>
  <si>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</si>
  <si>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</si>
  <si>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</si>
  <si>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</si>
  <si>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</si>
  <si>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</si>
  <si>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</si>
  <si>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</si>
  <si>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</si>
  <si>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</si>
  <si>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</si>
  <si>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</si>
  <si>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</si>
  <si>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</si>
  <si>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</si>
  <si>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</si>
  <si>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</si>
  <si>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</si>
  <si>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</si>
  <si>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</si>
  <si>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</si>
  <si>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</si>
  <si>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</si>
  <si>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</si>
  <si>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</si>
  <si>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</si>
  <si>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</si>
  <si>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</si>
  <si>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</si>
  <si>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</si>
  <si>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</si>
  <si>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</si>
  <si>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</si>
  <si>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</si>
  <si>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</si>
  <si>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</si>
  <si>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</si>
  <si>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</si>
  <si>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</si>
  <si>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</si>
  <si>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</si>
  <si>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</si>
  <si>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</si>
  <si>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</si>
  <si>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</si>
  <si>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</si>
  <si>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</si>
  <si>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</si>
  <si>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</si>
  <si>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</si>
  <si>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</si>
  <si>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</si>
  <si>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</si>
  <si>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</si>
  <si>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</si>
  <si>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</si>
  <si>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</si>
  <si>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</si>
  <si>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</si>
  <si>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</si>
  <si>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</si>
  <si>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</si>
  <si>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</si>
  <si>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</si>
  <si>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</si>
  <si>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</si>
  <si>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</si>
  <si>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</si>
  <si>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</si>
  <si>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</si>
  <si>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</si>
  <si>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</si>
  <si>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</si>
  <si>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</si>
  <si>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</si>
  <si>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</si>
  <si>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</si>
  <si>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</si>
  <si>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</si>
  <si>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</si>
  <si>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</si>
  <si>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</si>
  <si>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</si>
  <si>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</si>
  <si>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</si>
  <si>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</si>
  <si>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</si>
  <si>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</si>
  <si>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</si>
  <si>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</si>
  <si>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</si>
  <si>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</si>
  <si>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</si>
  <si>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</si>
  <si>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</si>
  <si>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</si>
  <si>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</si>
  <si>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</si>
  <si>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</si>
  <si>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</si>
  <si>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</si>
  <si>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</si>
  <si>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</si>
  <si>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</si>
  <si>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</si>
  <si>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</si>
  <si>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</si>
  <si>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</si>
  <si>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</si>
  <si>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</si>
  <si>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</si>
  <si>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</si>
  <si>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</si>
  <si>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</si>
  <si>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</si>
  <si>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</si>
  <si>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</si>
  <si>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</si>
  <si>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</si>
  <si>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</si>
  <si>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</si>
  <si>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</si>
  <si>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</si>
  <si>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</si>
  <si>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</si>
  <si>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</si>
  <si>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</si>
  <si>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</si>
  <si>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</si>
  <si>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</si>
  <si>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</si>
  <si>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</si>
  <si>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</si>
  <si>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</si>
  <si>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</si>
  <si>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</si>
  <si>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</si>
  <si>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</si>
  <si>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</si>
  <si>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</si>
  <si>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</si>
  <si>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</si>
  <si>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</si>
  <si>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</si>
  <si>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</si>
  <si>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</si>
  <si>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</si>
  <si>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</si>
  <si>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</si>
  <si>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</si>
  <si>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</si>
  <si>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</si>
  <si>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</si>
  <si>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</si>
  <si>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</si>
  <si>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</si>
  <si>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</si>
  <si>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</si>
  <si>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</si>
  <si>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</si>
  <si>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</si>
  <si>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</si>
  <si>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</si>
  <si>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</si>
  <si>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</si>
  <si>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</si>
  <si>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</si>
  <si>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</si>
  <si>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</si>
  <si>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</si>
  <si>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</si>
  <si>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</si>
  <si>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</si>
  <si>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</si>
  <si>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</si>
  <si>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</si>
  <si>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</si>
  <si>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</si>
  <si>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</si>
  <si>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</si>
  <si>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</si>
  <si>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</si>
  <si>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</si>
  <si>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</si>
  <si>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</si>
  <si>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</si>
  <si>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</si>
  <si>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</si>
  <si>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</si>
  <si>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</si>
  <si>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</si>
  <si>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</si>
  <si>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</si>
  <si>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</si>
  <si>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</si>
  <si>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</si>
  <si>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</si>
  <si>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</si>
  <si>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</si>
  <si>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</si>
  <si>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</si>
  <si>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</si>
  <si>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</si>
  <si>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</si>
  <si>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</si>
  <si>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</si>
  <si>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</si>
  <si>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</si>
  <si>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</si>
  <si>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</si>
  <si>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</si>
  <si>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</si>
  <si>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</si>
  <si>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</si>
  <si>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</si>
  <si>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</si>
  <si>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</si>
  <si>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</si>
  <si>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</si>
  <si>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</si>
  <si>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</si>
  <si>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</si>
  <si>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</si>
  <si>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</si>
  <si>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</si>
  <si>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</si>
  <si>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</si>
  <si>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</si>
  <si>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</si>
  <si>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</si>
  <si>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</si>
  <si>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</si>
  <si>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</si>
  <si>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</si>
  <si>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</si>
  <si>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</si>
  <si>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</si>
  <si>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</si>
  <si>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</si>
  <si>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</si>
  <si>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</si>
  <si>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</si>
  <si>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</si>
  <si>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</si>
  <si>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</si>
  <si>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</si>
  <si>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</si>
  <si>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</si>
  <si>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</si>
  <si>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</si>
  <si>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</si>
  <si>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</si>
  <si>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</si>
  <si>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</si>
  <si>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</si>
  <si>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</si>
  <si>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</si>
  <si>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</si>
  <si>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</si>
  <si>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</si>
  <si>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</si>
  <si>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</si>
  <si>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</si>
  <si>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</si>
  <si>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</si>
  <si>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</si>
  <si>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</si>
  <si>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</si>
  <si>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</si>
  <si>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</si>
  <si>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</si>
  <si>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</si>
  <si>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</si>
  <si>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</si>
  <si>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</si>
  <si>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</si>
  <si>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</si>
  <si>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</si>
  <si>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</si>
  <si>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</si>
  <si>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</si>
  <si>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</si>
  <si>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</si>
  <si>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</si>
  <si>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</si>
  <si>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</si>
  <si>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</si>
  <si>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</si>
  <si>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</si>
  <si>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</si>
  <si>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</si>
  <si>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</si>
  <si>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</si>
  <si>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</si>
  <si>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</si>
  <si>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</si>
  <si>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</si>
  <si>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</si>
  <si>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</si>
  <si>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</si>
  <si>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</si>
  <si>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</si>
  <si>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</si>
  <si>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</si>
  <si>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</si>
  <si>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</si>
  <si>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</si>
  <si>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</si>
  <si>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</si>
  <si>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</si>
  <si>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</si>
  <si>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</si>
  <si>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</si>
  <si>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</si>
  <si>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</si>
  <si>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</si>
  <si>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</si>
  <si>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</si>
  <si>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</si>
  <si>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</si>
  <si>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</si>
  <si>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</si>
  <si>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</si>
  <si>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</si>
  <si>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</si>
  <si>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</si>
  <si>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</si>
  <si>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</si>
  <si>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</si>
  <si>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</si>
  <si>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</si>
  <si>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</si>
  <si>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</si>
  <si>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</si>
  <si>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</si>
  <si>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</si>
  <si>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</si>
  <si>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</si>
  <si>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</si>
  <si>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</si>
  <si>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</si>
  <si>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</si>
  <si>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</si>
  <si>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</si>
  <si>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</si>
  <si>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</si>
  <si>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</si>
  <si>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</si>
  <si>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</si>
  <si>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</si>
  <si>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</si>
  <si>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</si>
  <si>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</si>
  <si>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</si>
  <si>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</si>
  <si>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</si>
  <si>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</si>
  <si>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</si>
  <si>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</si>
  <si>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</si>
  <si>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</si>
  <si>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</si>
  <si>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</si>
  <si>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</si>
  <si>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</si>
  <si>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</si>
  <si>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</si>
  <si>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</si>
  <si>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</si>
  <si>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</si>
  <si>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</si>
  <si>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</si>
  <si>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</si>
  <si>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</si>
  <si>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</si>
  <si>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</si>
  <si>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</si>
  <si>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</si>
  <si>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</si>
  <si>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</si>
  <si>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</si>
  <si>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</si>
  <si>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</si>
  <si>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</si>
  <si>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</si>
  <si>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</si>
  <si>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</si>
  <si>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</si>
  <si>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</si>
  <si>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</si>
  <si>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</si>
  <si>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</si>
  <si>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</si>
  <si>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</si>
  <si>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</si>
  <si>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</si>
  <si>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</si>
  <si>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</si>
  <si>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</si>
  <si>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</si>
  <si>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</si>
  <si>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</si>
  <si>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</si>
  <si>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</si>
  <si>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</si>
  <si>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</si>
  <si>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</si>
  <si>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</si>
  <si>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</si>
  <si>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</si>
  <si>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</si>
  <si>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</si>
  <si>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</si>
  <si>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</si>
  <si>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</si>
  <si>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</si>
  <si>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</si>
  <si>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</si>
  <si>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</si>
  <si>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</si>
  <si>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</si>
  <si>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</si>
  <si>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</si>
  <si>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</si>
  <si>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</si>
  <si>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</si>
  <si>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</si>
  <si>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</si>
  <si>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</si>
  <si>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</si>
  <si>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</si>
  <si>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</si>
  <si>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</si>
  <si>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</si>
  <si>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</si>
  <si>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</si>
  <si>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</si>
  <si>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</si>
  <si>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</si>
  <si>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</si>
  <si>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</si>
  <si>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</si>
  <si>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</si>
  <si>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</si>
  <si>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</si>
  <si>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</si>
  <si>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</si>
  <si>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</si>
  <si>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</si>
  <si>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</si>
  <si>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</si>
  <si>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</si>
  <si>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</si>
  <si>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</si>
  <si>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</si>
  <si>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</si>
  <si>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</si>
  <si>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</si>
  <si>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</si>
  <si>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</si>
  <si>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</si>
  <si>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</si>
  <si>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</si>
  <si>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</si>
  <si>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</si>
  <si>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</si>
  <si>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</si>
  <si>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</si>
  <si>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</si>
  <si>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</si>
  <si>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</si>
  <si>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</si>
  <si>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</si>
  <si>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</si>
  <si>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</si>
  <si>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</si>
  <si>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</si>
  <si>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</si>
  <si>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</si>
  <si>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</si>
  <si>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</si>
  <si>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</si>
  <si>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</si>
  <si>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</si>
  <si>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</si>
  <si>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</si>
  <si>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</si>
  <si>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</si>
  <si>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</si>
  <si>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</si>
  <si>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</si>
  <si>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</si>
  <si>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</si>
  <si>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</si>
  <si>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</si>
  <si>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</si>
  <si>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</si>
  <si>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</si>
  <si>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</si>
  <si>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</si>
  <si>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</si>
  <si>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</si>
  <si>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</si>
  <si>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</si>
  <si>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</si>
  <si>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</si>
  <si>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</si>
  <si>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</si>
  <si>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</si>
  <si>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</si>
  <si>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</si>
  <si>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</si>
  <si>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</si>
  <si>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</si>
  <si>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</si>
  <si>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</si>
  <si>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</si>
  <si>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</si>
  <si>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</si>
  <si>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</si>
  <si>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</si>
  <si>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</si>
  <si>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</si>
  <si>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</si>
  <si>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</si>
  <si>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</si>
  <si>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</si>
  <si>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</si>
  <si>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</si>
  <si>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</si>
  <si>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</si>
  <si>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</si>
  <si>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</si>
  <si>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</si>
  <si>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</si>
  <si>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</si>
  <si>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</si>
  <si>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</si>
  <si>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</si>
  <si>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</si>
  <si>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</si>
  <si>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</si>
  <si>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</si>
  <si>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</si>
  <si>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</si>
  <si>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</si>
  <si>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</si>
  <si>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</si>
  <si>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</si>
  <si>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</si>
  <si>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</si>
  <si>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</si>
  <si>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</si>
  <si>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</si>
  <si>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</si>
  <si>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</si>
  <si>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</si>
  <si>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</si>
  <si>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</si>
  <si>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</si>
  <si>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</si>
  <si>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</si>
  <si>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</si>
  <si>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</si>
  <si>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</si>
  <si>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</si>
  <si>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</si>
  <si>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</si>
  <si>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</si>
  <si>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</si>
  <si>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</si>
  <si>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</si>
  <si>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</si>
  <si>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</si>
  <si>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</si>
  <si>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</si>
  <si>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</si>
  <si>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</si>
  <si>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</si>
  <si>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</si>
  <si>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</si>
  <si>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</si>
  <si>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</si>
  <si>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</si>
  <si>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</si>
  <si>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</si>
  <si>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</si>
  <si>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</si>
  <si>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</si>
  <si>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</si>
  <si>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</si>
  <si>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</si>
  <si>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</si>
  <si>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</si>
  <si>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</si>
  <si>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</si>
  <si>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</si>
  <si>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</si>
  <si>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</si>
  <si>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</si>
  <si>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</si>
  <si>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</si>
  <si>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</si>
  <si>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</si>
  <si>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</si>
  <si>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</si>
  <si>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</si>
  <si>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</si>
  <si>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</si>
  <si>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</si>
  <si>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</si>
  <si>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</si>
  <si>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</si>
  <si>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</si>
  <si>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</si>
  <si>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</si>
  <si>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</si>
  <si>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</si>
  <si>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</si>
  <si>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</si>
  <si>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</si>
  <si>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</si>
  <si>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</si>
  <si>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</si>
  <si>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</si>
  <si>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</si>
  <si>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王鹏</t>
  </si>
  <si>
    <t>北京道乐科技发展有限公司</t>
    <phoneticPr fontId="6" type="noConversion"/>
  </si>
  <si>
    <t>抵押</t>
  </si>
  <si>
    <t>房地产抵押价值</t>
  </si>
  <si>
    <t>北京市</t>
  </si>
  <si>
    <r>
      <rPr>
        <sz val="12"/>
        <color theme="9" tint="-0.249977111117893"/>
        <rFont val="宋体"/>
        <family val="3"/>
        <charset val="134"/>
      </rPr>
      <t>朝阳区北苑路</t>
    </r>
    <r>
      <rPr>
        <sz val="12"/>
        <color theme="9" tint="-0.249977111117893"/>
        <rFont val="Arial"/>
        <family val="2"/>
      </rPr>
      <t>28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</si>
  <si>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企业</t>
  </si>
  <si>
    <t>出让</t>
  </si>
  <si>
    <t>车位，商业</t>
    <phoneticPr fontId="6" type="noConversion"/>
  </si>
  <si>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年，车位</t>
    </r>
    <r>
      <rPr>
        <sz val="12"/>
        <color theme="9" tint="-0.249977111117893"/>
        <rFont val="Arial"/>
        <family val="2"/>
      </rPr>
      <t>36.6</t>
    </r>
    <r>
      <rPr>
        <sz val="12"/>
        <color theme="9" tint="-0.249977111117893"/>
        <rFont val="宋体"/>
        <family val="3"/>
        <charset val="134"/>
      </rPr>
      <t>年</t>
    </r>
    <phoneticPr fontId="6" type="noConversion"/>
  </si>
  <si>
    <t>是</t>
  </si>
  <si>
    <t>否</t>
  </si>
  <si>
    <t>地上</t>
  </si>
  <si>
    <t>底商</t>
  </si>
  <si>
    <t>地下</t>
  </si>
  <si>
    <t>车库</t>
  </si>
  <si>
    <t>商业</t>
    <phoneticPr fontId="3" type="noConversion"/>
  </si>
  <si>
    <t>车位</t>
  </si>
  <si>
    <t>车位</t>
    <phoneticPr fontId="3" type="noConversion"/>
  </si>
  <si>
    <t>成新度</t>
  </si>
  <si>
    <t>（-2）层</t>
  </si>
  <si>
    <t>楼层</t>
    <phoneticPr fontId="143" type="noConversion"/>
  </si>
  <si>
    <t>面积</t>
    <phoneticPr fontId="143" type="noConversion"/>
  </si>
  <si>
    <t>租金</t>
    <phoneticPr fontId="143" type="noConversion"/>
  </si>
  <si>
    <t>（-1）层</t>
  </si>
  <si>
    <t>合计</t>
    <phoneticPr fontId="143" type="noConversion"/>
  </si>
  <si>
    <t>是否在租</t>
  </si>
  <si>
    <t>是否重复</t>
  </si>
  <si>
    <t>行标签</t>
  </si>
  <si>
    <t>求和项:计租面积</t>
  </si>
  <si>
    <t>求和项:加权平均日租金</t>
  </si>
  <si>
    <t>求和项:租金*面积</t>
  </si>
  <si>
    <t>计数项:租户</t>
  </si>
  <si>
    <t>总计</t>
  </si>
  <si>
    <t>业态</t>
    <phoneticPr fontId="143" type="noConversion"/>
  </si>
  <si>
    <t>是否在租</t>
    <phoneticPr fontId="143" type="noConversion"/>
  </si>
  <si>
    <t>是否沿街</t>
    <phoneticPr fontId="143" type="noConversion"/>
  </si>
  <si>
    <t>是否重复</t>
    <phoneticPr fontId="143" type="noConversion"/>
  </si>
  <si>
    <r>
      <rPr>
        <b/>
        <sz val="10"/>
        <color theme="1"/>
        <rFont val="FangSong"/>
        <family val="3"/>
        <charset val="134"/>
      </rPr>
      <t>租户</t>
    </r>
    <phoneticPr fontId="143" type="noConversion"/>
  </si>
  <si>
    <r>
      <rPr>
        <b/>
        <sz val="10"/>
        <color theme="1"/>
        <rFont val="FangSong"/>
        <family val="3"/>
        <charset val="134"/>
      </rPr>
      <t>层</t>
    </r>
    <phoneticPr fontId="143" type="noConversion"/>
  </si>
  <si>
    <r>
      <rPr>
        <b/>
        <sz val="10"/>
        <color theme="1"/>
        <rFont val="FangSong"/>
        <family val="3"/>
        <charset val="134"/>
      </rPr>
      <t>单元</t>
    </r>
    <phoneticPr fontId="143" type="noConversion"/>
  </si>
  <si>
    <r>
      <rPr>
        <b/>
        <sz val="10"/>
        <color theme="1"/>
        <rFont val="FangSong"/>
        <family val="3"/>
        <charset val="134"/>
      </rPr>
      <t>计租面积</t>
    </r>
    <phoneticPr fontId="143" type="noConversion"/>
  </si>
  <si>
    <r>
      <rPr>
        <b/>
        <sz val="10"/>
        <color theme="1"/>
        <rFont val="FangSong"/>
        <family val="3"/>
        <charset val="134"/>
      </rPr>
      <t>开始日</t>
    </r>
    <phoneticPr fontId="143" type="noConversion"/>
  </si>
  <si>
    <r>
      <rPr>
        <b/>
        <sz val="10"/>
        <color theme="1"/>
        <rFont val="FangSong"/>
        <family val="3"/>
        <charset val="134"/>
      </rPr>
      <t>结束日</t>
    </r>
    <phoneticPr fontId="143" type="noConversion"/>
  </si>
  <si>
    <r>
      <rPr>
        <b/>
        <sz val="10"/>
        <color theme="1"/>
        <rFont val="FangSong"/>
        <family val="3"/>
        <charset val="134"/>
      </rPr>
      <t>日租金</t>
    </r>
    <phoneticPr fontId="143" type="noConversion"/>
  </si>
  <si>
    <t>租金*面积</t>
    <phoneticPr fontId="143" type="noConversion"/>
  </si>
  <si>
    <r>
      <rPr>
        <b/>
        <sz val="10"/>
        <color theme="1"/>
        <rFont val="等线"/>
        <family val="2"/>
      </rPr>
      <t>涨幅</t>
    </r>
    <phoneticPr fontId="143" type="noConversion"/>
  </si>
  <si>
    <t>商业</t>
    <phoneticPr fontId="143" type="noConversion"/>
  </si>
  <si>
    <r>
      <rPr>
        <sz val="10"/>
        <color theme="1"/>
        <rFont val="FangSong"/>
        <family val="3"/>
        <charset val="134"/>
      </rPr>
      <t>必胜客</t>
    </r>
    <phoneticPr fontId="143" type="noConversion"/>
  </si>
  <si>
    <t>1F</t>
    <phoneticPr fontId="143" type="noConversion"/>
  </si>
  <si>
    <t>商业</t>
    <phoneticPr fontId="143" type="noConversion"/>
  </si>
  <si>
    <r>
      <rPr>
        <sz val="10"/>
        <rFont val="FangSong"/>
        <family val="3"/>
        <charset val="134"/>
      </rPr>
      <t>和合谷</t>
    </r>
    <phoneticPr fontId="143" type="noConversion"/>
  </si>
  <si>
    <t>1F</t>
    <phoneticPr fontId="143" type="noConversion"/>
  </si>
  <si>
    <t>品聚成功（李连贵）</t>
    <phoneticPr fontId="143" type="noConversion"/>
  </si>
  <si>
    <t>商业</t>
    <phoneticPr fontId="143" type="noConversion"/>
  </si>
  <si>
    <t>邻鲜</t>
    <phoneticPr fontId="143" type="noConversion"/>
  </si>
  <si>
    <t>1F</t>
    <phoneticPr fontId="143" type="noConversion"/>
  </si>
  <si>
    <t>商业</t>
    <phoneticPr fontId="143" type="noConversion"/>
  </si>
  <si>
    <t>商业</t>
    <phoneticPr fontId="143" type="noConversion"/>
  </si>
  <si>
    <t>邻鲜</t>
    <phoneticPr fontId="143" type="noConversion"/>
  </si>
  <si>
    <t>1F</t>
    <phoneticPr fontId="143" type="noConversion"/>
  </si>
  <si>
    <t>商业</t>
    <phoneticPr fontId="143" type="noConversion"/>
  </si>
  <si>
    <r>
      <rPr>
        <sz val="10"/>
        <color theme="1"/>
        <rFont val="FangSong"/>
        <family val="3"/>
        <charset val="134"/>
      </rPr>
      <t>拾锅百味</t>
    </r>
    <phoneticPr fontId="143" type="noConversion"/>
  </si>
  <si>
    <t>1F</t>
    <phoneticPr fontId="143" type="noConversion"/>
  </si>
  <si>
    <t>商业</t>
    <phoneticPr fontId="143" type="noConversion"/>
  </si>
  <si>
    <t>大鸡合大利</t>
    <phoneticPr fontId="143" type="noConversion"/>
  </si>
  <si>
    <t>1F</t>
    <phoneticPr fontId="143" type="noConversion"/>
  </si>
  <si>
    <t>2F</t>
  </si>
  <si>
    <t>商业</t>
    <phoneticPr fontId="143" type="noConversion"/>
  </si>
  <si>
    <r>
      <rPr>
        <sz val="10"/>
        <color theme="1"/>
        <rFont val="FangSong"/>
        <family val="3"/>
        <charset val="134"/>
      </rPr>
      <t>秦面轩</t>
    </r>
    <phoneticPr fontId="143" type="noConversion"/>
  </si>
  <si>
    <t>1F</t>
    <phoneticPr fontId="143" type="noConversion"/>
  </si>
  <si>
    <t>商业</t>
    <phoneticPr fontId="143" type="noConversion"/>
  </si>
  <si>
    <r>
      <rPr>
        <sz val="10"/>
        <color theme="1"/>
        <rFont val="FangSong"/>
        <family val="3"/>
        <charset val="134"/>
      </rPr>
      <t>三和屋</t>
    </r>
    <phoneticPr fontId="143" type="noConversion"/>
  </si>
  <si>
    <t>1F</t>
    <phoneticPr fontId="143" type="noConversion"/>
  </si>
  <si>
    <t>商业</t>
    <phoneticPr fontId="143" type="noConversion"/>
  </si>
  <si>
    <r>
      <rPr>
        <sz val="10"/>
        <color theme="1"/>
        <rFont val="FangSong"/>
        <family val="3"/>
        <charset val="134"/>
      </rPr>
      <t>赣悦汤厨</t>
    </r>
    <phoneticPr fontId="143" type="noConversion"/>
  </si>
  <si>
    <t>1F</t>
    <phoneticPr fontId="143" type="noConversion"/>
  </si>
  <si>
    <t>商业</t>
    <phoneticPr fontId="143" type="noConversion"/>
  </si>
  <si>
    <r>
      <rPr>
        <sz val="10"/>
        <color theme="1"/>
        <rFont val="FangSong"/>
        <family val="3"/>
        <charset val="134"/>
      </rPr>
      <t>小院食光</t>
    </r>
    <phoneticPr fontId="143" type="noConversion"/>
  </si>
  <si>
    <t>1F</t>
    <phoneticPr fontId="143" type="noConversion"/>
  </si>
  <si>
    <t>商业</t>
    <phoneticPr fontId="143" type="noConversion"/>
  </si>
  <si>
    <r>
      <rPr>
        <sz val="10"/>
        <color theme="1"/>
        <rFont val="FangSong"/>
        <family val="3"/>
        <charset val="134"/>
      </rPr>
      <t>雕刻时光</t>
    </r>
    <phoneticPr fontId="143" type="noConversion"/>
  </si>
  <si>
    <t>1F</t>
    <phoneticPr fontId="143" type="noConversion"/>
  </si>
  <si>
    <t>商业</t>
    <phoneticPr fontId="143" type="noConversion"/>
  </si>
  <si>
    <t>商业</t>
    <phoneticPr fontId="143" type="noConversion"/>
  </si>
  <si>
    <r>
      <rPr>
        <sz val="10"/>
        <color theme="1"/>
        <rFont val="FangSong"/>
        <family val="3"/>
        <charset val="134"/>
      </rPr>
      <t>保护地友好生态科技</t>
    </r>
    <phoneticPr fontId="143" type="noConversion"/>
  </si>
  <si>
    <t>1F</t>
    <phoneticPr fontId="143" type="noConversion"/>
  </si>
  <si>
    <t>商业</t>
    <phoneticPr fontId="143" type="noConversion"/>
  </si>
  <si>
    <t>汉口码头（包房）</t>
    <phoneticPr fontId="143" type="noConversion"/>
  </si>
  <si>
    <t>1F</t>
    <phoneticPr fontId="143" type="noConversion"/>
  </si>
  <si>
    <t>商业</t>
    <phoneticPr fontId="143" type="noConversion"/>
  </si>
  <si>
    <t>商业</t>
    <phoneticPr fontId="143" type="noConversion"/>
  </si>
  <si>
    <t>汉口码头</t>
    <phoneticPr fontId="143" type="noConversion"/>
  </si>
  <si>
    <t>1F</t>
    <phoneticPr fontId="143" type="noConversion"/>
  </si>
  <si>
    <t>商业</t>
    <phoneticPr fontId="143" type="noConversion"/>
  </si>
  <si>
    <t>空置</t>
    <phoneticPr fontId="143" type="noConversion"/>
  </si>
  <si>
    <t>1F</t>
    <phoneticPr fontId="143" type="noConversion"/>
  </si>
  <si>
    <r>
      <rPr>
        <sz val="10"/>
        <color theme="1"/>
        <rFont val="FangSong"/>
        <family val="3"/>
        <charset val="134"/>
      </rPr>
      <t>众信旅游</t>
    </r>
    <phoneticPr fontId="143" type="noConversion"/>
  </si>
  <si>
    <r>
      <rPr>
        <sz val="10"/>
        <color theme="1"/>
        <rFont val="FangSong"/>
        <family val="3"/>
        <charset val="134"/>
      </rPr>
      <t>物美超市</t>
    </r>
    <phoneticPr fontId="143" type="noConversion"/>
  </si>
  <si>
    <t>B1</t>
    <phoneticPr fontId="143" type="noConversion"/>
  </si>
  <si>
    <t>B105</t>
    <phoneticPr fontId="143" type="noConversion"/>
  </si>
  <si>
    <t>商业</t>
    <phoneticPr fontId="143" type="noConversion"/>
  </si>
  <si>
    <t>商业</t>
    <phoneticPr fontId="143" type="noConversion"/>
  </si>
  <si>
    <t>商业</t>
    <phoneticPr fontId="143" type="noConversion"/>
  </si>
  <si>
    <r>
      <rPr>
        <sz val="10"/>
        <color theme="1"/>
        <rFont val="FangSong"/>
        <family val="3"/>
        <charset val="134"/>
      </rPr>
      <t>西贝万家餐饮</t>
    </r>
    <phoneticPr fontId="143" type="noConversion"/>
  </si>
  <si>
    <t>B1</t>
    <phoneticPr fontId="143" type="noConversion"/>
  </si>
  <si>
    <t>B101a</t>
    <phoneticPr fontId="143" type="noConversion"/>
  </si>
  <si>
    <t>商业</t>
    <phoneticPr fontId="143" type="noConversion"/>
  </si>
  <si>
    <t>商业</t>
    <phoneticPr fontId="143" type="noConversion"/>
  </si>
  <si>
    <t>空置</t>
    <phoneticPr fontId="143" type="noConversion"/>
  </si>
  <si>
    <t>B1</t>
    <phoneticPr fontId="143" type="noConversion"/>
  </si>
  <si>
    <t>B101b</t>
    <phoneticPr fontId="143" type="noConversion"/>
  </si>
  <si>
    <t>北京开盛餐饮（鱼你在一起）</t>
    <phoneticPr fontId="143" type="noConversion"/>
  </si>
  <si>
    <t>B102</t>
    <phoneticPr fontId="143" type="noConversion"/>
  </si>
  <si>
    <t>商业</t>
    <phoneticPr fontId="143" type="noConversion"/>
  </si>
  <si>
    <t>北京开盛餐饮（鱼你在一起）</t>
    <phoneticPr fontId="143" type="noConversion"/>
  </si>
  <si>
    <t>B1</t>
    <phoneticPr fontId="143" type="noConversion"/>
  </si>
  <si>
    <t>B102</t>
    <phoneticPr fontId="143" type="noConversion"/>
  </si>
  <si>
    <t>商业</t>
    <phoneticPr fontId="143" type="noConversion"/>
  </si>
  <si>
    <t>中讯通和商贸（中国移动）</t>
    <phoneticPr fontId="143" type="noConversion"/>
  </si>
  <si>
    <t>B106</t>
    <phoneticPr fontId="143" type="noConversion"/>
  </si>
  <si>
    <r>
      <rPr>
        <sz val="10"/>
        <color theme="1"/>
        <rFont val="FangSong"/>
        <family val="3"/>
        <charset val="134"/>
      </rPr>
      <t>招商证券</t>
    </r>
    <phoneticPr fontId="143" type="noConversion"/>
  </si>
  <si>
    <t>B103</t>
    <phoneticPr fontId="143" type="noConversion"/>
  </si>
  <si>
    <t>商业</t>
    <phoneticPr fontId="143" type="noConversion"/>
  </si>
  <si>
    <t>办公</t>
    <phoneticPr fontId="143" type="noConversion"/>
  </si>
  <si>
    <r>
      <rPr>
        <sz val="10"/>
        <color theme="1"/>
        <rFont val="FangSong"/>
        <family val="3"/>
        <charset val="134"/>
      </rPr>
      <t>百佑科技</t>
    </r>
    <phoneticPr fontId="143" type="noConversion"/>
  </si>
  <si>
    <t>2F</t>
    <phoneticPr fontId="143" type="noConversion"/>
  </si>
  <si>
    <t>租约5年，每两年涨10%</t>
    <phoneticPr fontId="143" type="noConversion"/>
  </si>
  <si>
    <t>办公</t>
    <phoneticPr fontId="143" type="noConversion"/>
  </si>
  <si>
    <t>办公</t>
    <phoneticPr fontId="143" type="noConversion"/>
  </si>
  <si>
    <r>
      <rPr>
        <sz val="10"/>
        <color theme="1"/>
        <rFont val="FangSong"/>
        <family val="3"/>
        <charset val="134"/>
      </rPr>
      <t>蓝图时代科技</t>
    </r>
    <phoneticPr fontId="143" type="noConversion"/>
  </si>
  <si>
    <t>3F</t>
    <phoneticPr fontId="143" type="noConversion"/>
  </si>
  <si>
    <t>301B-01</t>
    <phoneticPr fontId="143" type="noConversion"/>
  </si>
  <si>
    <t>剩余租约2年，2020年涨10%</t>
    <phoneticPr fontId="143" type="noConversion"/>
  </si>
  <si>
    <t>办公</t>
    <phoneticPr fontId="143" type="noConversion"/>
  </si>
  <si>
    <r>
      <rPr>
        <sz val="10"/>
        <color theme="1"/>
        <rFont val="FangSong"/>
        <family val="3"/>
        <charset val="134"/>
      </rPr>
      <t>优格华恒资本管理</t>
    </r>
    <phoneticPr fontId="143" type="noConversion"/>
  </si>
  <si>
    <t>3F</t>
    <phoneticPr fontId="143" type="noConversion"/>
  </si>
  <si>
    <t>剩余租约2年，2020年涨10%</t>
    <phoneticPr fontId="143" type="noConversion"/>
  </si>
  <si>
    <t>办公</t>
    <phoneticPr fontId="143" type="noConversion"/>
  </si>
  <si>
    <r>
      <rPr>
        <sz val="10"/>
        <rFont val="FangSong"/>
        <family val="3"/>
        <charset val="134"/>
      </rPr>
      <t>上海中清龙图</t>
    </r>
    <phoneticPr fontId="143" type="noConversion"/>
  </si>
  <si>
    <t>3F</t>
    <phoneticPr fontId="143" type="noConversion"/>
  </si>
  <si>
    <t>剩余租约2年，2020年涨10%</t>
    <phoneticPr fontId="143" type="noConversion"/>
  </si>
  <si>
    <t>办公</t>
    <phoneticPr fontId="143" type="noConversion"/>
  </si>
  <si>
    <r>
      <rPr>
        <sz val="10"/>
        <rFont val="FangSong"/>
        <family val="3"/>
        <charset val="134"/>
      </rPr>
      <t>上海中清龙图</t>
    </r>
    <phoneticPr fontId="143" type="noConversion"/>
  </si>
  <si>
    <t>3F</t>
    <phoneticPr fontId="143" type="noConversion"/>
  </si>
  <si>
    <t>剩余租约2年，2020年涨10%</t>
    <phoneticPr fontId="143" type="noConversion"/>
  </si>
  <si>
    <t>办公</t>
    <phoneticPr fontId="143" type="noConversion"/>
  </si>
  <si>
    <r>
      <rPr>
        <sz val="10"/>
        <rFont val="FangSong"/>
        <family val="3"/>
        <charset val="134"/>
      </rPr>
      <t>上海中清龙图</t>
    </r>
    <phoneticPr fontId="143" type="noConversion"/>
  </si>
  <si>
    <t>4F</t>
    <phoneticPr fontId="143" type="noConversion"/>
  </si>
  <si>
    <t>剩余租约2年，2020年涨10%</t>
    <phoneticPr fontId="143" type="noConversion"/>
  </si>
  <si>
    <t>办公</t>
    <phoneticPr fontId="143" type="noConversion"/>
  </si>
  <si>
    <r>
      <rPr>
        <sz val="10"/>
        <rFont val="FangSong"/>
        <family val="3"/>
        <charset val="134"/>
      </rPr>
      <t>嗨学网教育科技</t>
    </r>
    <phoneticPr fontId="143" type="noConversion"/>
  </si>
  <si>
    <t>4F</t>
    <phoneticPr fontId="143" type="noConversion"/>
  </si>
  <si>
    <t>剩余租约2年，2020年涨10%</t>
    <phoneticPr fontId="143" type="noConversion"/>
  </si>
  <si>
    <t>4F</t>
    <phoneticPr fontId="143" type="noConversion"/>
  </si>
  <si>
    <t>办公</t>
    <phoneticPr fontId="143" type="noConversion"/>
  </si>
  <si>
    <t>乔戈文化</t>
    <phoneticPr fontId="143" type="noConversion"/>
  </si>
  <si>
    <t>剩余租约2年，2020年涨10%</t>
    <phoneticPr fontId="143" type="noConversion"/>
  </si>
  <si>
    <t>收益法</t>
  </si>
  <si>
    <t>收益法 (元)</t>
  </si>
  <si>
    <t>押一</t>
  </si>
  <si>
    <t>按租金收入计税</t>
  </si>
  <si>
    <t>钢混</t>
  </si>
  <si>
    <t>非生产用房</t>
  </si>
  <si>
    <t>现房</t>
  </si>
  <si>
    <t>典型户型修正商业</t>
  </si>
  <si>
    <t>典型户型修正商业</t>
    <phoneticPr fontId="16" type="noConversion"/>
  </si>
  <si>
    <t>典型户型修正车位</t>
  </si>
  <si>
    <t>典型户型修正车位</t>
    <phoneticPr fontId="16" type="noConversion"/>
  </si>
  <si>
    <t>售价</t>
  </si>
  <si>
    <t>序号</t>
    <phoneticPr fontId="143" type="noConversion"/>
  </si>
  <si>
    <t>部位及房号</t>
    <phoneticPr fontId="143" type="noConversion"/>
  </si>
  <si>
    <t>建筑面积</t>
    <phoneticPr fontId="143" type="noConversion"/>
  </si>
  <si>
    <t>北京青年城</t>
    <phoneticPr fontId="3" type="noConversion"/>
  </si>
  <si>
    <t>正常</t>
  </si>
  <si>
    <t>车位</t>
    <phoneticPr fontId="32" type="noConversion"/>
  </si>
  <si>
    <t>30-40（含）</t>
  </si>
  <si>
    <t>较好</t>
  </si>
  <si>
    <t>七通</t>
  </si>
  <si>
    <t>多面临街</t>
  </si>
  <si>
    <t>双面临街</t>
  </si>
  <si>
    <t>单面临街</t>
  </si>
  <si>
    <t>不临街</t>
  </si>
  <si>
    <t>商业</t>
    <phoneticPr fontId="31" type="noConversion"/>
  </si>
  <si>
    <t>20-30（含）</t>
  </si>
  <si>
    <t>大</t>
  </si>
  <si>
    <t>较大</t>
  </si>
  <si>
    <t>一般</t>
  </si>
  <si>
    <t>较少</t>
  </si>
  <si>
    <t>少</t>
  </si>
  <si>
    <t>立体车位</t>
  </si>
  <si>
    <t>平面车位</t>
  </si>
  <si>
    <t>是</t>
    <phoneticPr fontId="32" type="noConversion"/>
  </si>
  <si>
    <t>否</t>
    <phoneticPr fontId="32" type="noConversion"/>
  </si>
  <si>
    <t>元/车位</t>
  </si>
  <si>
    <t>住宅</t>
  </si>
  <si>
    <t>住宅</t>
    <phoneticPr fontId="32" type="noConversion"/>
  </si>
  <si>
    <t>专业物业</t>
  </si>
  <si>
    <t>专业物业</t>
    <phoneticPr fontId="32" type="noConversion"/>
  </si>
  <si>
    <t>普通物业</t>
  </si>
  <si>
    <t>普通物业</t>
    <phoneticPr fontId="32" type="noConversion"/>
  </si>
  <si>
    <t>精装修</t>
  </si>
  <si>
    <t>普通装修</t>
  </si>
  <si>
    <t>简装</t>
  </si>
  <si>
    <t>毛坯</t>
  </si>
  <si>
    <t>世华泊郡</t>
    <phoneticPr fontId="3" type="noConversion"/>
  </si>
  <si>
    <t>40-50（含）</t>
  </si>
  <si>
    <t>亚奥金茂悦</t>
    <phoneticPr fontId="3" type="noConversion"/>
  </si>
  <si>
    <t>独栋商业</t>
  </si>
  <si>
    <t>钢混</t>
    <phoneticPr fontId="31" type="noConversion"/>
  </si>
  <si>
    <t>七通</t>
    <phoneticPr fontId="31" type="noConversion"/>
  </si>
  <si>
    <t>六通</t>
    <phoneticPr fontId="31" type="noConversion"/>
  </si>
  <si>
    <t>五通</t>
    <phoneticPr fontId="31" type="noConversion"/>
  </si>
  <si>
    <t>可明火</t>
  </si>
  <si>
    <t>可明火</t>
    <phoneticPr fontId="31" type="noConversion"/>
  </si>
  <si>
    <t>不可明火</t>
    <phoneticPr fontId="31" type="noConversion"/>
  </si>
  <si>
    <t>超高层高</t>
    <phoneticPr fontId="31" type="noConversion"/>
  </si>
  <si>
    <t>标准层高</t>
  </si>
  <si>
    <t>标准层高</t>
    <phoneticPr fontId="31" type="noConversion"/>
  </si>
  <si>
    <t>华贸城</t>
    <phoneticPr fontId="3" type="noConversion"/>
  </si>
  <si>
    <t>中国铁建广场</t>
    <phoneticPr fontId="3" type="noConversion"/>
  </si>
  <si>
    <t>北苑家园</t>
    <phoneticPr fontId="3" type="noConversion"/>
  </si>
  <si>
    <t>10-20（含）</t>
  </si>
  <si>
    <r>
      <t>（</t>
    </r>
    <r>
      <rPr>
        <sz val="10"/>
        <color rgb="FF000000"/>
        <rFont val="Arial"/>
        <family val="2"/>
      </rPr>
      <t>-1</t>
    </r>
    <r>
      <rPr>
        <sz val="10"/>
        <color rgb="FF000000"/>
        <rFont val="宋体"/>
        <family val="3"/>
        <charset val="134"/>
      </rPr>
      <t>）</t>
    </r>
  </si>
  <si>
    <t>（-1）</t>
  </si>
  <si>
    <t>收益比率</t>
  </si>
  <si>
    <t>自定义</t>
  </si>
  <si>
    <t>情况4</t>
  </si>
  <si>
    <t>转让取得</t>
  </si>
  <si>
    <t>建筑物价值</t>
  </si>
  <si>
    <t>建筑面积</t>
  </si>
  <si>
    <t>分摊土地面积</t>
  </si>
  <si>
    <t>较好</t>
    <phoneticPr fontId="25" type="noConversion"/>
  </si>
  <si>
    <t>七通</t>
    <phoneticPr fontId="25" type="noConversion"/>
  </si>
  <si>
    <t>一般</t>
    <phoneticPr fontId="25" type="noConversion"/>
  </si>
  <si>
    <t>商业街</t>
    <phoneticPr fontId="31" type="noConversion"/>
  </si>
  <si>
    <t>独栋商业</t>
    <phoneticPr fontId="31" type="noConversion"/>
  </si>
  <si>
    <t>办公配套商业</t>
    <phoneticPr fontId="31" type="noConversion"/>
  </si>
  <si>
    <t>住宅配套商业</t>
  </si>
  <si>
    <t>住宅配套商业</t>
    <phoneticPr fontId="31"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</si>
  <si>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</si>
  <si>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r>
      <t>分摊土地面积</t>
    </r>
    <r>
      <rPr>
        <sz val="10.5"/>
        <color theme="1"/>
        <rFont val="Times New Roman"/>
        <family val="1"/>
      </rPr>
      <t> </t>
    </r>
  </si>
  <si>
    <t>出让国有建设用地使用权价值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</si>
  <si>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</si>
  <si>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</si>
  <si>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</si>
  <si>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</si>
  <si>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北京市朝阳区北苑路</t>
    </r>
    <r>
      <rPr>
        <sz val="9"/>
        <color theme="1"/>
        <rFont val="Arial"/>
        <family val="2"/>
      </rPr>
      <t>28</t>
    </r>
    <r>
      <rPr>
        <sz val="9"/>
        <color theme="1"/>
        <rFont val="华文细黑"/>
        <family val="3"/>
        <charset val="134"/>
      </rPr>
      <t>号院</t>
    </r>
    <r>
      <rPr>
        <sz val="9"/>
        <color theme="1"/>
        <rFont val="Arial"/>
        <family val="2"/>
      </rPr>
      <t>1</t>
    </r>
    <r>
      <rPr>
        <sz val="9"/>
        <color theme="1"/>
        <rFont val="华文细黑"/>
        <family val="3"/>
        <charset val="134"/>
      </rPr>
      <t>号楼商业、车位用房房地产</t>
    </r>
  </si>
  <si>
    <t>大写金额</t>
  </si>
  <si>
    <t>估价师知悉的法定优先受偿款</t>
  </si>
  <si>
    <t>零元整</t>
  </si>
  <si>
    <t>抵押担保权已注销时的房地产抵押价值</t>
  </si>
  <si>
    <r>
      <t> </t>
    </r>
    <r>
      <rPr>
        <sz val="12"/>
        <color theme="1"/>
        <rFont val="宋体"/>
        <family val="3"/>
        <charset val="134"/>
      </rPr>
      <t>全称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</si>
</sst>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Red]\(#,##0.00\)"/>
    <numFmt numFmtId="199" formatCode="#,##0_);[Red]\(#,##0\)"/>
    <numFmt numFmtId="200" formatCode="_ * #,##0_ ;_ * \-#,##0_ ;_ * &quot;-&quot;??_ ;_ @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Calibri"/>
      <family val="2"/>
    </font>
    <font>
      <b/>
      <sz val="10"/>
      <color theme="1"/>
      <name val="FangSong"/>
      <family val="3"/>
      <charset val="134"/>
    </font>
    <font>
      <b/>
      <sz val="10"/>
      <color theme="1"/>
      <name val="等线"/>
      <family val="2"/>
    </font>
    <font>
      <sz val="10"/>
      <color theme="1"/>
      <name val="Calibri"/>
      <family val="2"/>
    </font>
    <font>
      <sz val="10"/>
      <color theme="1"/>
      <name val="FangSong"/>
      <family val="3"/>
      <charset val="134"/>
    </font>
    <font>
      <sz val="10"/>
      <name val="Calibri"/>
      <family val="2"/>
    </font>
    <font>
      <sz val="10"/>
      <color rgb="FF000000"/>
      <name val="Calibri"/>
      <family val="2"/>
    </font>
    <font>
      <sz val="10"/>
      <name val="FangSong"/>
      <family val="3"/>
      <charset val="134"/>
    </font>
    <font>
      <sz val="10"/>
      <color theme="1"/>
      <name val="Calibri"/>
      <family val="3"/>
      <charset val="134"/>
    </font>
    <font>
      <sz val="9"/>
      <color theme="1"/>
      <name val="宋体"/>
      <family val="3"/>
      <charset val="134"/>
      <scheme val="minor"/>
    </font>
    <font>
      <sz val="9"/>
      <color theme="1"/>
      <name val="华文细黑"/>
      <family val="3"/>
      <charset val="134"/>
    </font>
    <font>
      <sz val="9"/>
      <color theme="1"/>
      <name val="Arial"/>
      <family val="2"/>
    </font>
    <font>
      <sz val="10.5"/>
      <color theme="1"/>
      <name val="Times New Roman"/>
      <family val="1"/>
    </font>
    <font>
      <sz val="9"/>
      <color theme="1"/>
      <name val="宋体"/>
      <family val="3"/>
      <charset val="134"/>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00B0F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170" fillId="0" borderId="0" applyFont="0" applyFill="0" applyBorder="0" applyAlignment="0" applyProtection="0">
      <alignment vertical="center"/>
    </xf>
    <xf numFmtId="41" fontId="99" fillId="0" borderId="0" applyFont="0" applyFill="0" applyBorder="0" applyAlignment="0" applyProtection="0">
      <alignment vertical="center"/>
    </xf>
    <xf numFmtId="4" fontId="263" fillId="0" borderId="1">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83" fillId="0" borderId="0" xfId="0" applyFont="1" applyAlignment="1">
      <alignment horizontal="center" vertical="center"/>
    </xf>
    <xf numFmtId="0" fontId="170" fillId="0" borderId="0" xfId="12" applyAlignment="1">
      <alignment horizontal="left"/>
    </xf>
    <xf numFmtId="0" fontId="170" fillId="0" borderId="0" xfId="12" applyNumberFormat="1"/>
    <xf numFmtId="197" fontId="170" fillId="0" borderId="0" xfId="12" applyNumberFormat="1"/>
    <xf numFmtId="198" fontId="170" fillId="0" borderId="0" xfId="12" applyNumberFormat="1"/>
    <xf numFmtId="178" fontId="170" fillId="0" borderId="0" xfId="12" applyNumberFormat="1"/>
    <xf numFmtId="199" fontId="170" fillId="0" borderId="0" xfId="12" applyNumberFormat="1"/>
    <xf numFmtId="0" fontId="254" fillId="0" borderId="0" xfId="12" applyFont="1" applyAlignment="1">
      <alignment horizontal="center"/>
    </xf>
    <xf numFmtId="0" fontId="254" fillId="0" borderId="0" xfId="12" applyFont="1" applyFill="1" applyAlignment="1">
      <alignment horizontal="center"/>
    </xf>
    <xf numFmtId="0" fontId="145" fillId="0" borderId="0" xfId="12" applyFont="1" applyFill="1" applyAlignment="1">
      <alignment horizontal="center"/>
    </xf>
    <xf numFmtId="0" fontId="257" fillId="0" borderId="0" xfId="12" applyFont="1"/>
    <xf numFmtId="0" fontId="257" fillId="0" borderId="0" xfId="12" applyFont="1" applyFill="1" applyAlignment="1">
      <alignment horizontal="center" vertical="center"/>
    </xf>
    <xf numFmtId="0" fontId="254" fillId="0" borderId="0" xfId="12" applyFont="1" applyFill="1" applyAlignment="1">
      <alignment horizontal="right" vertical="center"/>
    </xf>
    <xf numFmtId="200" fontId="257" fillId="0" borderId="0" xfId="17" applyNumberFormat="1" applyFont="1" applyFill="1" applyAlignment="1">
      <alignment vertical="center"/>
    </xf>
    <xf numFmtId="14" fontId="259" fillId="0" borderId="0" xfId="12" applyNumberFormat="1" applyFont="1" applyFill="1" applyAlignment="1">
      <alignment vertical="center"/>
    </xf>
    <xf numFmtId="43" fontId="257" fillId="0" borderId="0" xfId="17" applyFont="1" applyFill="1" applyAlignment="1"/>
    <xf numFmtId="197" fontId="257" fillId="0" borderId="0" xfId="17" applyNumberFormat="1" applyFont="1" applyFill="1" applyAlignment="1"/>
    <xf numFmtId="0" fontId="257" fillId="17" borderId="0" xfId="12" applyFont="1" applyFill="1"/>
    <xf numFmtId="0" fontId="257" fillId="17" borderId="0" xfId="12" applyFont="1" applyFill="1" applyAlignment="1">
      <alignment horizontal="center"/>
    </xf>
    <xf numFmtId="0" fontId="257" fillId="17" borderId="0" xfId="12" applyFont="1" applyFill="1" applyAlignment="1">
      <alignment horizontal="right"/>
    </xf>
    <xf numFmtId="200" fontId="257" fillId="17" borderId="0" xfId="17" applyNumberFormat="1" applyFont="1" applyFill="1" applyAlignment="1"/>
    <xf numFmtId="14" fontId="257" fillId="0" borderId="0" xfId="12" applyNumberFormat="1" applyFont="1" applyAlignment="1">
      <alignment vertical="center"/>
    </xf>
    <xf numFmtId="14" fontId="260" fillId="0" borderId="0" xfId="12" applyNumberFormat="1" applyFont="1" applyFill="1" applyBorder="1" applyAlignment="1">
      <alignment vertical="center"/>
    </xf>
    <xf numFmtId="200" fontId="257" fillId="0" borderId="0" xfId="17" applyNumberFormat="1" applyFont="1" applyAlignment="1"/>
    <xf numFmtId="43" fontId="259" fillId="0" borderId="0" xfId="17" applyFont="1" applyFill="1" applyAlignment="1">
      <alignment vertical="center"/>
    </xf>
    <xf numFmtId="43" fontId="257" fillId="0" borderId="0" xfId="17" applyFont="1" applyFill="1" applyAlignment="1">
      <alignment vertical="center"/>
    </xf>
    <xf numFmtId="0" fontId="170" fillId="0" borderId="0" xfId="12" applyFill="1"/>
    <xf numFmtId="0" fontId="258" fillId="0" borderId="0" xfId="12" applyFont="1"/>
    <xf numFmtId="0" fontId="257" fillId="0" borderId="0" xfId="12" applyFont="1" applyAlignment="1">
      <alignment horizontal="right"/>
    </xf>
    <xf numFmtId="0" fontId="130" fillId="18" borderId="0" xfId="12" applyFont="1" applyFill="1"/>
    <xf numFmtId="0" fontId="257" fillId="18" borderId="0" xfId="12" applyFont="1" applyFill="1" applyAlignment="1">
      <alignment horizontal="center" vertical="center"/>
    </xf>
    <xf numFmtId="0" fontId="257" fillId="18" borderId="0" xfId="12" applyFont="1" applyFill="1" applyAlignment="1">
      <alignment horizontal="right"/>
    </xf>
    <xf numFmtId="200" fontId="257" fillId="18" borderId="0" xfId="17" applyNumberFormat="1" applyFont="1" applyFill="1" applyAlignment="1"/>
    <xf numFmtId="14" fontId="260" fillId="18" borderId="0" xfId="12" applyNumberFormat="1" applyFont="1" applyFill="1" applyBorder="1" applyAlignment="1">
      <alignment vertical="center"/>
    </xf>
    <xf numFmtId="43" fontId="257" fillId="18" borderId="0" xfId="17" applyFont="1" applyFill="1" applyAlignment="1">
      <alignment vertical="center"/>
    </xf>
    <xf numFmtId="0" fontId="130" fillId="0" borderId="0" xfId="12" applyFont="1" applyFill="1"/>
    <xf numFmtId="0" fontId="130" fillId="17" borderId="0" xfId="12" applyFont="1" applyFill="1"/>
    <xf numFmtId="0" fontId="257" fillId="17" borderId="0" xfId="12" applyFont="1" applyFill="1" applyAlignment="1">
      <alignment horizontal="center" vertical="center"/>
    </xf>
    <xf numFmtId="197" fontId="257" fillId="18" borderId="0" xfId="17" applyNumberFormat="1" applyFont="1" applyFill="1" applyAlignment="1"/>
    <xf numFmtId="0" fontId="257" fillId="0" borderId="0" xfId="12" applyFont="1" applyAlignment="1">
      <alignment horizontal="center"/>
    </xf>
    <xf numFmtId="0" fontId="258" fillId="18" borderId="0" xfId="12" applyFont="1" applyFill="1"/>
    <xf numFmtId="0" fontId="257" fillId="18" borderId="0" xfId="12" applyFont="1" applyFill="1" applyAlignment="1">
      <alignment horizontal="center"/>
    </xf>
    <xf numFmtId="0" fontId="258" fillId="0" borderId="0" xfId="12" applyFont="1" applyFill="1"/>
    <xf numFmtId="0" fontId="258" fillId="17" borderId="0" xfId="12" applyFont="1" applyFill="1"/>
    <xf numFmtId="14" fontId="259" fillId="17" borderId="0" xfId="12" applyNumberFormat="1" applyFont="1" applyFill="1" applyAlignment="1">
      <alignment vertical="center"/>
    </xf>
    <xf numFmtId="0" fontId="257" fillId="0" borderId="0" xfId="12" applyFont="1" applyFill="1" applyAlignment="1">
      <alignment horizontal="right" vertical="center"/>
    </xf>
    <xf numFmtId="14" fontId="257" fillId="17" borderId="0" xfId="12" applyNumberFormat="1" applyFont="1" applyFill="1"/>
    <xf numFmtId="0" fontId="257" fillId="17" borderId="0" xfId="12" applyFont="1" applyFill="1" applyAlignment="1">
      <alignment horizontal="right" vertical="center"/>
    </xf>
    <xf numFmtId="14" fontId="257" fillId="0" borderId="0" xfId="12" applyNumberFormat="1" applyFont="1"/>
    <xf numFmtId="0" fontId="170" fillId="17" borderId="0" xfId="12" applyFill="1"/>
    <xf numFmtId="14" fontId="170" fillId="0" borderId="0" xfId="12" applyNumberFormat="1" applyFill="1"/>
    <xf numFmtId="43" fontId="257" fillId="0" borderId="0" xfId="12" applyNumberFormat="1" applyFont="1" applyFill="1"/>
    <xf numFmtId="197" fontId="257" fillId="0" borderId="0" xfId="12" applyNumberFormat="1" applyFont="1" applyFill="1"/>
    <xf numFmtId="43" fontId="170" fillId="0" borderId="0" xfId="12" applyNumberFormat="1"/>
    <xf numFmtId="0" fontId="130" fillId="0" borderId="0" xfId="12" applyFont="1"/>
    <xf numFmtId="0" fontId="262" fillId="0" borderId="0" xfId="12" applyFont="1"/>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54" fillId="6" borderId="0" xfId="0" applyNumberFormat="1" applyFont="1" applyFill="1" applyAlignment="1" applyProtection="1">
      <alignment horizontal="center" vertical="center"/>
      <protection locked="0"/>
    </xf>
    <xf numFmtId="0" fontId="174" fillId="10" borderId="9" xfId="0" applyNumberFormat="1" applyFont="1" applyFill="1" applyBorder="1" applyAlignment="1" applyProtection="1">
      <alignment horizontal="center" vertical="center" wrapText="1"/>
      <protection locked="0"/>
    </xf>
    <xf numFmtId="200" fontId="170" fillId="0" borderId="0" xfId="12" applyNumberForma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0" fillId="19" borderId="1" xfId="1" applyNumberFormat="1" applyFont="1" applyFill="1" applyBorder="1" applyAlignment="1" applyProtection="1">
      <alignment horizontal="center" vertical="center"/>
      <protection locked="0"/>
    </xf>
    <xf numFmtId="0" fontId="56" fillId="19" borderId="10" xfId="1"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47" fillId="19" borderId="5" xfId="0" applyFont="1" applyFill="1" applyBorder="1" applyAlignment="1" applyProtection="1">
      <alignment horizontal="center" vertical="center" wrapText="1"/>
    </xf>
    <xf numFmtId="181" fontId="55" fillId="19" borderId="61" xfId="0" applyNumberFormat="1" applyFont="1" applyFill="1" applyBorder="1" applyAlignment="1" applyProtection="1">
      <alignment horizontal="center" vertical="center"/>
      <protection locked="0"/>
    </xf>
    <xf numFmtId="0" fontId="47" fillId="19" borderId="24" xfId="0" applyFont="1" applyFill="1" applyBorder="1" applyAlignment="1" applyProtection="1">
      <alignment horizontal="center" vertical="center" wrapText="1"/>
    </xf>
    <xf numFmtId="0" fontId="63" fillId="19" borderId="1" xfId="0" applyNumberFormat="1" applyFont="1" applyFill="1" applyBorder="1" applyAlignment="1" applyProtection="1">
      <alignment horizontal="center" vertical="center"/>
      <protection locked="0"/>
    </xf>
    <xf numFmtId="0" fontId="183" fillId="19" borderId="0" xfId="0" applyFont="1" applyFill="1" applyAlignment="1">
      <alignment horizontal="center" vertical="center"/>
    </xf>
    <xf numFmtId="0" fontId="264" fillId="0" borderId="159" xfId="0" applyFont="1" applyBorder="1" applyAlignment="1">
      <alignment vertical="center" wrapText="1"/>
    </xf>
    <xf numFmtId="0" fontId="264" fillId="0" borderId="157" xfId="0" applyFont="1" applyBorder="1" applyAlignment="1">
      <alignment vertical="center" wrapText="1"/>
    </xf>
    <xf numFmtId="0" fontId="265" fillId="0" borderId="159" xfId="0" applyFont="1" applyBorder="1" applyAlignment="1">
      <alignment vertical="center" wrapText="1"/>
    </xf>
    <xf numFmtId="0" fontId="264" fillId="0" borderId="156" xfId="0" applyFont="1" applyBorder="1" applyAlignment="1">
      <alignment vertical="center" wrapText="1"/>
    </xf>
    <xf numFmtId="0" fontId="264" fillId="0" borderId="157" xfId="0" applyFont="1" applyBorder="1" applyAlignment="1">
      <alignment vertical="center" wrapText="1"/>
    </xf>
    <xf numFmtId="0" fontId="264" fillId="0" borderId="160" xfId="0" applyFont="1" applyBorder="1" applyAlignment="1">
      <alignment vertical="center" wrapText="1"/>
    </xf>
    <xf numFmtId="0" fontId="264" fillId="0" borderId="158" xfId="0" applyFont="1" applyBorder="1" applyAlignment="1">
      <alignment vertical="center" wrapText="1"/>
    </xf>
    <xf numFmtId="0" fontId="264" fillId="0" borderId="161" xfId="0" applyFont="1" applyBorder="1" applyAlignment="1">
      <alignment vertical="center" wrapText="1"/>
    </xf>
    <xf numFmtId="0" fontId="264" fillId="0" borderId="162" xfId="0" applyFont="1" applyBorder="1" applyAlignment="1">
      <alignment vertical="center" wrapText="1"/>
    </xf>
    <xf numFmtId="0" fontId="264" fillId="0" borderId="163" xfId="0" applyFont="1" applyBorder="1" applyAlignment="1">
      <alignment vertical="center" wrapText="1"/>
    </xf>
    <xf numFmtId="0" fontId="267" fillId="0" borderId="161" xfId="0" applyFont="1" applyBorder="1" applyAlignment="1">
      <alignment vertical="center" wrapText="1"/>
    </xf>
    <xf numFmtId="0" fontId="267" fillId="0" borderId="163" xfId="0" applyFont="1" applyBorder="1" applyAlignment="1">
      <alignment vertical="center" wrapText="1"/>
    </xf>
    <xf numFmtId="0" fontId="268" fillId="0" borderId="161" xfId="0" applyFont="1" applyBorder="1" applyAlignment="1">
      <alignment vertical="center" wrapText="1"/>
    </xf>
    <xf numFmtId="0" fontId="268" fillId="0" borderId="162" xfId="0" applyFont="1" applyBorder="1" applyAlignment="1">
      <alignment vertical="center" wrapText="1"/>
    </xf>
    <xf numFmtId="0" fontId="268" fillId="0" borderId="163" xfId="0" applyFont="1" applyBorder="1" applyAlignment="1">
      <alignment vertical="center" wrapText="1"/>
    </xf>
    <xf numFmtId="0" fontId="269" fillId="0" borderId="161" xfId="0" applyFont="1" applyBorder="1" applyAlignment="1">
      <alignment vertical="center" wrapText="1"/>
    </xf>
    <xf numFmtId="0" fontId="269" fillId="0" borderId="162" xfId="0" applyFont="1" applyBorder="1" applyAlignment="1">
      <alignment vertical="center" wrapText="1"/>
    </xf>
    <xf numFmtId="0" fontId="269" fillId="0" borderId="163" xfId="0" applyFont="1" applyBorder="1" applyAlignment="1">
      <alignment vertical="center" wrapText="1"/>
    </xf>
    <xf numFmtId="0" fontId="267" fillId="0" borderId="162" xfId="0" applyFont="1" applyBorder="1" applyAlignment="1">
      <alignment vertical="center" wrapText="1"/>
    </xf>
    <xf numFmtId="0" fontId="265" fillId="0" borderId="161" xfId="0" applyFont="1" applyBorder="1" applyAlignment="1">
      <alignment vertical="center" wrapText="1"/>
    </xf>
    <xf numFmtId="0" fontId="265" fillId="0" borderId="162" xfId="0" applyFont="1" applyBorder="1" applyAlignment="1">
      <alignment vertical="center" wrapText="1"/>
    </xf>
    <xf numFmtId="0" fontId="265" fillId="0" borderId="163" xfId="0" applyFont="1" applyBorder="1" applyAlignment="1">
      <alignment vertical="center" wrapText="1"/>
    </xf>
    <xf numFmtId="0" fontId="266" fillId="0" borderId="0" xfId="0" applyFont="1">
      <alignment vertical="center"/>
    </xf>
    <xf numFmtId="182" fontId="267" fillId="0" borderId="161" xfId="0" applyNumberFormat="1" applyFont="1" applyBorder="1" applyAlignment="1">
      <alignment vertical="center" wrapText="1"/>
    </xf>
    <xf numFmtId="182" fontId="267" fillId="0" borderId="163" xfId="0" applyNumberFormat="1" applyFont="1" applyBorder="1" applyAlignment="1">
      <alignment vertical="center" wrapText="1"/>
    </xf>
    <xf numFmtId="182" fontId="264" fillId="0" borderId="161" xfId="0" applyNumberFormat="1" applyFont="1" applyBorder="1" applyAlignment="1">
      <alignment vertical="center" wrapText="1"/>
    </xf>
    <xf numFmtId="182" fontId="264" fillId="0" borderId="163" xfId="0" applyNumberFormat="1" applyFont="1" applyBorder="1" applyAlignment="1">
      <alignment vertical="center" wrapText="1"/>
    </xf>
    <xf numFmtId="9" fontId="50" fillId="19" borderId="5" xfId="0"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0" fontId="47" fillId="19" borderId="28" xfId="0" applyFont="1" applyFill="1" applyBorder="1" applyAlignment="1" applyProtection="1">
      <alignment horizontal="center" vertical="center" wrapText="1"/>
    </xf>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 name="千位分隔[0] 2" xfId="18"/>
    <cellStyle name="样式 1" xfId="19"/>
  </cellStyles>
  <dxfs count="23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numFmt numFmtId="198" formatCode="#,##0.00_);[Red]\(#,##0.00\)"/>
    </dxf>
    <dxf>
      <numFmt numFmtId="178" formatCode="0.0_ "/>
    </dxf>
    <dxf>
      <numFmt numFmtId="199" formatCode="#,##0_);[Red]\(#,##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xdr:row>
      <xdr:rowOff>1</xdr:rowOff>
    </xdr:from>
    <xdr:to>
      <xdr:col>10</xdr:col>
      <xdr:colOff>471522</xdr:colOff>
      <xdr:row>23</xdr:row>
      <xdr:rowOff>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933701"/>
          <a:ext cx="6824697" cy="1885950"/>
        </a:xfrm>
        <a:prstGeom prst="rect">
          <a:avLst/>
        </a:prstGeom>
      </xdr:spPr>
    </xdr:pic>
    <xdr:clientData/>
  </xdr:twoCellAnchor>
  <xdr:twoCellAnchor editAs="oneCell">
    <xdr:from>
      <xdr:col>1</xdr:col>
      <xdr:colOff>0</xdr:colOff>
      <xdr:row>25</xdr:row>
      <xdr:rowOff>0</xdr:rowOff>
    </xdr:from>
    <xdr:to>
      <xdr:col>9</xdr:col>
      <xdr:colOff>476250</xdr:colOff>
      <xdr:row>43</xdr:row>
      <xdr:rowOff>74109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238750"/>
          <a:ext cx="6143625" cy="3846009"/>
        </a:xfrm>
        <a:prstGeom prst="rect">
          <a:avLst/>
        </a:prstGeom>
      </xdr:spPr>
    </xdr:pic>
    <xdr:clientData/>
  </xdr:twoCellAnchor>
  <xdr:twoCellAnchor editAs="oneCell">
    <xdr:from>
      <xdr:col>1</xdr:col>
      <xdr:colOff>0</xdr:colOff>
      <xdr:row>45</xdr:row>
      <xdr:rowOff>0</xdr:rowOff>
    </xdr:from>
    <xdr:to>
      <xdr:col>12</xdr:col>
      <xdr:colOff>414565</xdr:colOff>
      <xdr:row>55</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429750"/>
          <a:ext cx="8139340" cy="2114550"/>
        </a:xfrm>
        <a:prstGeom prst="rect">
          <a:avLst/>
        </a:prstGeom>
      </xdr:spPr>
    </xdr:pic>
    <xdr:clientData/>
  </xdr:twoCellAnchor>
  <xdr:twoCellAnchor editAs="oneCell">
    <xdr:from>
      <xdr:col>1</xdr:col>
      <xdr:colOff>0</xdr:colOff>
      <xdr:row>57</xdr:row>
      <xdr:rowOff>1</xdr:rowOff>
    </xdr:from>
    <xdr:to>
      <xdr:col>10</xdr:col>
      <xdr:colOff>152400</xdr:colOff>
      <xdr:row>77</xdr:row>
      <xdr:rowOff>36325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944351"/>
          <a:ext cx="6505575" cy="4227324"/>
        </a:xfrm>
        <a:prstGeom prst="rect">
          <a:avLst/>
        </a:prstGeom>
      </xdr:spPr>
    </xdr:pic>
    <xdr:clientData/>
  </xdr:twoCellAnchor>
  <xdr:twoCellAnchor editAs="oneCell">
    <xdr:from>
      <xdr:col>1</xdr:col>
      <xdr:colOff>0</xdr:colOff>
      <xdr:row>79</xdr:row>
      <xdr:rowOff>0</xdr:rowOff>
    </xdr:from>
    <xdr:to>
      <xdr:col>13</xdr:col>
      <xdr:colOff>74865</xdr:colOff>
      <xdr:row>90</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6554450"/>
          <a:ext cx="8485440" cy="2390775"/>
        </a:xfrm>
        <a:prstGeom prst="rect">
          <a:avLst/>
        </a:prstGeom>
      </xdr:spPr>
    </xdr:pic>
    <xdr:clientData/>
  </xdr:twoCellAnchor>
  <xdr:twoCellAnchor editAs="oneCell">
    <xdr:from>
      <xdr:col>1</xdr:col>
      <xdr:colOff>0</xdr:colOff>
      <xdr:row>92</xdr:row>
      <xdr:rowOff>0</xdr:rowOff>
    </xdr:from>
    <xdr:to>
      <xdr:col>11</xdr:col>
      <xdr:colOff>65787</xdr:colOff>
      <xdr:row>112</xdr:row>
      <xdr:rowOff>104238</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9278600"/>
          <a:ext cx="7104762" cy="4295238"/>
        </a:xfrm>
        <a:prstGeom prst="rect">
          <a:avLst/>
        </a:prstGeom>
      </xdr:spPr>
    </xdr:pic>
    <xdr:clientData/>
  </xdr:twoCellAnchor>
  <xdr:twoCellAnchor editAs="oneCell">
    <xdr:from>
      <xdr:col>12</xdr:col>
      <xdr:colOff>1</xdr:colOff>
      <xdr:row>1</xdr:row>
      <xdr:rowOff>0</xdr:rowOff>
    </xdr:from>
    <xdr:to>
      <xdr:col>23</xdr:col>
      <xdr:colOff>114301</xdr:colOff>
      <xdr:row>9</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1" y="209550"/>
          <a:ext cx="7658100" cy="1743075"/>
        </a:xfrm>
        <a:prstGeom prst="rect">
          <a:avLst/>
        </a:prstGeom>
      </xdr:spPr>
    </xdr:pic>
    <xdr:clientData/>
  </xdr:twoCellAnchor>
  <xdr:twoCellAnchor editAs="oneCell">
    <xdr:from>
      <xdr:col>12</xdr:col>
      <xdr:colOff>0</xdr:colOff>
      <xdr:row>10</xdr:row>
      <xdr:rowOff>0</xdr:rowOff>
    </xdr:from>
    <xdr:to>
      <xdr:col>23</xdr:col>
      <xdr:colOff>285749</xdr:colOff>
      <xdr:row>18</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2095500"/>
          <a:ext cx="7829549" cy="1838325"/>
        </a:xfrm>
        <a:prstGeom prst="rect">
          <a:avLst/>
        </a:prstGeom>
      </xdr:spPr>
    </xdr:pic>
    <xdr:clientData/>
  </xdr:twoCellAnchor>
  <xdr:twoCellAnchor editAs="oneCell">
    <xdr:from>
      <xdr:col>12</xdr:col>
      <xdr:colOff>0</xdr:colOff>
      <xdr:row>20</xdr:row>
      <xdr:rowOff>0</xdr:rowOff>
    </xdr:from>
    <xdr:to>
      <xdr:col>23</xdr:col>
      <xdr:colOff>371475</xdr:colOff>
      <xdr:row>28</xdr:row>
      <xdr:rowOff>85725</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4191000"/>
          <a:ext cx="7915275" cy="1762125"/>
        </a:xfrm>
        <a:prstGeom prst="rect">
          <a:avLst/>
        </a:prstGeom>
      </xdr:spPr>
    </xdr:pic>
    <xdr:clientData/>
  </xdr:twoCellAnchor>
  <xdr:twoCellAnchor editAs="oneCell">
    <xdr:from>
      <xdr:col>11</xdr:col>
      <xdr:colOff>438150</xdr:colOff>
      <xdr:row>29</xdr:row>
      <xdr:rowOff>190501</xdr:rowOff>
    </xdr:from>
    <xdr:to>
      <xdr:col>24</xdr:col>
      <xdr:colOff>142875</xdr:colOff>
      <xdr:row>36</xdr:row>
      <xdr:rowOff>204453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981950" y="6267451"/>
          <a:ext cx="8620125" cy="1480802"/>
        </a:xfrm>
        <a:prstGeom prst="rect">
          <a:avLst/>
        </a:prstGeom>
      </xdr:spPr>
    </xdr:pic>
    <xdr:clientData/>
  </xdr:twoCellAnchor>
  <xdr:twoCellAnchor editAs="oneCell">
    <xdr:from>
      <xdr:col>18</xdr:col>
      <xdr:colOff>0</xdr:colOff>
      <xdr:row>60</xdr:row>
      <xdr:rowOff>0</xdr:rowOff>
    </xdr:from>
    <xdr:to>
      <xdr:col>29</xdr:col>
      <xdr:colOff>456201</xdr:colOff>
      <xdr:row>80</xdr:row>
      <xdr:rowOff>75667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2344400" y="12573000"/>
          <a:ext cx="8000001" cy="4266667"/>
        </a:xfrm>
        <a:prstGeom prst="rect">
          <a:avLst/>
        </a:prstGeom>
      </xdr:spPr>
    </xdr:pic>
    <xdr:clientData/>
  </xdr:twoCellAnchor>
  <xdr:twoCellAnchor editAs="oneCell">
    <xdr:from>
      <xdr:col>18</xdr:col>
      <xdr:colOff>0</xdr:colOff>
      <xdr:row>49</xdr:row>
      <xdr:rowOff>0</xdr:rowOff>
    </xdr:from>
    <xdr:to>
      <xdr:col>31</xdr:col>
      <xdr:colOff>360791</xdr:colOff>
      <xdr:row>58</xdr:row>
      <xdr:rowOff>85479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2344400" y="10267950"/>
          <a:ext cx="9276191" cy="197142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Documents%20and%20Settings/Administrator/&#26700;&#38754;/&#26397;&#38451;&#21306;&#21271;&#33489;&#36335;28&#21495;&#38498;1&#21495;&#27004;/P01/&#36164;&#26009;/&#21271;&#33489;&#39033;&#30446;&#31199;&#37329;&#26126;&#32454;&#349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作者" refreshedDate="43523.583342708334" createdVersion="6" refreshedVersion="4" minRefreshableVersion="3" recordCount="73">
  <cacheSource type="worksheet">
    <worksheetSource ref="B4:P79" sheet="Adj RR" r:id="rId2"/>
  </cacheSource>
  <cacheFields count="16">
    <cacheField name="业态" numFmtId="0">
      <sharedItems containsBlank="1" count="3">
        <s v="商业"/>
        <m/>
        <s v="办公"/>
      </sharedItems>
    </cacheField>
    <cacheField name="是否在租" numFmtId="0">
      <sharedItems containsString="0" containsBlank="1" containsNumber="1" containsInteger="1" minValue="0" maxValue="1" count="3">
        <n v="1"/>
        <n v="0"/>
        <m/>
      </sharedItems>
    </cacheField>
    <cacheField name="是否沿街" numFmtId="0">
      <sharedItems containsString="0" containsBlank="1" containsNumber="1" containsInteger="1" minValue="0" maxValue="1"/>
    </cacheField>
    <cacheField name="是否重复" numFmtId="0">
      <sharedItems containsString="0" containsBlank="1" containsNumber="1" containsInteger="1" minValue="0" maxValue="1" count="3">
        <n v="0"/>
        <n v="1"/>
        <m/>
      </sharedItems>
    </cacheField>
    <cacheField name="租户" numFmtId="0">
      <sharedItems containsBlank="1"/>
    </cacheField>
    <cacheField name="层" numFmtId="0">
      <sharedItems containsBlank="1"/>
    </cacheField>
    <cacheField name="单元" numFmtId="0">
      <sharedItems containsBlank="1" containsMixedTypes="1" containsNumber="1" containsInteger="1" minValue="101" maxValue="409"/>
    </cacheField>
    <cacheField name="计租面积" numFmtId="0">
      <sharedItems containsString="0" containsBlank="1" containsNumber="1" minValue="27.1" maxValue="6540"/>
    </cacheField>
    <cacheField name="开始日" numFmtId="14">
      <sharedItems containsNonDate="0" containsDate="1" containsString="0" containsBlank="1" minDate="2017-05-01T00:00:00" maxDate="2028-01-02T00:00:00"/>
    </cacheField>
    <cacheField name="结束日" numFmtId="14">
      <sharedItems containsNonDate="0" containsDate="1" containsString="0" containsBlank="1" minDate="2019-04-30T00:00:00" maxDate="2028-07-01T00:00:00"/>
    </cacheField>
    <cacheField name="日租金" numFmtId="43">
      <sharedItems containsString="0" containsBlank="1" containsNumber="1" minValue="2.6" maxValue="18.7"/>
    </cacheField>
    <cacheField name="租金*面积" numFmtId="178">
      <sharedItems containsString="0" containsBlank="1" containsNumber="1" minValue="0" maxValue="49063.013698630151"/>
    </cacheField>
    <cacheField name="违约成本1" numFmtId="0">
      <sharedItems containsString="0" containsBlank="1" containsNumber="1" minValue="3.01" maxValue="400"/>
    </cacheField>
    <cacheField name="违约成本2" numFmtId="0">
      <sharedItems containsBlank="1"/>
    </cacheField>
    <cacheField name="备注" numFmtId="0">
      <sharedItems containsBlank="1" containsMixedTypes="1" containsNumber="1" minValue="260703.89" maxValue="403207.3"/>
    </cacheField>
    <cacheField name="加权平均日租金" numFmtId="0" formula="'租金*面积'/计租面积"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3">
  <r>
    <x v="0"/>
    <x v="0"/>
    <n v="1"/>
    <x v="0"/>
    <s v="必胜客"/>
    <s v="1F"/>
    <n v="101"/>
    <n v="320"/>
    <d v="2019-01-01T00:00:00"/>
    <d v="2019-12-31T00:00:00"/>
    <n v="9.237419520547947"/>
    <n v="2955.9742465753429"/>
    <m/>
    <s v="合同载“任何单方面终止本合同皆视为违约，违约方应向对方赔偿因本合同提前终止而遭受的一切损失"/>
    <m/>
  </r>
  <r>
    <x v="0"/>
    <x v="0"/>
    <n v="1"/>
    <x v="1"/>
    <s v="必胜客"/>
    <s v="1F"/>
    <n v="101"/>
    <n v="320"/>
    <d v="2020-01-01T00:00:00"/>
    <d v="2020-12-31T00:00:00"/>
    <n v="10.222054452054795"/>
    <n v="3271.0574246575343"/>
    <m/>
    <m/>
    <m/>
  </r>
  <r>
    <x v="0"/>
    <x v="0"/>
    <n v="1"/>
    <x v="1"/>
    <s v="必胜客"/>
    <s v="1F"/>
    <n v="101"/>
    <n v="320"/>
    <d v="2021-01-01T00:00:00"/>
    <d v="2021-12-31T00:00:00"/>
    <n v="10.374506849315068"/>
    <n v="3319.8421917808218"/>
    <m/>
    <m/>
    <m/>
  </r>
  <r>
    <x v="0"/>
    <x v="0"/>
    <n v="1"/>
    <x v="1"/>
    <s v="必胜客"/>
    <s v="1F"/>
    <n v="101"/>
    <n v="320"/>
    <d v="2022-01-01T00:00:00"/>
    <d v="2022-12-31T00:00:00"/>
    <n v="11.24425993150685"/>
    <n v="3598.1631780821917"/>
    <m/>
    <m/>
    <m/>
  </r>
  <r>
    <x v="0"/>
    <x v="0"/>
    <n v="1"/>
    <x v="1"/>
    <s v="必胜客"/>
    <s v="1F"/>
    <n v="101"/>
    <n v="320"/>
    <d v="2023-01-01T00:00:00"/>
    <d v="2023-12-31T00:00:00"/>
    <n v="11.411957534246575"/>
    <n v="3651.826410958904"/>
    <m/>
    <m/>
    <m/>
  </r>
  <r>
    <x v="0"/>
    <x v="0"/>
    <n v="1"/>
    <x v="1"/>
    <s v="必胜客"/>
    <s v="1F"/>
    <n v="101"/>
    <n v="320"/>
    <d v="2024-01-01T00:00:00"/>
    <d v="2024-12-31T00:00:00"/>
    <n v="12.368685958904109"/>
    <n v="3957.9795068493149"/>
    <m/>
    <m/>
    <n v="361165.63"/>
  </r>
  <r>
    <x v="0"/>
    <x v="0"/>
    <n v="1"/>
    <x v="1"/>
    <s v="必胜客"/>
    <s v="1F"/>
    <n v="101"/>
    <n v="320"/>
    <d v="2025-01-01T00:00:00"/>
    <d v="2025-12-31T00:00:00"/>
    <n v="12.552126027397261"/>
    <n v="4016.6803287671237"/>
    <m/>
    <m/>
    <n v="366522.08"/>
  </r>
  <r>
    <x v="0"/>
    <x v="0"/>
    <n v="1"/>
    <x v="1"/>
    <s v="必胜客"/>
    <s v="1F"/>
    <n v="101"/>
    <n v="320"/>
    <d v="2026-01-01T00:00:00"/>
    <d v="2026-12-31T00:00:00"/>
    <n v="13.605554794520549"/>
    <n v="4353.7775342465757"/>
    <m/>
    <m/>
    <n v="397282.2"/>
  </r>
  <r>
    <x v="0"/>
    <x v="0"/>
    <n v="1"/>
    <x v="1"/>
    <s v="必胜客"/>
    <s v="1F"/>
    <n v="101"/>
    <n v="320"/>
    <d v="2027-01-01T00:00:00"/>
    <d v="2027-12-31T00:00:00"/>
    <n v="13.808469178082191"/>
    <n v="4418.7101369863012"/>
    <m/>
    <m/>
    <n v="403207.3"/>
  </r>
  <r>
    <x v="0"/>
    <x v="0"/>
    <n v="1"/>
    <x v="1"/>
    <s v="必胜客"/>
    <s v="1F"/>
    <n v="101"/>
    <n v="320"/>
    <d v="2028-01-01T00:00:00"/>
    <d v="2028-02-29T00:00:00"/>
    <n v="13.578327604166669"/>
    <n v="4345.0648333333338"/>
    <m/>
    <m/>
    <n v="260703.89"/>
  </r>
  <r>
    <x v="0"/>
    <x v="0"/>
    <n v="1"/>
    <x v="0"/>
    <s v="和合谷"/>
    <s v="1F"/>
    <n v="102"/>
    <n v="80"/>
    <d v="2018-03-21T00:00:00"/>
    <d v="2020-03-20T00:00:00"/>
    <n v="14.74"/>
    <n v="1179.2"/>
    <n v="9.782"/>
    <s v="赔偿所有损失"/>
    <m/>
  </r>
  <r>
    <x v="0"/>
    <x v="0"/>
    <n v="1"/>
    <x v="1"/>
    <s v="和合谷"/>
    <s v="1F"/>
    <n v="102"/>
    <n v="80"/>
    <d v="2020-03-21T00:00:00"/>
    <d v="2021-03-21T00:00:00"/>
    <n v="16.21"/>
    <n v="1296.8000000000002"/>
    <m/>
    <m/>
    <m/>
  </r>
  <r>
    <x v="0"/>
    <x v="0"/>
    <n v="1"/>
    <x v="0"/>
    <s v="品聚成功（李连贵）"/>
    <s v="1F"/>
    <n v="103"/>
    <n v="158"/>
    <d v="2018-03-01T00:00:00"/>
    <d v="2020-02-29T00:00:00"/>
    <n v="14.74"/>
    <n v="2328.92"/>
    <n v="19.319400000000002"/>
    <s v="赔偿装修损失"/>
    <m/>
  </r>
  <r>
    <x v="0"/>
    <x v="0"/>
    <n v="1"/>
    <x v="1"/>
    <s v="品聚成功（李连贵）"/>
    <s v="1F"/>
    <n v="103"/>
    <n v="158"/>
    <d v="2020-03-01T00:00:00"/>
    <d v="2022-02-28T00:00:00"/>
    <n v="16.21"/>
    <n v="2561.1800000000003"/>
    <m/>
    <m/>
    <m/>
  </r>
  <r>
    <x v="0"/>
    <x v="0"/>
    <n v="1"/>
    <x v="0"/>
    <s v="无"/>
    <s v="1F"/>
    <n v="105"/>
    <n v="78"/>
    <m/>
    <m/>
    <m/>
    <m/>
    <m/>
    <m/>
    <s v="邻里家已于2018年12月6日签订退租协议，台账中显示为2018年12月新签邻鲜便利店，但是一直未进驻"/>
  </r>
  <r>
    <x v="0"/>
    <x v="0"/>
    <n v="0"/>
    <x v="0"/>
    <s v="拾锅百味"/>
    <s v="1F"/>
    <n v="106"/>
    <n v="196"/>
    <d v="2018-02-01T00:00:00"/>
    <d v="2020-01-31T00:00:00"/>
    <n v="8.0299999999999994"/>
    <n v="1573.8799999999999"/>
    <n v="13.055999999999999"/>
    <s v="赔偿装修损失"/>
    <m/>
  </r>
  <r>
    <x v="0"/>
    <x v="0"/>
    <n v="0"/>
    <x v="1"/>
    <s v="拾锅百味"/>
    <s v="1F"/>
    <n v="106"/>
    <n v="196"/>
    <d v="2020-02-01T00:00:00"/>
    <d v="2021-01-31T00:00:00"/>
    <n v="8.83"/>
    <n v="1730.68"/>
    <m/>
    <m/>
    <m/>
  </r>
  <r>
    <x v="0"/>
    <x v="0"/>
    <n v="0"/>
    <x v="0"/>
    <s v="大鸡合大利"/>
    <s v="1F"/>
    <n v="107"/>
    <n v="171"/>
    <d v="2018-09-01T00:00:00"/>
    <d v="2020-08-31T00:00:00"/>
    <n v="7.8"/>
    <n v="1333.8"/>
    <n v="12.1709"/>
    <s v="赔偿装修损失"/>
    <m/>
  </r>
  <r>
    <x v="1"/>
    <x v="0"/>
    <n v="1"/>
    <x v="1"/>
    <s v="大鸡合大利"/>
    <s v="2F"/>
    <n v="107"/>
    <n v="171"/>
    <d v="2020-09-01T00:00:00"/>
    <d v="2022-06-24T00:00:00"/>
    <n v="8.58"/>
    <n v="1467.18"/>
    <m/>
    <m/>
    <m/>
  </r>
  <r>
    <x v="0"/>
    <x v="0"/>
    <n v="0"/>
    <x v="0"/>
    <s v="秦面轩"/>
    <s v="1F"/>
    <n v="108"/>
    <n v="171"/>
    <d v="2018-05-16T00:00:00"/>
    <d v="2020-05-15T00:00:00"/>
    <n v="8.14"/>
    <n v="1391.94"/>
    <n v="11.546799999999999"/>
    <s v="赔偿装修损失"/>
    <m/>
  </r>
  <r>
    <x v="0"/>
    <x v="0"/>
    <n v="0"/>
    <x v="1"/>
    <s v="秦面轩"/>
    <s v="1F"/>
    <n v="108"/>
    <n v="171"/>
    <d v="2020-05-16T00:00:00"/>
    <d v="2021-05-15T00:00:00"/>
    <n v="8.9499999999999993"/>
    <n v="1530.4499999999998"/>
    <m/>
    <m/>
    <m/>
  </r>
  <r>
    <x v="0"/>
    <x v="0"/>
    <n v="0"/>
    <x v="0"/>
    <s v="三和屋"/>
    <s v="1F"/>
    <n v="109"/>
    <n v="177"/>
    <d v="2018-04-16T00:00:00"/>
    <d v="2020-04-15T00:00:00"/>
    <n v="8.0299999999999994"/>
    <n v="1421.31"/>
    <n v="11.7904"/>
    <s v="赔偿装修损失"/>
    <m/>
  </r>
  <r>
    <x v="0"/>
    <x v="0"/>
    <n v="0"/>
    <x v="1"/>
    <s v="三和屋"/>
    <s v="1F"/>
    <n v="109"/>
    <n v="177"/>
    <d v="2020-04-16T00:00:00"/>
    <d v="2021-04-15T00:00:00"/>
    <n v="8.83"/>
    <n v="1562.91"/>
    <m/>
    <m/>
    <m/>
  </r>
  <r>
    <x v="0"/>
    <x v="0"/>
    <n v="0"/>
    <x v="0"/>
    <s v="赣悦汤厨"/>
    <s v="1F"/>
    <n v="111"/>
    <n v="321"/>
    <d v="2018-03-01T00:00:00"/>
    <d v="2020-02-28T00:00:00"/>
    <n v="5.94"/>
    <n v="1906.7400000000002"/>
    <n v="15.817299999999999"/>
    <s v="赔偿装修损失"/>
    <m/>
  </r>
  <r>
    <x v="0"/>
    <x v="0"/>
    <n v="0"/>
    <x v="1"/>
    <s v="赣悦汤厨"/>
    <s v="1F"/>
    <n v="111"/>
    <n v="321"/>
    <d v="2020-03-01T00:00:00"/>
    <d v="2022-02-28T00:00:00"/>
    <n v="6.53"/>
    <n v="2096.13"/>
    <m/>
    <m/>
    <m/>
  </r>
  <r>
    <x v="0"/>
    <x v="0"/>
    <n v="0"/>
    <x v="0"/>
    <s v="小院食光"/>
    <s v="1F"/>
    <n v="112"/>
    <n v="242"/>
    <d v="2018-01-01T00:00:00"/>
    <d v="2019-12-31T00:00:00"/>
    <n v="6.38"/>
    <n v="1543.96"/>
    <n v="12.1198"/>
    <s v="赔偿装修损失"/>
    <m/>
  </r>
  <r>
    <x v="0"/>
    <x v="0"/>
    <n v="0"/>
    <x v="1"/>
    <s v="小院食光"/>
    <s v="1F"/>
    <n v="112"/>
    <n v="242"/>
    <d v="2020-01-01T00:00:00"/>
    <d v="2020-12-31T00:00:00"/>
    <n v="7.02"/>
    <n v="1698.84"/>
    <m/>
    <m/>
    <m/>
  </r>
  <r>
    <x v="0"/>
    <x v="0"/>
    <n v="0"/>
    <x v="0"/>
    <s v="雕刻时光"/>
    <s v="1F"/>
    <n v="115"/>
    <n v="229"/>
    <d v="2018-02-01T00:00:00"/>
    <d v="2020-01-31T00:00:00"/>
    <n v="9.1300000000000008"/>
    <n v="2090.77"/>
    <n v="17.343900000000001"/>
    <s v="赔偿装修损失"/>
    <m/>
  </r>
  <r>
    <x v="0"/>
    <x v="0"/>
    <n v="0"/>
    <x v="1"/>
    <s v="雕刻时光"/>
    <s v="1F"/>
    <n v="115"/>
    <n v="229"/>
    <d v="2020-02-01T00:00:00"/>
    <d v="2022-01-31T00:00:00"/>
    <n v="10.039999999999999"/>
    <n v="2299.16"/>
    <m/>
    <m/>
    <m/>
  </r>
  <r>
    <x v="0"/>
    <x v="0"/>
    <n v="0"/>
    <x v="1"/>
    <s v="雕刻时光"/>
    <s v="1F"/>
    <n v="115"/>
    <n v="229"/>
    <d v="2022-02-01T00:00:00"/>
    <d v="2024-01-31T00:00:00"/>
    <n v="11.05"/>
    <n v="2530.4500000000003"/>
    <m/>
    <m/>
    <m/>
  </r>
  <r>
    <x v="0"/>
    <x v="0"/>
    <n v="0"/>
    <x v="0"/>
    <s v="保护地友好生态科技"/>
    <s v="1F"/>
    <n v="116"/>
    <n v="299"/>
    <d v="2018-01-01T00:00:00"/>
    <d v="2019-12-31T00:00:00"/>
    <n v="6.6"/>
    <n v="1973.3999999999999"/>
    <n v="16.370200000000001"/>
    <s v="赔偿装修损失"/>
    <m/>
  </r>
  <r>
    <x v="0"/>
    <x v="0"/>
    <n v="0"/>
    <x v="1"/>
    <s v="保护地友好生态科技"/>
    <s v="1F"/>
    <n v="116"/>
    <n v="299"/>
    <d v="2020-01-01T00:00:00"/>
    <d v="2020-12-31T00:00:00"/>
    <n v="7.26"/>
    <n v="2170.7399999999998"/>
    <m/>
    <m/>
    <m/>
  </r>
  <r>
    <x v="0"/>
    <x v="0"/>
    <n v="0"/>
    <x v="0"/>
    <s v="汉口码头（包房）"/>
    <s v="1F"/>
    <n v="117"/>
    <n v="58"/>
    <d v="2017-07-01T00:00:00"/>
    <d v="2019-06-30T00:00:00"/>
    <n v="7"/>
    <n v="406"/>
    <n v="3.7046999999999999"/>
    <m/>
    <m/>
  </r>
  <r>
    <x v="0"/>
    <x v="0"/>
    <n v="0"/>
    <x v="1"/>
    <s v="汉口码头（包房）"/>
    <s v="1F"/>
    <n v="117"/>
    <n v="58"/>
    <d v="2019-07-01T00:00:00"/>
    <d v="2021-06-30T00:00:00"/>
    <n v="7.7"/>
    <n v="446.6"/>
    <m/>
    <m/>
    <m/>
  </r>
  <r>
    <x v="0"/>
    <x v="0"/>
    <n v="0"/>
    <x v="1"/>
    <s v="汉口码头（包房）"/>
    <s v="1F"/>
    <n v="117"/>
    <n v="58"/>
    <d v="2021-07-01T00:00:00"/>
    <d v="2022-06-24T00:00:00"/>
    <n v="8.4700000000000006"/>
    <n v="491.26000000000005"/>
    <m/>
    <m/>
    <m/>
  </r>
  <r>
    <x v="0"/>
    <x v="0"/>
    <n v="0"/>
    <x v="0"/>
    <s v="汉口码头"/>
    <s v="1F"/>
    <n v="110"/>
    <n v="311"/>
    <d v="2018-06-25T00:00:00"/>
    <d v="2020-06-24T00:00:00"/>
    <n v="5.72"/>
    <n v="1778.9199999999998"/>
    <n v="14.7569"/>
    <m/>
    <m/>
  </r>
  <r>
    <x v="0"/>
    <x v="0"/>
    <n v="0"/>
    <x v="1"/>
    <s v="汉口码头"/>
    <s v="1F"/>
    <n v="110"/>
    <n v="311"/>
    <d v="2020-06-25T00:00:00"/>
    <d v="2022-06-24T00:00:00"/>
    <n v="6.29"/>
    <n v="1956.19"/>
    <m/>
    <m/>
    <m/>
  </r>
  <r>
    <x v="0"/>
    <x v="1"/>
    <n v="0"/>
    <x v="0"/>
    <s v="空置"/>
    <s v="1F"/>
    <n v="118"/>
    <n v="31"/>
    <m/>
    <m/>
    <m/>
    <n v="0"/>
    <m/>
    <m/>
    <m/>
  </r>
  <r>
    <x v="0"/>
    <x v="0"/>
    <n v="1"/>
    <x v="0"/>
    <s v="众信旅游"/>
    <s v="1F"/>
    <n v="120"/>
    <n v="27.1"/>
    <d v="2018-12-01T00:00:00"/>
    <d v="2019-11-30T00:00:00"/>
    <n v="18.7"/>
    <n v="506.77"/>
    <m/>
    <s v="违约责任中未见相关表述"/>
    <s v="租金中包含物业费1.87"/>
  </r>
  <r>
    <x v="0"/>
    <x v="0"/>
    <n v="0"/>
    <x v="0"/>
    <s v="物美超市"/>
    <s v="B1"/>
    <s v="B105"/>
    <n v="5010"/>
    <d v="2018-07-01T00:00:00"/>
    <d v="2019-06-30T00:00:00"/>
    <n v="2.6"/>
    <n v="13026"/>
    <n v="400"/>
    <s v="见补充协议13.2条，违约金为200万元，赔偿经济损失，赔偿责任以400万元为限"/>
    <m/>
  </r>
  <r>
    <x v="0"/>
    <x v="0"/>
    <n v="0"/>
    <x v="1"/>
    <s v="物美超市"/>
    <s v="B1"/>
    <s v="B105"/>
    <n v="5010"/>
    <d v="2019-07-01T00:00:00"/>
    <d v="2022-06-30T00:00:00"/>
    <n v="2.73"/>
    <n v="13677.3"/>
    <m/>
    <m/>
    <m/>
  </r>
  <r>
    <x v="0"/>
    <x v="0"/>
    <n v="0"/>
    <x v="1"/>
    <s v="物美超市"/>
    <s v="B1"/>
    <s v="B105"/>
    <n v="5010"/>
    <d v="2022-07-01T00:00:00"/>
    <d v="2025-06-30T00:00:00"/>
    <n v="2.8664999999999998"/>
    <n v="14361.164999999999"/>
    <m/>
    <m/>
    <m/>
  </r>
  <r>
    <x v="0"/>
    <x v="0"/>
    <n v="0"/>
    <x v="1"/>
    <s v="物美超市"/>
    <s v="B1"/>
    <s v="B105"/>
    <n v="5010"/>
    <d v="2025-07-01T00:00:00"/>
    <d v="2028-06-30T00:00:00"/>
    <n v="3.01"/>
    <n v="15080.099999999999"/>
    <m/>
    <m/>
    <m/>
  </r>
  <r>
    <x v="0"/>
    <x v="0"/>
    <n v="1"/>
    <x v="0"/>
    <s v="西贝万家餐饮"/>
    <s v="B1"/>
    <s v="B101a"/>
    <n v="154"/>
    <d v="2018-04-16T00:00:00"/>
    <d v="2020-04-15T00:00:00"/>
    <n v="13"/>
    <n v="2002"/>
    <n v="18.2682"/>
    <s v="赔偿装修损失"/>
    <m/>
  </r>
  <r>
    <x v="0"/>
    <x v="0"/>
    <n v="1"/>
    <x v="1"/>
    <s v="西贝万家餐饮"/>
    <s v="B1"/>
    <s v="B101a"/>
    <n v="154"/>
    <d v="2020-04-16T00:00:00"/>
    <d v="2022-04-15T00:00:00"/>
    <n v="14.3"/>
    <n v="2202.2000000000003"/>
    <m/>
    <m/>
    <m/>
  </r>
  <r>
    <x v="0"/>
    <x v="0"/>
    <n v="1"/>
    <x v="1"/>
    <s v="西贝万家餐饮"/>
    <s v="B1"/>
    <s v="B101a"/>
    <n v="154"/>
    <d v="2022-04-16T00:00:00"/>
    <d v="2024-04-15T00:00:00"/>
    <n v="15.730000000000002"/>
    <n v="2422.4200000000005"/>
    <m/>
    <m/>
    <m/>
  </r>
  <r>
    <x v="0"/>
    <x v="1"/>
    <n v="0"/>
    <x v="0"/>
    <s v="空置"/>
    <s v="B1"/>
    <s v="B101b"/>
    <n v="32"/>
    <m/>
    <m/>
    <m/>
    <n v="0"/>
    <m/>
    <s v="原租户星客多退租"/>
    <m/>
  </r>
  <r>
    <x v="0"/>
    <x v="0"/>
    <n v="0"/>
    <x v="0"/>
    <s v="北京开盛餐饮（鱼你在一起）"/>
    <s v="B1"/>
    <s v="B102"/>
    <n v="90"/>
    <d v="2019-01-01T00:00:00"/>
    <d v="2020-12-31T00:00:00"/>
    <n v="13.5"/>
    <n v="1215"/>
    <m/>
    <s v="原租户味多美退租"/>
    <m/>
  </r>
  <r>
    <x v="1"/>
    <x v="0"/>
    <n v="0"/>
    <x v="1"/>
    <s v="北京开盛餐饮（鱼你在一起）"/>
    <s v="B1"/>
    <s v="B102"/>
    <n v="90"/>
    <d v="2021-01-01T00:00:00"/>
    <d v="2022-12-31T00:00:00"/>
    <n v="14.85"/>
    <n v="1336.5"/>
    <m/>
    <m/>
    <m/>
  </r>
  <r>
    <x v="1"/>
    <x v="0"/>
    <n v="0"/>
    <x v="1"/>
    <s v="北京开盛餐饮（鱼你在一起）"/>
    <s v="B1"/>
    <s v="B102"/>
    <n v="90"/>
    <d v="2023-01-01T00:00:00"/>
    <d v="2023-12-31T00:00:00"/>
    <n v="16.335000000000001"/>
    <n v="1470.15"/>
    <m/>
    <m/>
    <m/>
  </r>
  <r>
    <x v="0"/>
    <x v="0"/>
    <n v="0"/>
    <x v="0"/>
    <s v="中讯通和商贸（中国移动）"/>
    <s v="B1"/>
    <s v="B106"/>
    <n v="32.06"/>
    <d v="2017-07-01T00:00:00"/>
    <d v="2019-06-30T00:00:00"/>
    <n v="10.3"/>
    <n v="330.21800000000007"/>
    <n v="3.01"/>
    <s v="赔偿装修损失"/>
    <s v="地图上未找到，台账中未找到"/>
  </r>
  <r>
    <x v="0"/>
    <x v="0"/>
    <n v="1"/>
    <x v="0"/>
    <s v="招商证券"/>
    <s v="B1"/>
    <s v="B103"/>
    <n v="212"/>
    <d v="2017-05-01T00:00:00"/>
    <d v="2019-04-30T00:00:00"/>
    <n v="10.3"/>
    <n v="2183.6000000000004"/>
    <n v="19.9253"/>
    <s v="赔偿装修损失"/>
    <m/>
  </r>
  <r>
    <x v="0"/>
    <x v="0"/>
    <n v="1"/>
    <x v="1"/>
    <s v="招商证券"/>
    <s v="B1"/>
    <s v="B103"/>
    <n v="212"/>
    <d v="2019-05-01T00:00:00"/>
    <d v="2021-04-30T00:00:00"/>
    <n v="11.33"/>
    <n v="2401.96"/>
    <m/>
    <m/>
    <m/>
  </r>
  <r>
    <x v="0"/>
    <x v="0"/>
    <n v="1"/>
    <x v="1"/>
    <s v="招商证券"/>
    <s v="B1"/>
    <s v="B103"/>
    <n v="212"/>
    <d v="2021-05-01T00:00:00"/>
    <d v="2022-04-30T00:00:00"/>
    <n v="12.46"/>
    <n v="2641.52"/>
    <m/>
    <m/>
    <m/>
  </r>
  <r>
    <x v="2"/>
    <x v="0"/>
    <n v="0"/>
    <x v="0"/>
    <s v="百佑科技"/>
    <s v="2F"/>
    <n v="201"/>
    <n v="6540"/>
    <d v="2018-02-01T00:00:00"/>
    <d v="2020-01-31T00:00:00"/>
    <n v="6.199991621632944"/>
    <n v="40547.945205479453"/>
    <m/>
    <s v="还须赔偿其他损失"/>
    <m/>
  </r>
  <r>
    <x v="2"/>
    <x v="0"/>
    <n v="0"/>
    <x v="1"/>
    <s v="百佑科技"/>
    <s v="2F"/>
    <n v="201"/>
    <n v="6540"/>
    <d v="2020-02-01T00:00:00"/>
    <d v="2022-01-31T00:00:00"/>
    <n v="6.8199907837962392"/>
    <n v="44602.739726027401"/>
    <m/>
    <m/>
    <m/>
  </r>
  <r>
    <x v="2"/>
    <x v="0"/>
    <n v="0"/>
    <x v="1"/>
    <s v="百佑科技"/>
    <s v="2F"/>
    <n v="201"/>
    <n v="6540"/>
    <d v="2022-02-01T00:00:00"/>
    <d v="2023-01-31T00:00:00"/>
    <n v="7.5019898621758641"/>
    <n v="49063.013698630151"/>
    <m/>
    <m/>
    <m/>
  </r>
  <r>
    <x v="2"/>
    <x v="0"/>
    <n v="0"/>
    <x v="0"/>
    <s v="蓝图时代科技"/>
    <s v="3F"/>
    <s v="301B-01"/>
    <n v="1221"/>
    <d v="2018-01-01T00:00:00"/>
    <d v="2019-12-31T00:00:00"/>
    <n v="6.16"/>
    <n v="7521.3600000000006"/>
    <m/>
    <s v="还须赔偿其他损失"/>
    <s v="2016年10月起租"/>
  </r>
  <r>
    <x v="2"/>
    <x v="0"/>
    <n v="0"/>
    <x v="1"/>
    <s v="蓝图时代科技"/>
    <s v="3F"/>
    <s v="301B-01"/>
    <n v="1221"/>
    <d v="2020-01-01T00:00:00"/>
    <d v="2020-12-31T00:00:00"/>
    <n v="6.7759999999999998"/>
    <n v="8273.4959999999992"/>
    <m/>
    <m/>
    <m/>
  </r>
  <r>
    <x v="2"/>
    <x v="0"/>
    <n v="0"/>
    <x v="0"/>
    <s v="优格华恒资本管理"/>
    <s v="3F"/>
    <n v="302"/>
    <n v="50"/>
    <d v="2018-01-01T00:00:00"/>
    <d v="2019-12-31T00:00:00"/>
    <n v="6.16"/>
    <n v="308"/>
    <m/>
    <s v="还须赔偿其他损失"/>
    <s v="2016年10月起租"/>
  </r>
  <r>
    <x v="2"/>
    <x v="0"/>
    <n v="0"/>
    <x v="1"/>
    <s v="优格华恒资本管理"/>
    <s v="3F"/>
    <n v="302"/>
    <n v="50"/>
    <d v="2020-01-01T00:00:00"/>
    <d v="2020-12-31T00:00:00"/>
    <n v="6.7759999999999998"/>
    <n v="338.8"/>
    <m/>
    <m/>
    <m/>
  </r>
  <r>
    <x v="2"/>
    <x v="0"/>
    <n v="0"/>
    <x v="0"/>
    <s v="上海中清龙图"/>
    <s v="3F"/>
    <n v="301"/>
    <n v="3104"/>
    <d v="2018-01-01T00:00:00"/>
    <d v="2019-12-31T00:00:00"/>
    <n v="6.16"/>
    <n v="19120.64"/>
    <m/>
    <s v="还须赔偿其他损失"/>
    <s v="2016年1月起租"/>
  </r>
  <r>
    <x v="2"/>
    <x v="0"/>
    <n v="0"/>
    <x v="1"/>
    <s v="上海中清龙图"/>
    <s v="3F"/>
    <n v="301"/>
    <n v="3104"/>
    <d v="2020-01-01T00:00:00"/>
    <d v="2020-12-31T00:00:00"/>
    <n v="6.7759999999999998"/>
    <n v="21032.703999999998"/>
    <m/>
    <m/>
    <m/>
  </r>
  <r>
    <x v="2"/>
    <x v="0"/>
    <n v="0"/>
    <x v="0"/>
    <s v="上海中清龙图"/>
    <s v="3F"/>
    <n v="303"/>
    <n v="1729"/>
    <d v="2018-01-01T00:00:00"/>
    <d v="2019-12-31T00:00:00"/>
    <n v="6.16"/>
    <n v="10650.64"/>
    <m/>
    <s v="还须赔偿其他损失"/>
    <s v="2016年10月起租"/>
  </r>
  <r>
    <x v="2"/>
    <x v="0"/>
    <n v="0"/>
    <x v="1"/>
    <s v="上海中清龙图"/>
    <s v="3F"/>
    <n v="303"/>
    <n v="1729"/>
    <d v="2020-01-01T00:00:00"/>
    <d v="2020-12-31T00:00:00"/>
    <n v="6.7759999999999998"/>
    <n v="11715.704"/>
    <m/>
    <m/>
    <m/>
  </r>
  <r>
    <x v="2"/>
    <x v="0"/>
    <n v="0"/>
    <x v="0"/>
    <s v="上海中清龙图"/>
    <s v="4F"/>
    <n v="401"/>
    <n v="2180.04"/>
    <d v="2018-01-01T00:00:00"/>
    <d v="2019-12-31T00:00:00"/>
    <n v="5.72"/>
    <n v="12469.828799999999"/>
    <m/>
    <m/>
    <s v="中清龙图整租4层后，部分面积又由金百联创重租给嗨学和乔戈，相关约定详见中清龙图补充协议1和2，面积2180是台账中记载"/>
  </r>
  <r>
    <x v="2"/>
    <x v="0"/>
    <n v="0"/>
    <x v="1"/>
    <s v="上海中清龙图"/>
    <s v="4F"/>
    <n v="401"/>
    <n v="2180.04"/>
    <d v="2020-01-01T00:00:00"/>
    <d v="2020-12-31T00:00:00"/>
    <n v="6.2919999999999998"/>
    <n v="13716.811679999999"/>
    <m/>
    <m/>
    <m/>
  </r>
  <r>
    <x v="2"/>
    <x v="0"/>
    <n v="0"/>
    <x v="0"/>
    <s v="嗨学网教育科技"/>
    <s v="4F"/>
    <n v="407"/>
    <n v="3518"/>
    <d v="2019-01-01T00:00:00"/>
    <d v="2019-12-31T00:00:00"/>
    <n v="6.2"/>
    <n v="21811.600000000002"/>
    <m/>
    <s v="还须赔偿其他损失"/>
    <m/>
  </r>
  <r>
    <x v="2"/>
    <x v="0"/>
    <n v="0"/>
    <x v="1"/>
    <s v="嗨学网教育科技"/>
    <s v="4F"/>
    <n v="407"/>
    <n v="3518"/>
    <d v="2020-01-01T00:00:00"/>
    <d v="2020-12-30T00:00:00"/>
    <n v="6.82"/>
    <n v="23992.760000000002"/>
    <m/>
    <m/>
    <m/>
  </r>
  <r>
    <x v="2"/>
    <x v="0"/>
    <n v="0"/>
    <x v="0"/>
    <s v="乔戈文化"/>
    <s v="4F"/>
    <n v="409"/>
    <n v="828.67"/>
    <d v="2019-01-01T00:00:00"/>
    <d v="2019-12-31T00:00:00"/>
    <n v="6.2"/>
    <n v="5137.7539999999999"/>
    <m/>
    <s v="还须赔偿其他损失"/>
    <m/>
  </r>
  <r>
    <x v="2"/>
    <x v="0"/>
    <n v="0"/>
    <x v="1"/>
    <s v="乔戈文化"/>
    <s v="4F"/>
    <n v="409"/>
    <n v="828.67"/>
    <d v="2020-01-01T00:00:00"/>
    <d v="2020-12-31T00:00:00"/>
    <n v="6.82"/>
    <n v="5651.5294000000004"/>
    <m/>
    <m/>
    <m/>
  </r>
  <r>
    <x v="1"/>
    <x v="2"/>
    <m/>
    <x v="2"/>
    <m/>
    <m/>
    <m/>
    <m/>
    <m/>
    <m/>
    <m/>
    <m/>
    <m/>
    <m/>
    <m/>
  </r>
  <r>
    <x v="1"/>
    <x v="2"/>
    <m/>
    <x v="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6" minRefreshableVersion="3" useAutoFormatting="1" itemPrintTitles="1" createdVersion="5" indent="0" outline="1" outlineData="1" multipleFieldFilters="0">
  <location ref="A6:E9" firstHeaderRow="0" firstDataRow="1" firstDataCol="1" rowPageCount="2" colPageCount="1"/>
  <pivotFields count="16">
    <pivotField axis="axisRow" showAll="0">
      <items count="4">
        <item x="2"/>
        <item x="0"/>
        <item x="1"/>
        <item t="default"/>
      </items>
    </pivotField>
    <pivotField axis="axisPage" multipleItemSelectionAllowed="1" showAll="0">
      <items count="4">
        <item h="1" x="1"/>
        <item x="0"/>
        <item h="1" x="2"/>
        <item t="default"/>
      </items>
    </pivotField>
    <pivotField showAll="0"/>
    <pivotField axis="axisPage" multipleItemSelectionAllowed="1" showAll="0">
      <items count="4">
        <item x="0"/>
        <item h="1" x="1"/>
        <item h="1" x="2"/>
        <item t="default"/>
      </items>
    </pivotField>
    <pivotField dataField="1" showAll="0"/>
    <pivotField showAll="0"/>
    <pivotField showAll="0"/>
    <pivotField dataField="1" numFmtId="200" showAll="0"/>
    <pivotField showAll="0"/>
    <pivotField showAll="0"/>
    <pivotField showAll="0"/>
    <pivotField dataField="1" numFmtId="197" showAll="0" defaultSubtotal="0"/>
    <pivotField showAll="0"/>
    <pivotField showAll="0"/>
    <pivotField showAll="0"/>
    <pivotField dataField="1" dragToRow="0" dragToCol="0" dragToPage="0" showAll="0" defaultSubtotal="0"/>
  </pivotFields>
  <rowFields count="1">
    <field x="0"/>
  </rowFields>
  <rowItems count="3">
    <i>
      <x/>
    </i>
    <i>
      <x v="1"/>
    </i>
    <i t="grand">
      <x/>
    </i>
  </rowItems>
  <colFields count="1">
    <field x="-2"/>
  </colFields>
  <colItems count="4">
    <i>
      <x/>
    </i>
    <i i="1">
      <x v="1"/>
    </i>
    <i i="2">
      <x v="2"/>
    </i>
    <i i="3">
      <x v="3"/>
    </i>
  </colItems>
  <pageFields count="2">
    <pageField fld="1" hier="-1"/>
    <pageField fld="3" hier="-1"/>
  </pageFields>
  <dataFields count="4">
    <dataField name="求和项:计租面积" fld="7" baseField="0" baseItem="0"/>
    <dataField name="求和项:加权平均日租金" fld="15" baseField="0" baseItem="0"/>
    <dataField name="求和项:租金*面积" fld="11" baseField="0" baseItem="0"/>
    <dataField name="计数项:租户" fld="4" subtotal="count" baseField="0" baseItem="0"/>
  </dataFields>
  <formats count="3">
    <format dxfId="230">
      <pivotArea grandRow="1" outline="0" collapsedLevelsAreSubtotals="1" fieldPosition="0"/>
    </format>
    <format dxfId="229">
      <pivotArea field="0" grandRow="1" outline="0" collapsedLevelsAreSubtotals="1" axis="axisRow" fieldPosition="0">
        <references count="1">
          <reference field="4294967294" count="1" selected="0">
            <x v="1"/>
          </reference>
        </references>
      </pivotArea>
    </format>
    <format dxfId="228">
      <pivotArea field="0" grandRow="1" outline="0" collapsedLevelsAreSubtotals="1" axis="axisRow"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北京市朝阳区北苑路28号院1号楼房地产抵押价值预评估</v>
      </c>
    </row>
    <row r="3" spans="1:2" s="1592" customFormat="1">
      <c r="A3" s="1590" t="s">
        <v>1217</v>
      </c>
      <c r="B3" s="1591" t="str">
        <f>'预评函-封皮'!B40</f>
        <v>北京道乐科技发展有限公司</v>
      </c>
    </row>
    <row r="4" spans="1:2" s="1592" customFormat="1">
      <c r="A4" s="1590" t="s">
        <v>1218</v>
      </c>
      <c r="B4" s="1591" t="str">
        <f ca="1">'预评函-封皮'!B46</f>
        <v>郑燚（注册号：1120070131)、王鹏（注册号：1120050019)</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受贵公司委托，我公司对北京市朝阳区北苑路28号院1号楼房地产抵押价值进行了预评估。</v>
      </c>
    </row>
    <row r="7" spans="1:2" s="1592" customFormat="1">
      <c r="A7" s="1590" t="s">
        <v>1260</v>
      </c>
      <c r="B7" s="1591" t="str">
        <f>'预评函-1'!A7</f>
        <v>估价对象为北京市朝阳区北苑路28号院1号楼房地产，为北京道乐科技发展有限公司所有。根据《国有土地使用证》[]，估价对象（分摊）出让国有建设用地使用权面积为10186.06平方米，建筑面积为34740.85平方米。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为估价委托人在向办理贷款手续过程中，确定房地产抵押贷款额度提供参考依据而评估房地产抵押价值。</v>
      </c>
    </row>
    <row r="12" spans="1:2" s="1592" customFormat="1">
      <c r="A12" s="1590" t="s">
        <v>1222</v>
      </c>
      <c r="B12" s="1591" t="str">
        <f>'预评函-1'!A15</f>
        <v>2019年6月18日（评估专业人员实地查勘之日）</v>
      </c>
    </row>
    <row r="13" spans="1:2" s="1592" customFormat="1">
      <c r="A13" s="1590" t="s">
        <v>1223</v>
      </c>
      <c r="B13" s="1591" t="str">
        <f>'预评函-1'!A18</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4" spans="1:2" s="1592" customFormat="1">
      <c r="A14" s="1590" t="s">
        <v>1224</v>
      </c>
      <c r="B14" s="1591" t="str">
        <f>'预评函-1'!A19</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本次评估采用的主估价方法为收益法和基准地价系数修正法。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88172</v>
      </c>
    </row>
    <row r="21" spans="1:2" s="1592" customFormat="1">
      <c r="A21" s="1590" t="s">
        <v>1231</v>
      </c>
      <c r="B21" s="1591">
        <f ca="1">'预评函-2'!D7</f>
        <v>28277</v>
      </c>
    </row>
    <row r="22" spans="1:2" s="1592" customFormat="1">
      <c r="A22" s="1590" t="s">
        <v>1232</v>
      </c>
      <c r="B22" s="1591" t="str">
        <f ca="1">'预评函-2'!D6</f>
        <v>捌亿捌仟壹佰柒拾贰万元整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88172</v>
      </c>
    </row>
    <row r="31" spans="1:2" s="1592" customFormat="1">
      <c r="A31" s="1590" t="s">
        <v>1270</v>
      </c>
      <c r="B31" s="1591">
        <f ca="1">'预评函-2'!D15</f>
        <v>25380</v>
      </c>
    </row>
    <row r="32" spans="1:2" s="1592" customFormat="1">
      <c r="A32" s="1590" t="s">
        <v>1237</v>
      </c>
      <c r="B32" s="1591" t="str">
        <f ca="1">'预评函-2'!D14</f>
        <v>捌亿捌仟壹佰柒拾贰万元整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38223</v>
      </c>
    </row>
    <row r="39" spans="1:2" s="1592" customFormat="1">
      <c r="A39" s="1590" t="s">
        <v>1239</v>
      </c>
      <c r="B39" s="1591">
        <f ca="1">'预评函-2'!D21</f>
        <v>11002</v>
      </c>
    </row>
    <row r="40" spans="1:2" s="1592" customFormat="1">
      <c r="A40" s="1590" t="s">
        <v>1240</v>
      </c>
      <c r="B40" s="1591" t="str">
        <f ca="1">'预评函-2'!D20</f>
        <v>叁亿捌仟贰佰贰拾叁万元整</v>
      </c>
    </row>
    <row r="41" spans="1:2" s="1592" customFormat="1">
      <c r="A41" s="1590" t="s">
        <v>1286</v>
      </c>
      <c r="B41" s="1591" t="str">
        <f>'预评函-3'!A4</f>
        <v>北京市朝阳区北苑路28号院1号楼房地产</v>
      </c>
    </row>
    <row r="42" spans="1:2" s="1592" customFormat="1">
      <c r="A42" s="1590" t="s">
        <v>1284</v>
      </c>
      <c r="B42" s="1591" t="str">
        <f>'预评函-3'!B2</f>
        <v>建筑面积</v>
      </c>
    </row>
    <row r="43" spans="1:2" s="1592" customFormat="1">
      <c r="A43" s="1590" t="s">
        <v>1285</v>
      </c>
      <c r="B43" s="1591">
        <f>'预评函-3'!B4</f>
        <v>34740.85</v>
      </c>
    </row>
    <row r="44" spans="1:2" s="1592" customFormat="1">
      <c r="A44" s="1590" t="s">
        <v>1269</v>
      </c>
      <c r="B44" s="1591" t="str">
        <f>'预评函-3'!C2</f>
        <v>(分摊)土地面积</v>
      </c>
    </row>
    <row r="45" spans="1:2" s="1592" customFormat="1">
      <c r="A45" s="1590" t="s">
        <v>1241</v>
      </c>
      <c r="B45" s="1591">
        <f>'预评函-3'!C4</f>
        <v>10186.06</v>
      </c>
    </row>
    <row r="46" spans="1:2" s="1592" customFormat="1">
      <c r="A46" s="1590" t="s">
        <v>1267</v>
      </c>
      <c r="B46" s="1591" t="str">
        <f>'预评函-3'!D2</f>
        <v>出让国有建设用地使用权价值</v>
      </c>
    </row>
    <row r="47" spans="1:2" s="1592" customFormat="1">
      <c r="A47" s="1590" t="s">
        <v>1242</v>
      </c>
      <c r="B47" s="1591">
        <f ca="1">'预评函-3'!D4</f>
        <v>68951</v>
      </c>
    </row>
    <row r="48" spans="1:2" s="1592" customFormat="1">
      <c r="A48" s="1590" t="s">
        <v>1243</v>
      </c>
      <c r="B48" s="1591">
        <f ca="1">'预评函-3'!E4</f>
        <v>22113</v>
      </c>
    </row>
    <row r="49" spans="1:2" s="1592" customFormat="1">
      <c r="A49" s="1590" t="s">
        <v>1244</v>
      </c>
      <c r="B49" s="1591" t="str">
        <f ca="1">'预评函-3'!D5</f>
        <v>陆亿捌仟玖佰伍拾壹万元整</v>
      </c>
    </row>
    <row r="50" spans="1:2" s="1592" customFormat="1">
      <c r="A50" s="1590" t="s">
        <v>1268</v>
      </c>
      <c r="B50" s="1591" t="str">
        <f>'预评函-3'!F2</f>
        <v>在建建筑物价值</v>
      </c>
    </row>
    <row r="51" spans="1:2" s="1592" customFormat="1">
      <c r="A51" s="1590" t="s">
        <v>1245</v>
      </c>
      <c r="B51" s="1591">
        <f ca="1">'预评函-3'!F4</f>
        <v>19221</v>
      </c>
    </row>
    <row r="52" spans="1:2" s="1592" customFormat="1">
      <c r="A52" s="1590" t="s">
        <v>1246</v>
      </c>
      <c r="B52" s="1591">
        <f ca="1">'预评函-3'!G4</f>
        <v>6164</v>
      </c>
    </row>
    <row r="53" spans="1:2" s="1592" customFormat="1">
      <c r="A53" s="1590" t="s">
        <v>1274</v>
      </c>
      <c r="B53" s="1591" t="str">
        <f ca="1">'预评函-3'!F5</f>
        <v>壹亿玖仟贰佰贰拾壹万元整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5" thickBot="1">
      <c r="A73" s="1593" t="s">
        <v>1259</v>
      </c>
      <c r="B73" s="1594">
        <f ca="1">'预评函-4'!B5</f>
        <v>1120050019</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3218</v>
      </c>
      <c r="C17" s="2014"/>
    </row>
    <row r="18" spans="1:3">
      <c r="A18" s="2013" t="s">
        <v>1763</v>
      </c>
      <c r="B18" s="2013" t="s">
        <v>3220</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道乐科技发展有限公司拟使用北京市朝阳区北苑路28号院1号楼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9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XX年(多用途剩余年限尾数不同时，可只体现小数点后一位)，假定未设立法定优先受偿款下的房地产市场价值。</v>
      </c>
    </row>
    <row r="54" spans="1:4">
      <c r="A54" s="3091"/>
      <c r="B54" s="2021" t="s">
        <v>861</v>
      </c>
      <c r="C54" s="2018" t="s">
        <v>1277</v>
      </c>
    </row>
    <row r="55" spans="1:4">
      <c r="A55" s="3091"/>
      <c r="B55" s="2021" t="s">
        <v>862</v>
      </c>
      <c r="C55" s="2018" t="s">
        <v>1278</v>
      </c>
    </row>
    <row r="56" spans="1:4">
      <c r="A56" s="3091"/>
      <c r="B56" s="2021" t="s">
        <v>863</v>
      </c>
      <c r="C56" s="2018" t="s">
        <v>1282</v>
      </c>
    </row>
    <row r="57" spans="1:4">
      <c r="A57" s="309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7" sqref="K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1772</v>
      </c>
      <c r="B1" s="3092" t="str">
        <f>IF(B10="北京市","北京市",C10)&amp;F10&amp;IF(结果表!G1="在建","出让国有建设用地使用权及在建建筑物",IF(结果表!G1="土地","出让国有建设用地使用权",))&amp;B9&amp;"预评估"</f>
        <v>北京市朝阳区北苑路28号院1号楼房地产抵押价值预评估</v>
      </c>
      <c r="C1" s="3093"/>
      <c r="D1" s="3093"/>
      <c r="E1" s="3093"/>
      <c r="F1" s="3093"/>
      <c r="G1" s="3093"/>
      <c r="H1" s="3093"/>
      <c r="I1" s="309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北京市朝阳区北苑路28号院1号楼房地产抵押价值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北京市朝阳区北苑路28号院1号楼房地产</v>
      </c>
    </row>
    <row r="3" spans="1:19" ht="18" customHeight="1">
      <c r="A3" s="2034" t="s">
        <v>1774</v>
      </c>
      <c r="B3" s="2035">
        <v>43634</v>
      </c>
      <c r="C3" s="2036" t="s">
        <v>1775</v>
      </c>
      <c r="D3" s="2035">
        <v>43634</v>
      </c>
      <c r="E3" s="2025"/>
      <c r="F3" s="2025"/>
      <c r="G3" s="2025"/>
      <c r="H3" s="2025"/>
      <c r="I3" s="2025"/>
      <c r="J3" s="2025"/>
      <c r="K3" s="2026"/>
      <c r="L3" s="2027"/>
      <c r="M3" s="2027"/>
      <c r="N3" s="2028"/>
      <c r="O3" s="2029"/>
      <c r="P3" s="2028"/>
      <c r="Q3" s="2028"/>
      <c r="R3" s="2028"/>
      <c r="S3" s="2030"/>
    </row>
    <row r="4" spans="1:19" ht="18" customHeight="1" thickBot="1">
      <c r="A4" s="2037" t="s">
        <v>1776</v>
      </c>
      <c r="B4" s="2038" t="s">
        <v>3051</v>
      </c>
      <c r="C4" s="1036">
        <f ca="1">SUMIF(注册房地产估价师,B4,估价师及机构信息!B3:B24)</f>
        <v>1120070131</v>
      </c>
      <c r="D4" s="2038" t="s">
        <v>3052</v>
      </c>
      <c r="E4" s="1037">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1777</v>
      </c>
      <c r="B5" s="2980" t="s">
        <v>3053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1778</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1779</v>
      </c>
      <c r="B7" s="2980" t="s">
        <v>3053</v>
      </c>
      <c r="C7" s="2048"/>
      <c r="D7" s="2049"/>
      <c r="E7" s="2033"/>
      <c r="F7" s="2041"/>
      <c r="G7" s="2041"/>
      <c r="H7" s="2041"/>
      <c r="I7" s="2041"/>
      <c r="J7" s="2041"/>
      <c r="K7" s="2051"/>
      <c r="L7" s="2027"/>
      <c r="M7" s="2027"/>
      <c r="N7" s="2028"/>
      <c r="O7" s="2029"/>
      <c r="P7" s="2028"/>
      <c r="Q7" s="2028"/>
      <c r="R7" s="2028"/>
    </row>
    <row r="8" spans="1:19" ht="18" customHeight="1">
      <c r="A8" s="2046" t="s">
        <v>1780</v>
      </c>
      <c r="B8" s="2052" t="s">
        <v>3054</v>
      </c>
      <c r="C8" s="2053"/>
      <c r="D8" s="3095" t="s">
        <v>1781</v>
      </c>
      <c r="E8" s="2054" t="s">
        <v>3055</v>
      </c>
      <c r="F8" s="2055"/>
      <c r="G8" s="2025"/>
      <c r="H8" s="2025"/>
      <c r="I8" s="2025"/>
      <c r="J8" s="2041"/>
      <c r="K8" s="2042"/>
      <c r="L8" s="2027"/>
      <c r="M8" s="2027"/>
      <c r="N8" s="2028"/>
      <c r="O8" s="2029"/>
      <c r="P8" s="2028"/>
      <c r="Q8" s="2028"/>
      <c r="R8" s="2028"/>
    </row>
    <row r="9" spans="1:19" ht="18" customHeight="1" thickBot="1">
      <c r="A9" s="2039" t="s">
        <v>1782</v>
      </c>
      <c r="B9" s="2056" t="s">
        <v>3055</v>
      </c>
      <c r="C9" s="2057"/>
      <c r="D9" s="3096"/>
      <c r="E9" s="2056" t="s">
        <v>1281</v>
      </c>
      <c r="F9" s="2058"/>
      <c r="G9" s="2059"/>
      <c r="H9" s="2059"/>
      <c r="I9" s="2059"/>
      <c r="J9" s="2041"/>
      <c r="K9" s="2051"/>
      <c r="L9" s="2027"/>
      <c r="M9" s="2027"/>
      <c r="N9" s="2028"/>
      <c r="O9" s="2029"/>
      <c r="P9" s="2028"/>
      <c r="Q9" s="2028"/>
      <c r="R9" s="2028"/>
    </row>
    <row r="10" spans="1:19" ht="18" customHeight="1" thickTop="1" thickBot="1">
      <c r="A10" s="2060" t="s">
        <v>1783</v>
      </c>
      <c r="B10" s="2061" t="s">
        <v>3056</v>
      </c>
      <c r="C10" s="2062"/>
      <c r="D10" s="2045"/>
      <c r="E10" s="2063" t="s">
        <v>1784</v>
      </c>
      <c r="F10" s="2064" t="s">
        <v>3057</v>
      </c>
      <c r="G10" s="2065"/>
      <c r="H10" s="2066"/>
      <c r="I10" s="2045"/>
      <c r="J10" s="2041"/>
      <c r="K10" s="2051"/>
      <c r="L10" s="2027"/>
      <c r="M10" s="2027"/>
      <c r="N10" s="2028"/>
      <c r="O10" s="2029"/>
      <c r="P10" s="2028"/>
      <c r="Q10" s="2028"/>
      <c r="R10" s="2028"/>
    </row>
    <row r="11" spans="1:19" ht="18" customHeight="1" thickTop="1">
      <c r="A11" s="2067" t="s">
        <v>1785</v>
      </c>
      <c r="B11" s="2068" t="s">
        <v>3058</v>
      </c>
      <c r="C11" s="2980" t="s">
        <v>3053</v>
      </c>
      <c r="D11" s="2069"/>
      <c r="E11" s="2041"/>
      <c r="F11" s="2041"/>
      <c r="G11" s="2041"/>
      <c r="H11" s="2041"/>
      <c r="I11" s="2041"/>
      <c r="J11" s="2041"/>
      <c r="K11" s="2051"/>
      <c r="L11" s="2027"/>
      <c r="M11" s="2027"/>
      <c r="N11" s="2028"/>
      <c r="O11" s="2029"/>
      <c r="P11" s="2028"/>
      <c r="Q11" s="2028"/>
      <c r="R11" s="2028"/>
    </row>
    <row r="12" spans="1:19" ht="18" customHeight="1">
      <c r="A12" s="2070" t="s">
        <v>1786</v>
      </c>
      <c r="B12" s="2068" t="s">
        <v>3059</v>
      </c>
      <c r="C12" s="2071" t="s">
        <v>1787</v>
      </c>
      <c r="D12" s="2072" t="s">
        <v>1788</v>
      </c>
      <c r="E12" s="2072" t="s">
        <v>1789</v>
      </c>
      <c r="F12" s="2072" t="s">
        <v>1790</v>
      </c>
      <c r="G12" s="2072" t="s">
        <v>1791</v>
      </c>
      <c r="H12" s="2072" t="s">
        <v>1792</v>
      </c>
      <c r="I12" s="2072" t="s">
        <v>1793</v>
      </c>
      <c r="J12" s="2041"/>
      <c r="K12" s="2051"/>
      <c r="L12" s="2027"/>
      <c r="M12" s="2027"/>
      <c r="N12" s="2028"/>
      <c r="O12" s="2029"/>
      <c r="P12" s="2028"/>
      <c r="Q12" s="2028"/>
      <c r="R12" s="2028"/>
    </row>
    <row r="13" spans="1:19" ht="18" customHeight="1">
      <c r="A13" s="2073"/>
      <c r="B13" s="2074"/>
      <c r="C13" s="2075" t="s">
        <v>1794</v>
      </c>
      <c r="D13" s="2076"/>
      <c r="E13" s="2076">
        <v>53332</v>
      </c>
      <c r="F13" s="2076"/>
      <c r="G13" s="2076">
        <v>56984</v>
      </c>
      <c r="H13" s="2076"/>
      <c r="I13" s="1046"/>
      <c r="J13" s="2041"/>
      <c r="K13" s="2051"/>
      <c r="L13" s="2027"/>
      <c r="M13" s="2027"/>
      <c r="N13" s="2028"/>
      <c r="O13" s="2029"/>
      <c r="P13" s="2028"/>
      <c r="Q13" s="2028"/>
      <c r="R13" s="2028"/>
    </row>
    <row r="14" spans="1:19" ht="18" customHeight="1">
      <c r="A14" s="2073"/>
      <c r="B14" s="2074"/>
      <c r="C14" s="2075" t="s">
        <v>1795</v>
      </c>
      <c r="D14" s="1049"/>
      <c r="E14" s="1049">
        <v>40</v>
      </c>
      <c r="F14" s="1049"/>
      <c r="G14" s="1049">
        <v>50</v>
      </c>
      <c r="H14" s="1049"/>
      <c r="I14" s="1049"/>
      <c r="J14" s="2041"/>
      <c r="K14" s="2077"/>
      <c r="L14" s="2027"/>
      <c r="M14" s="2027"/>
      <c r="N14" s="2028"/>
      <c r="O14" s="2029"/>
      <c r="P14" s="2028"/>
      <c r="Q14" s="2028"/>
      <c r="R14" s="2028"/>
    </row>
    <row r="15" spans="1:19" ht="18" customHeight="1">
      <c r="A15" s="2060"/>
      <c r="B15" s="2078"/>
      <c r="C15" s="2075" t="s">
        <v>1796</v>
      </c>
      <c r="D15" s="1048" t="str">
        <f>IF(B12="出让",IF(D13="","",ROUNDDOWN(MIN((D13-$D$3)/365,D14),2)),D14)</f>
        <v/>
      </c>
      <c r="E15" s="1048">
        <f>IF(B12="出让",IF(E13="","",ROUNDDOWN(MIN((E13-$D$3)/365,E14),2)),E14)</f>
        <v>26.56</v>
      </c>
      <c r="F15" s="1048" t="str">
        <f>IF(B12="出让",IF(F13="","",ROUNDDOWN(MIN((F13-$D$3)/365,F14),2)),F14)</f>
        <v/>
      </c>
      <c r="G15" s="1048">
        <f>IF(B12="出让",IF(G13="","",ROUNDDOWN(MIN((G13-$D$3)/365,G14),2)),G14)</f>
        <v>36.57</v>
      </c>
      <c r="H15" s="1048" t="str">
        <f>IF(B12="出让",IF(H13="","",ROUNDDOWN(MIN((H13-$D$3)/365,H14),2)),H14)</f>
        <v/>
      </c>
      <c r="I15" s="1048" t="str">
        <f>IF(B12="出让",IF(I13="","",ROUNDDOWN(MIN((I13-$D$3)/365,I14),2)),I14)</f>
        <v/>
      </c>
      <c r="J15" s="2041"/>
      <c r="K15" s="2079"/>
      <c r="L15" s="2080"/>
      <c r="M15" s="2080"/>
      <c r="N15" s="2081"/>
      <c r="O15" s="2080"/>
      <c r="P15" s="2081"/>
      <c r="Q15" s="2028"/>
      <c r="R15" s="2028"/>
    </row>
    <row r="16" spans="1:19" ht="30.75" customHeight="1">
      <c r="A16" s="2063" t="s">
        <v>1797</v>
      </c>
      <c r="B16" s="3102" t="s">
        <v>3060</v>
      </c>
      <c r="C16" s="3103"/>
      <c r="D16" s="3104"/>
      <c r="E16" s="2082" t="s">
        <v>1798</v>
      </c>
      <c r="F16" s="3105" t="s">
        <v>3061</v>
      </c>
      <c r="G16" s="3106"/>
      <c r="H16" s="3106"/>
      <c r="I16" s="3107"/>
      <c r="J16" s="2028"/>
      <c r="K16" s="2079"/>
      <c r="L16" s="2080"/>
      <c r="M16" s="2080"/>
      <c r="N16" s="2081"/>
      <c r="O16" s="2080"/>
      <c r="P16" s="2081"/>
      <c r="Q16" s="2028"/>
      <c r="R16" s="2028"/>
    </row>
    <row r="17" spans="1:22" ht="18" customHeight="1">
      <c r="A17" s="2083" t="s">
        <v>1799</v>
      </c>
      <c r="B17" s="2034" t="s">
        <v>1800</v>
      </c>
      <c r="C17" s="1053">
        <f>'数据-汇总表'!E3</f>
        <v>34740.85</v>
      </c>
      <c r="D17" s="2084" t="s">
        <v>1801</v>
      </c>
      <c r="E17" s="3108" t="s">
        <v>1802</v>
      </c>
      <c r="F17" s="3109"/>
      <c r="G17" s="3109"/>
      <c r="H17" s="3109"/>
      <c r="I17" s="3110"/>
      <c r="J17" s="2028"/>
      <c r="K17" s="2085"/>
      <c r="L17" s="2080"/>
      <c r="M17" s="2080"/>
      <c r="N17" s="2081"/>
      <c r="O17" s="2080"/>
      <c r="P17" s="2081"/>
      <c r="Q17" s="2028"/>
      <c r="R17" s="2028"/>
      <c r="S17" s="2028"/>
      <c r="T17" s="2028"/>
      <c r="U17" s="2028"/>
      <c r="V17" s="2028"/>
    </row>
    <row r="18" spans="1:22" ht="36" customHeight="1" thickBot="1">
      <c r="A18" s="2086" t="s">
        <v>1803</v>
      </c>
      <c r="B18" s="2037" t="s">
        <v>1804</v>
      </c>
      <c r="C18" s="1443">
        <f>'数据-汇总表'!D3</f>
        <v>10186.06</v>
      </c>
      <c r="D18" s="2087" t="s">
        <v>1801</v>
      </c>
      <c r="E18" s="3111" t="s">
        <v>1805</v>
      </c>
      <c r="F18" s="3112"/>
      <c r="G18" s="3112"/>
      <c r="H18" s="3112"/>
      <c r="I18" s="3113"/>
      <c r="J18" s="2028"/>
      <c r="K18" s="2085"/>
      <c r="L18" s="2080"/>
      <c r="M18" s="2080"/>
      <c r="N18" s="2081"/>
      <c r="O18" s="2080"/>
      <c r="P18" s="2081"/>
      <c r="Q18" s="2028"/>
      <c r="R18" s="2028"/>
      <c r="S18" s="2028"/>
      <c r="T18" s="2028"/>
      <c r="U18" s="2028"/>
      <c r="V18" s="2028"/>
    </row>
    <row r="19" spans="1:22" ht="37.5" customHeight="1" thickTop="1" thickBot="1">
      <c r="A19" s="372" t="s">
        <v>1806</v>
      </c>
      <c r="B19" s="351" t="s">
        <v>1807</v>
      </c>
      <c r="C19" s="2088" t="s">
        <v>3062</v>
      </c>
      <c r="D19" s="2089" t="s">
        <v>1808</v>
      </c>
      <c r="E19" s="2090" t="s">
        <v>3063</v>
      </c>
      <c r="F19" s="2091" t="str">
        <f>IF(AND(C19="是",E19="否"),"是否提供他项权证或相关说明","")</f>
        <v>是否提供他项权证或相关说明</v>
      </c>
      <c r="G19" s="2092"/>
      <c r="H19" s="2041"/>
      <c r="I19" s="2041"/>
      <c r="J19" s="2041"/>
      <c r="K19" s="2051"/>
      <c r="L19" s="2027"/>
      <c r="M19" s="2027"/>
      <c r="N19" s="2081"/>
      <c r="O19" s="2080"/>
      <c r="P19" s="2081"/>
      <c r="Q19" s="2028"/>
      <c r="R19" s="2028"/>
      <c r="S19" s="2028"/>
      <c r="T19" s="2028"/>
      <c r="U19" s="2028"/>
      <c r="V19" s="2028"/>
    </row>
    <row r="20" spans="1:22" ht="18" customHeight="1">
      <c r="A20" s="2093" t="s">
        <v>1809</v>
      </c>
      <c r="B20" s="3098" t="s">
        <v>1810</v>
      </c>
      <c r="C20" s="3099"/>
      <c r="D20" s="3100" t="s">
        <v>1811</v>
      </c>
      <c r="E20" s="3101"/>
      <c r="F20" s="2094" t="s">
        <v>1812</v>
      </c>
      <c r="G20" s="2041"/>
      <c r="H20" s="2041"/>
      <c r="I20" s="2041"/>
      <c r="J20" s="2041"/>
      <c r="K20" s="3097"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1814</v>
      </c>
      <c r="C21" s="2096" t="s">
        <v>1815</v>
      </c>
      <c r="D21" s="2097" t="s">
        <v>1816</v>
      </c>
      <c r="E21" s="2098" t="s">
        <v>1815</v>
      </c>
      <c r="F21" s="2099"/>
      <c r="G21" s="2041"/>
      <c r="H21" s="2041"/>
      <c r="I21" s="2041"/>
      <c r="J21" s="2041"/>
      <c r="K21" s="309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1817</v>
      </c>
      <c r="C22" s="2096" t="s">
        <v>1818</v>
      </c>
      <c r="D22" s="2025"/>
      <c r="E22" s="2025"/>
      <c r="F22" s="2101"/>
      <c r="G22" s="2041"/>
      <c r="H22" s="2041"/>
      <c r="I22" s="2041"/>
      <c r="J22" s="2041"/>
      <c r="K22" s="309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1819</v>
      </c>
      <c r="B23" s="182" t="s">
        <v>1820</v>
      </c>
      <c r="C23" s="2103"/>
      <c r="D23" s="2104" t="s">
        <v>1820</v>
      </c>
      <c r="E23" s="2105"/>
      <c r="F23" s="2101"/>
      <c r="G23" s="2041"/>
      <c r="H23" s="2041"/>
      <c r="I23" s="2041"/>
      <c r="J23" s="2041"/>
      <c r="K23" s="2106"/>
      <c r="L23" s="747"/>
      <c r="M23" s="2027"/>
      <c r="N23" s="2081"/>
      <c r="O23" s="2080"/>
      <c r="P23" s="2081"/>
      <c r="Q23" s="2028"/>
      <c r="R23" s="2028"/>
      <c r="S23" s="2028"/>
      <c r="T23" s="2028"/>
      <c r="U23" s="2028"/>
      <c r="V23" s="2028"/>
    </row>
    <row r="24" spans="1:22" ht="18" customHeight="1">
      <c r="A24" s="2107"/>
      <c r="B24" s="182" t="s">
        <v>1821</v>
      </c>
      <c r="C24" s="2108"/>
      <c r="D24" s="2102" t="s">
        <v>1821</v>
      </c>
      <c r="E24" s="2109"/>
      <c r="F24" s="2101"/>
      <c r="G24" s="2041"/>
      <c r="H24" s="2041"/>
      <c r="I24" s="2041"/>
      <c r="J24" s="2041"/>
      <c r="K24" s="2106"/>
      <c r="L24" s="747"/>
      <c r="M24" s="2027"/>
      <c r="N24" s="2081"/>
      <c r="O24" s="2080"/>
      <c r="P24" s="2081"/>
      <c r="Q24" s="2028"/>
      <c r="R24" s="2028"/>
      <c r="S24" s="2028"/>
      <c r="T24" s="2028"/>
      <c r="U24" s="2028"/>
      <c r="V24" s="2028"/>
    </row>
    <row r="25" spans="1:22" ht="18" customHeight="1">
      <c r="A25" s="2107"/>
      <c r="B25" s="182" t="s">
        <v>1822</v>
      </c>
      <c r="C25" s="2108"/>
      <c r="D25" s="2102" t="s">
        <v>1822</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1823</v>
      </c>
      <c r="C26" s="2112"/>
      <c r="D26" s="2113" t="s">
        <v>1824</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115" t="s">
        <v>1825</v>
      </c>
      <c r="B27" s="2060" t="s">
        <v>1826</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115"/>
      <c r="B28" s="2034" t="s">
        <v>1827</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115"/>
      <c r="B29" s="2034" t="s">
        <v>1828</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116"/>
      <c r="B30" s="2034" t="s">
        <v>1829</v>
      </c>
      <c r="C30" s="3117"/>
      <c r="D30" s="3118"/>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119" t="s">
        <v>1830</v>
      </c>
      <c r="B31" s="2123"/>
      <c r="C31" s="2124" t="str">
        <f>IF(B31="现房","成新及维护状况正常否",IF(B31="在建","工程状态是否正常",IF(B31="土地","是否闲置","-")))</f>
        <v>-</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120"/>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120"/>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1831</v>
      </c>
      <c r="B34" s="2130"/>
      <c r="C34" s="2130"/>
      <c r="D34" s="2130"/>
      <c r="E34" s="2130"/>
      <c r="F34" s="2130"/>
      <c r="G34" s="2130"/>
      <c r="H34" s="2130"/>
      <c r="I34" s="2041"/>
      <c r="J34" s="2041"/>
      <c r="K34" s="1794">
        <f>COUNTIF(B34:H34,"——")</f>
        <v>0</v>
      </c>
      <c r="L34" s="2071" t="s">
        <v>1832</v>
      </c>
      <c r="M34" s="2071" t="s">
        <v>1833</v>
      </c>
      <c r="N34" s="2071" t="s">
        <v>1834</v>
      </c>
      <c r="O34" s="2071" t="s">
        <v>1835</v>
      </c>
      <c r="P34" s="2071" t="s">
        <v>1836</v>
      </c>
      <c r="Q34" s="2071" t="s">
        <v>1837</v>
      </c>
      <c r="R34" s="2071" t="s">
        <v>1838</v>
      </c>
      <c r="S34" s="3114" t="s">
        <v>1839</v>
      </c>
      <c r="T34" s="2131" t="str">
        <f>NUMBERSTRING(7-K34,1)&amp;"通"</f>
        <v>七通</v>
      </c>
      <c r="U34" s="2028"/>
      <c r="V34" s="2028"/>
    </row>
    <row r="35" spans="1:22" ht="18" customHeight="1">
      <c r="A35" s="2132"/>
      <c r="B35" s="3121" t="s">
        <v>1840</v>
      </c>
      <c r="C35" s="3121"/>
      <c r="D35" s="3121"/>
      <c r="E35" s="3121"/>
      <c r="F35" s="2133">
        <f>C10</f>
        <v>0</v>
      </c>
      <c r="G35" s="2041"/>
      <c r="H35" s="2041"/>
      <c r="I35" s="2041"/>
      <c r="J35" s="2041"/>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14"/>
      <c r="T35" s="48" t="str">
        <f>IF(T34="一通",L35,IF(T34="二通",M35,IF(T34="三通",N35,IF(T34="四通",O35,IF(T34="五通",P35,IF(T34="六通",Q35,R35))))))</f>
        <v>、、、、、、</v>
      </c>
      <c r="U35" s="2028"/>
      <c r="V35" s="2028"/>
    </row>
    <row r="36" spans="1:22" ht="18" customHeight="1">
      <c r="A36" s="2134"/>
      <c r="B36" s="2133" t="s">
        <v>1841</v>
      </c>
      <c r="C36" s="2133" t="s">
        <v>1842</v>
      </c>
      <c r="D36" s="2133" t="s">
        <v>1843</v>
      </c>
      <c r="E36" s="2133" t="s">
        <v>1844</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1845</v>
      </c>
      <c r="B37" s="2137"/>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1846</v>
      </c>
      <c r="B38" s="2139"/>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5"/>
      <c r="L40" s="2080"/>
      <c r="M40" s="2080"/>
      <c r="N40" s="2081"/>
      <c r="O40" s="2080"/>
      <c r="P40" s="2028"/>
      <c r="Q40" s="2028"/>
      <c r="R40" s="2028"/>
      <c r="S40" s="2028"/>
      <c r="T40" s="2028"/>
      <c r="U40" s="2028"/>
      <c r="V40" s="2028"/>
    </row>
    <row r="41" spans="1:22" ht="18" customHeight="1">
      <c r="A41" s="8" t="s">
        <v>1848</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1849</v>
      </c>
      <c r="B42" s="1794" t="s">
        <v>1850</v>
      </c>
      <c r="C42" s="1794" t="s">
        <v>1851</v>
      </c>
      <c r="D42" s="1794" t="s">
        <v>1852</v>
      </c>
      <c r="E42" s="1794" t="s">
        <v>1853</v>
      </c>
      <c r="F42" s="1794" t="s">
        <v>1854</v>
      </c>
      <c r="G42" s="1794" t="s">
        <v>1855</v>
      </c>
      <c r="H42" s="1794" t="s">
        <v>1856</v>
      </c>
      <c r="I42" s="1794" t="s">
        <v>1857</v>
      </c>
      <c r="J42" s="2149" t="s">
        <v>1858</v>
      </c>
      <c r="K42" s="2072" t="s">
        <v>1859</v>
      </c>
      <c r="L42" s="2072" t="s">
        <v>1860</v>
      </c>
      <c r="M42" s="2072" t="s">
        <v>1861</v>
      </c>
      <c r="N42" s="1794" t="s">
        <v>1862</v>
      </c>
      <c r="O42" s="1794" t="s">
        <v>1863</v>
      </c>
      <c r="P42" s="1794" t="s">
        <v>1864</v>
      </c>
      <c r="Q42" s="2071" t="s">
        <v>1865</v>
      </c>
      <c r="R42" s="2071" t="s">
        <v>1866</v>
      </c>
      <c r="S42" s="2028"/>
      <c r="T42" s="2028"/>
      <c r="U42" s="2028"/>
      <c r="V42" s="2028"/>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1872</v>
      </c>
      <c r="AZ2" s="1269"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10186.06</v>
      </c>
      <c r="B3" s="14">
        <f>IF(C3="否",G5-AT5,G5)</f>
        <v>34740.85</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1876</v>
      </c>
      <c r="B5" s="1802"/>
      <c r="C5" s="1802"/>
      <c r="D5" s="1805"/>
      <c r="E5" s="16" t="s">
        <v>1</v>
      </c>
      <c r="F5" s="16">
        <f>SUM(F13:F587)</f>
        <v>0</v>
      </c>
      <c r="G5" s="16">
        <f>SUM(G13:G587)</f>
        <v>34740.85</v>
      </c>
      <c r="H5" s="16">
        <f t="shared" ref="H5:AT5" si="0">SUM(H13:H656)</f>
        <v>34740.85</v>
      </c>
      <c r="I5" s="16">
        <f t="shared" si="0"/>
        <v>31181.27</v>
      </c>
      <c r="J5" s="16">
        <f t="shared" si="0"/>
        <v>0</v>
      </c>
      <c r="K5" s="16">
        <f t="shared" si="0"/>
        <v>3559.58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34740.85</v>
      </c>
      <c r="BA5" s="18">
        <f t="shared" si="1"/>
        <v>34740.85</v>
      </c>
      <c r="BB5" s="18">
        <f t="shared" si="1"/>
        <v>31181.27</v>
      </c>
      <c r="BC5" s="18">
        <f t="shared" si="1"/>
        <v>3559.58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1877</v>
      </c>
      <c r="B6" s="2171"/>
      <c r="C6" s="2171"/>
      <c r="D6" s="2172"/>
      <c r="E6" s="16">
        <f>H6+AC6+AT6</f>
        <v>10186.06</v>
      </c>
      <c r="F6" s="16" t="s">
        <v>1</v>
      </c>
      <c r="G6" s="16" t="s">
        <v>2</v>
      </c>
      <c r="H6" s="20">
        <f>SUMIF(I$12:AB$12,"总值",I6:AB6)</f>
        <v>10186.06</v>
      </c>
      <c r="I6" s="16">
        <f t="shared" ref="I6:AB6" si="2">ROUND($A$3*I5/$B$3,2)</f>
        <v>9142.39</v>
      </c>
      <c r="J6" s="16">
        <f t="shared" si="2"/>
        <v>0</v>
      </c>
      <c r="K6" s="16">
        <f t="shared" si="2"/>
        <v>1043.67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1877</v>
      </c>
      <c r="AW6" s="2171"/>
      <c r="AX6" s="2171"/>
      <c r="AY6" s="21">
        <f>IF(AY3&gt;0,AY3,ROUND($A$3*AZ5/$B$3,2))</f>
        <v>10186.06</v>
      </c>
      <c r="AZ6" s="16" t="s">
        <v>3</v>
      </c>
      <c r="BA6" s="16">
        <f>ROUND($AY$6*BA5/$AZ$5,2)</f>
        <v>10186.06</v>
      </c>
      <c r="BB6" s="16">
        <f>ROUND($AY$6*BB5/$AZ$5,2)</f>
        <v>9142.39</v>
      </c>
      <c r="BC6" s="16">
        <f t="shared" ref="BC6:BH6" si="4">ROUND($AY$6*BC5/$AZ$5,2)</f>
        <v>1043.67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1885</v>
      </c>
      <c r="AV7" s="23" t="s">
        <v>1886</v>
      </c>
      <c r="AW7" s="2163" t="s">
        <v>1887</v>
      </c>
      <c r="AX7" s="23" t="s">
        <v>1880</v>
      </c>
      <c r="AY7" s="1802"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7"/>
      <c r="K8" s="1817"/>
      <c r="L8" s="1817"/>
      <c r="M8" s="1817"/>
      <c r="N8" s="1817"/>
      <c r="O8" s="1817"/>
      <c r="P8" s="1817"/>
      <c r="Q8" s="1817"/>
      <c r="R8" s="1817"/>
      <c r="S8" s="1817"/>
      <c r="T8" s="1817"/>
      <c r="U8" s="1817"/>
      <c r="V8" s="2183"/>
      <c r="W8" s="1817"/>
      <c r="X8" s="1817"/>
      <c r="Y8" s="1817"/>
      <c r="Z8" s="1817"/>
      <c r="AA8" s="2183"/>
      <c r="AB8" s="2184"/>
      <c r="AC8" s="980" t="s">
        <v>1891</v>
      </c>
      <c r="AD8" s="2185"/>
      <c r="AE8" s="2177"/>
      <c r="AF8" s="1817"/>
      <c r="AG8" s="1817"/>
      <c r="AH8" s="1817"/>
      <c r="AI8" s="1817"/>
      <c r="AJ8" s="1817"/>
      <c r="AK8" s="1817"/>
      <c r="AL8" s="1817"/>
      <c r="AM8" s="1817"/>
      <c r="AN8" s="1817"/>
      <c r="AO8" s="1817"/>
      <c r="AP8" s="1817"/>
      <c r="AQ8" s="1817"/>
      <c r="AR8" s="1817"/>
      <c r="AS8" s="1817"/>
      <c r="AT8" s="1291" t="s">
        <v>1892</v>
      </c>
      <c r="AU8" s="2179" t="s">
        <v>1893</v>
      </c>
      <c r="AV8" s="1291"/>
      <c r="AW8" s="2162"/>
      <c r="AX8" s="1291"/>
      <c r="AY8" s="2163"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1896</v>
      </c>
      <c r="I9" s="2188" t="s">
        <v>3064</v>
      </c>
      <c r="J9" s="980"/>
      <c r="K9" s="2188" t="s">
        <v>3066</v>
      </c>
      <c r="L9" s="980"/>
      <c r="M9" s="2188"/>
      <c r="N9" s="980"/>
      <c r="O9" s="2188"/>
      <c r="P9" s="980"/>
      <c r="Q9" s="2188"/>
      <c r="R9" s="980"/>
      <c r="S9" s="2188"/>
      <c r="T9" s="980"/>
      <c r="U9" s="2188"/>
      <c r="V9" s="980"/>
      <c r="W9" s="2188"/>
      <c r="X9" s="2189"/>
      <c r="Y9" s="2188"/>
      <c r="Z9" s="980"/>
      <c r="AA9" s="2188"/>
      <c r="AB9" s="980"/>
      <c r="AC9" s="2180"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0"/>
      <c r="AT9" s="2179"/>
      <c r="AU9" s="2179" t="s">
        <v>1899</v>
      </c>
      <c r="AV9" s="1291"/>
      <c r="AW9" s="2162"/>
      <c r="AX9" s="1291"/>
      <c r="AY9" s="28"/>
      <c r="AZ9" s="28" t="s">
        <v>1889</v>
      </c>
      <c r="BA9" s="2191" t="s">
        <v>1900</v>
      </c>
      <c r="BB9" s="2192"/>
      <c r="BC9" s="1337"/>
      <c r="BD9" s="1337"/>
      <c r="BE9" s="1337"/>
      <c r="BF9" s="1337"/>
      <c r="BG9" s="1337"/>
      <c r="BH9" s="1337"/>
      <c r="BI9" s="1337"/>
      <c r="BJ9" s="1337"/>
      <c r="BK9" s="2193"/>
      <c r="BL9" s="15" t="s">
        <v>1901</v>
      </c>
      <c r="BM9" s="1817"/>
      <c r="BN9" s="2182"/>
      <c r="BO9" s="1817"/>
      <c r="BP9" s="1817"/>
      <c r="BQ9" s="1817"/>
      <c r="BR9" s="1817"/>
      <c r="BS9" s="1817"/>
      <c r="BT9" s="26"/>
    </row>
    <row r="10" spans="1:72" s="2186" customFormat="1" ht="12.75">
      <c r="A10" s="2179"/>
      <c r="B10" s="2179"/>
      <c r="C10" s="2179"/>
      <c r="D10" s="2179"/>
      <c r="E10" s="2179"/>
      <c r="F10" s="2179"/>
      <c r="G10" s="1291"/>
      <c r="H10" s="28"/>
      <c r="I10" s="2188" t="s">
        <v>1373</v>
      </c>
      <c r="J10" s="980"/>
      <c r="K10" s="2194" t="s">
        <v>3067</v>
      </c>
      <c r="L10" s="980"/>
      <c r="M10" s="2194"/>
      <c r="N10" s="980"/>
      <c r="O10" s="2194"/>
      <c r="P10" s="980"/>
      <c r="Q10" s="2194"/>
      <c r="R10" s="980"/>
      <c r="S10" s="2194"/>
      <c r="T10" s="980"/>
      <c r="U10" s="2194"/>
      <c r="V10" s="980"/>
      <c r="W10" s="2194"/>
      <c r="X10" s="980"/>
      <c r="Y10" s="2194"/>
      <c r="Z10" s="980"/>
      <c r="AA10" s="2194"/>
      <c r="AB10" s="980"/>
      <c r="AC10" s="1291"/>
      <c r="AD10" s="15" t="s">
        <v>1902</v>
      </c>
      <c r="AE10" s="2195"/>
      <c r="AF10" s="15" t="s">
        <v>1902</v>
      </c>
      <c r="AG10" s="2195"/>
      <c r="AH10" s="15" t="s">
        <v>1903</v>
      </c>
      <c r="AI10" s="2195"/>
      <c r="AJ10" s="15" t="s">
        <v>1903</v>
      </c>
      <c r="AK10" s="2195"/>
      <c r="AL10" s="15" t="s">
        <v>1904</v>
      </c>
      <c r="AM10" s="1297"/>
      <c r="AN10" s="15" t="s">
        <v>1904</v>
      </c>
      <c r="AO10" s="1297"/>
      <c r="AP10" s="15" t="s">
        <v>1905</v>
      </c>
      <c r="AQ10" s="1297"/>
      <c r="AR10" s="15" t="s">
        <v>1905</v>
      </c>
      <c r="AS10" s="1297"/>
      <c r="AT10" s="2179"/>
      <c r="AU10" s="2179"/>
      <c r="AV10" s="1291"/>
      <c r="AW10" s="2162"/>
      <c r="AX10" s="1291"/>
      <c r="AY10" s="28"/>
      <c r="AZ10" s="28"/>
      <c r="BA10" s="2196" t="s">
        <v>1896</v>
      </c>
      <c r="BB10" s="2197" t="str">
        <f>I9</f>
        <v>地上</v>
      </c>
      <c r="BC10" s="29" t="str">
        <f>K9</f>
        <v>地下</v>
      </c>
      <c r="BD10" s="29">
        <f>M9</f>
        <v>0</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3065</v>
      </c>
      <c r="J11" s="2200"/>
      <c r="K11" s="2199" t="s">
        <v>3067</v>
      </c>
      <c r="L11" s="2200"/>
      <c r="M11" s="2199"/>
      <c r="N11" s="2200"/>
      <c r="O11" s="2199"/>
      <c r="P11" s="2200"/>
      <c r="Q11" s="2199"/>
      <c r="R11" s="2200"/>
      <c r="S11" s="2199"/>
      <c r="T11" s="2200"/>
      <c r="U11" s="2199"/>
      <c r="V11" s="2200"/>
      <c r="W11" s="2199"/>
      <c r="X11" s="2200"/>
      <c r="Y11" s="2199"/>
      <c r="Z11" s="2200"/>
      <c r="AA11" s="2199"/>
      <c r="AB11" s="2200"/>
      <c r="AC11" s="1291"/>
      <c r="AD11" s="2201" t="s">
        <v>1906</v>
      </c>
      <c r="AE11" s="1818"/>
      <c r="AF11" s="2201" t="s">
        <v>1906</v>
      </c>
      <c r="AG11" s="1818"/>
      <c r="AH11" s="2201" t="s">
        <v>1907</v>
      </c>
      <c r="AI11" s="2202"/>
      <c r="AJ11" s="2201" t="s">
        <v>1907</v>
      </c>
      <c r="AK11" s="1818"/>
      <c r="AL11" s="1816"/>
      <c r="AM11" s="1818"/>
      <c r="AN11" s="1816"/>
      <c r="AO11" s="1818"/>
      <c r="AP11" s="1816"/>
      <c r="AQ11" s="1818"/>
      <c r="AR11" s="1816"/>
      <c r="AS11" s="1818"/>
      <c r="AT11" s="2162"/>
      <c r="AU11" s="2179"/>
      <c r="AV11" s="1291"/>
      <c r="AW11" s="2162"/>
      <c r="AX11" s="1291"/>
      <c r="AY11" s="28"/>
      <c r="AZ11" s="28"/>
      <c r="BA11" s="28"/>
      <c r="BB11" s="2184" t="str">
        <f>I10</f>
        <v>商业</v>
      </c>
      <c r="BC11" s="2184" t="str">
        <f>K10</f>
        <v>车库</v>
      </c>
      <c r="BD11" s="2184">
        <f>M10</f>
        <v>0</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6"/>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4" t="s">
        <v>1909</v>
      </c>
      <c r="AT12" s="2207"/>
      <c r="AU12" s="2204"/>
      <c r="AV12" s="31"/>
      <c r="AW12" s="2163"/>
      <c r="AX12" s="31"/>
      <c r="AY12" s="2208"/>
      <c r="AZ12" s="28"/>
      <c r="BA12" s="2196"/>
      <c r="BB12" s="24" t="str">
        <f>I11</f>
        <v>底商</v>
      </c>
      <c r="BC12" s="2209" t="str">
        <f>K11</f>
        <v>车库</v>
      </c>
      <c r="BD12" s="2209">
        <f>M11</f>
        <v>0</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2981" t="s">
        <v>3068</v>
      </c>
      <c r="D13" s="2210" t="s">
        <v>3062</v>
      </c>
      <c r="E13" s="16">
        <f>IF($C$3="是",ROUND($A$3*G13/$B$3,2),ROUND($A$3*(G13-AT13)/$B$3,2))</f>
        <v>9142.39</v>
      </c>
      <c r="F13" s="32"/>
      <c r="G13" s="33">
        <f>H13+AC13+AT13</f>
        <v>31181.27</v>
      </c>
      <c r="H13" s="20">
        <f>SUMIF(I$12:AB$12,"总值",I13:AB13)</f>
        <v>31181.27</v>
      </c>
      <c r="I13" s="2211">
        <f>34740.85-1026.74-1054.86-1054.86-352.6-70.52</f>
        <v>31181.27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商业</v>
      </c>
      <c r="AY13" s="1805">
        <f>ROUND($AY$6*AZ13/$AZ$5,2)</f>
        <v>9142.39</v>
      </c>
      <c r="AZ13" s="16">
        <f>BA13+BL13</f>
        <v>31181.27</v>
      </c>
      <c r="BA13" s="16">
        <f>SUM(BB13:BK13)</f>
        <v>31181.27</v>
      </c>
      <c r="BB13" s="16">
        <f>IF($D13="是",I13-J13,0)</f>
        <v>31181.27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2982" t="s">
        <v>3070</v>
      </c>
      <c r="D14" s="2210" t="s">
        <v>3062</v>
      </c>
      <c r="E14" s="16">
        <f>IF($C$3="是",ROUND($A$3*G14/$B$3,2),ROUND($A$3*(G14-AT14)/$B$3,2))</f>
        <v>1043.67</v>
      </c>
      <c r="F14" s="32"/>
      <c r="G14" s="33">
        <f>H14+AC14+AT14</f>
        <v>3559.58</v>
      </c>
      <c r="H14" s="20">
        <f>SUMIF(I$12:AB$12,"总值",I14:AB14)</f>
        <v>3559.58</v>
      </c>
      <c r="I14" s="2211"/>
      <c r="J14" s="2211"/>
      <c r="K14" s="2211">
        <f>1026.74+1054.86+1054.86+352.6+70.52</f>
        <v>3559.58</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车位</v>
      </c>
      <c r="AY14" s="1805">
        <f>ROUND($AY$6*AZ14/$AZ$5,2)</f>
        <v>1043.67</v>
      </c>
      <c r="AZ14" s="16">
        <f>BA14+BL14</f>
        <v>3559.58</v>
      </c>
      <c r="BA14" s="16">
        <f>SUM(BB14:BK14)</f>
        <v>3559.58</v>
      </c>
      <c r="BB14" s="16">
        <f>IF($D14="是",I14-J14,0)</f>
        <v>0</v>
      </c>
      <c r="BC14" s="16">
        <f>IF($D14="是",K14-L14,0)</f>
        <v>3559.58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2" t="s">
        <v>0</v>
      </c>
      <c r="B1" s="3122" t="s">
        <v>4</v>
      </c>
      <c r="C1" s="3122" t="s">
        <v>5</v>
      </c>
      <c r="D1" s="3123" t="s">
        <v>53</v>
      </c>
      <c r="E1" s="3123" t="s">
        <v>54</v>
      </c>
      <c r="F1" s="3123"/>
      <c r="G1" s="3123"/>
      <c r="H1" s="3123"/>
      <c r="I1" s="3123"/>
      <c r="J1" s="3123"/>
      <c r="K1" s="3123"/>
      <c r="L1" s="3123"/>
      <c r="M1" s="3123"/>
    </row>
    <row r="2" spans="1:13" ht="27" customHeight="1">
      <c r="A2" s="3122"/>
      <c r="B2" s="3122"/>
      <c r="C2" s="3122"/>
      <c r="D2" s="3123"/>
      <c r="E2" s="3123" t="s">
        <v>37</v>
      </c>
      <c r="F2" s="3123" t="s">
        <v>38</v>
      </c>
      <c r="G2" s="3123"/>
      <c r="H2" s="3123"/>
      <c r="I2" s="3123"/>
      <c r="J2" s="3123" t="s">
        <v>39</v>
      </c>
      <c r="K2" s="3123"/>
      <c r="L2" s="3123"/>
      <c r="M2" s="3123"/>
    </row>
    <row r="3" spans="1:13" ht="28.5">
      <c r="A3" s="3122"/>
      <c r="B3" s="3122"/>
      <c r="C3" s="3122"/>
      <c r="D3" s="3123"/>
      <c r="E3" s="31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3" t="s">
        <v>55</v>
      </c>
      <c r="B9" s="3123"/>
      <c r="C9" s="31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1"/>
      <c r="C1" s="1391"/>
      <c r="D1" s="1391"/>
      <c r="E1" s="1391"/>
      <c r="F1" s="1391"/>
      <c r="G1" s="1391"/>
      <c r="H1" s="1391"/>
      <c r="I1" s="1391"/>
      <c r="J1" s="1391"/>
      <c r="K1" s="1391"/>
      <c r="L1" s="1391"/>
      <c r="M1" s="1391"/>
      <c r="N1" s="1391"/>
      <c r="O1" s="1391"/>
      <c r="P1" s="1391"/>
    </row>
    <row r="2" spans="1:16" ht="15">
      <c r="A2" s="3133" t="s">
        <v>1936</v>
      </c>
      <c r="B2" s="3133"/>
      <c r="C2" s="3133"/>
      <c r="D2" s="966" t="s">
        <v>1912</v>
      </c>
      <c r="E2" s="2224" t="s">
        <v>1913</v>
      </c>
      <c r="F2" s="1391"/>
      <c r="G2" s="2225"/>
      <c r="H2" s="2226"/>
      <c r="I2" s="2227" t="s">
        <v>1937</v>
      </c>
      <c r="J2" s="1391"/>
      <c r="K2" s="1391"/>
      <c r="L2" s="1391"/>
      <c r="M2" s="1391"/>
      <c r="N2" s="1426"/>
      <c r="O2" s="1391"/>
      <c r="P2" s="1391"/>
    </row>
    <row r="3" spans="1:16" ht="15.75" thickBot="1">
      <c r="A3" s="3134" t="s">
        <v>1910</v>
      </c>
      <c r="B3" s="3134"/>
      <c r="C3" s="3134"/>
      <c r="D3" s="46">
        <f>'数据-基础表'!AY6</f>
        <v>10186.06</v>
      </c>
      <c r="E3" s="46">
        <f>'数据-基础表'!AZ5</f>
        <v>34740.85</v>
      </c>
      <c r="F3" s="1391"/>
      <c r="G3" s="1398"/>
      <c r="H3" s="1246" t="s">
        <v>1911</v>
      </c>
      <c r="I3" s="55">
        <f>ROUND('数据-基础表'!B3/'数据-基础表'!A3,2)</f>
        <v>3.41</v>
      </c>
      <c r="J3" s="1391"/>
      <c r="K3" s="1391"/>
      <c r="L3" s="1391"/>
      <c r="M3" s="1391"/>
      <c r="N3" s="1426"/>
      <c r="O3" s="1391"/>
      <c r="P3" s="1391"/>
    </row>
    <row r="4" spans="1:16" ht="15">
      <c r="A4" s="3135"/>
      <c r="B4" s="3136"/>
      <c r="C4" s="3137"/>
      <c r="D4" s="2228" t="s">
        <v>1912</v>
      </c>
      <c r="E4" s="2229" t="s">
        <v>1913</v>
      </c>
      <c r="F4" s="1391"/>
      <c r="G4" s="2230" t="s">
        <v>1938</v>
      </c>
      <c r="H4" s="1246" t="s">
        <v>1918</v>
      </c>
      <c r="I4" s="55">
        <f>ROUND(SUMIF('数据-基础表'!I9:AS9,"地上",'数据-基础表'!I5:AS5)/'数据-基础表'!A3,2)</f>
        <v>3.06</v>
      </c>
      <c r="J4" s="1391"/>
      <c r="K4" s="1391"/>
      <c r="L4" s="1391"/>
      <c r="M4" s="1391"/>
      <c r="N4" s="1426"/>
      <c r="O4" s="1391"/>
      <c r="P4" s="1391"/>
    </row>
    <row r="5" spans="1:16">
      <c r="A5" s="47" t="s">
        <v>1914</v>
      </c>
      <c r="B5" s="3138" t="s">
        <v>1915</v>
      </c>
      <c r="C5" s="3138"/>
      <c r="D5" s="48">
        <f>ROUND($D$3*E5/$E$3,2)</f>
        <v>0</v>
      </c>
      <c r="E5" s="49">
        <f>SUMIF('数据-基础表'!$11:$11,"住宅",'数据-基础表'!$5:$5)</f>
        <v>0</v>
      </c>
      <c r="F5" s="1391"/>
      <c r="G5" s="1398"/>
      <c r="H5" s="1246" t="s">
        <v>1911</v>
      </c>
      <c r="I5" s="55">
        <f>ROUND(E31/D31,2)</f>
        <v>3.41</v>
      </c>
      <c r="J5" s="1391"/>
      <c r="K5" s="1391"/>
      <c r="L5" s="1391"/>
      <c r="M5" s="1391"/>
      <c r="N5" s="1391"/>
      <c r="O5" s="1391"/>
      <c r="P5" s="1391"/>
    </row>
    <row r="6" spans="1:16" ht="15" thickBot="1">
      <c r="A6" s="2231"/>
      <c r="B6" s="3138" t="s">
        <v>1916</v>
      </c>
      <c r="C6" s="3138"/>
      <c r="D6" s="48">
        <f>ROUND($D$3*E6/$E$3,2)</f>
        <v>10186.06</v>
      </c>
      <c r="E6" s="49">
        <f>E3-E5</f>
        <v>34740.85</v>
      </c>
      <c r="F6" s="1391"/>
      <c r="G6" s="2232" t="s">
        <v>1917</v>
      </c>
      <c r="H6" s="1398" t="s">
        <v>1918</v>
      </c>
      <c r="I6" s="938">
        <f>ROUND(F31/D31,2)</f>
        <v>3.06</v>
      </c>
      <c r="J6" s="1391"/>
      <c r="K6" s="1391"/>
      <c r="L6" s="1391"/>
      <c r="M6" s="1391"/>
      <c r="N6" s="1391"/>
      <c r="O6" s="1391"/>
      <c r="P6" s="1391"/>
    </row>
    <row r="7" spans="1:16" ht="15">
      <c r="A7" s="3130"/>
      <c r="B7" s="3131"/>
      <c r="C7" s="3132"/>
      <c r="D7" s="2228" t="s">
        <v>1912</v>
      </c>
      <c r="E7" s="2233" t="s">
        <v>1919</v>
      </c>
      <c r="F7" s="1391"/>
      <c r="G7" s="2225" t="s">
        <v>1920</v>
      </c>
      <c r="H7" s="64"/>
      <c r="I7" s="419"/>
      <c r="J7" s="1391"/>
      <c r="K7" s="1391"/>
      <c r="L7" s="1391"/>
      <c r="M7" s="1391"/>
      <c r="N7" s="1391"/>
      <c r="O7" s="1391"/>
      <c r="P7" s="1391"/>
    </row>
    <row r="8" spans="1:16">
      <c r="A8" s="47" t="s">
        <v>1921</v>
      </c>
      <c r="B8" s="50" t="s">
        <v>1922</v>
      </c>
      <c r="C8" s="48" t="s">
        <v>1923</v>
      </c>
      <c r="D8" s="48">
        <f t="shared" ref="D8:D15" si="0">ROUND($D$3*E8/$E$3,2)</f>
        <v>9142.39</v>
      </c>
      <c r="E8" s="51">
        <f>SUMIF('数据-基础表'!BB10:BK10,"地上",'数据-基础表'!BB5:BK5)</f>
        <v>31181.27</v>
      </c>
      <c r="F8" s="1391"/>
      <c r="G8" s="2234"/>
      <c r="H8" s="2234"/>
      <c r="I8" s="1391"/>
      <c r="J8" s="1391"/>
      <c r="K8" s="1391"/>
      <c r="L8" s="1391"/>
      <c r="M8" s="1391"/>
      <c r="N8" s="1391"/>
      <c r="O8" s="1391"/>
      <c r="P8" s="1391"/>
    </row>
    <row r="9" spans="1:16">
      <c r="A9" s="2235"/>
      <c r="B9" s="2236"/>
      <c r="C9" s="48" t="s">
        <v>1924</v>
      </c>
      <c r="D9" s="48">
        <f t="shared" si="0"/>
        <v>0</v>
      </c>
      <c r="E9" s="52">
        <v>0</v>
      </c>
      <c r="F9" s="1391"/>
      <c r="G9" s="2234"/>
      <c r="H9" s="2234"/>
      <c r="I9" s="1391"/>
      <c r="J9" s="1391"/>
      <c r="K9" s="1391"/>
      <c r="L9" s="1391"/>
      <c r="M9" s="1391"/>
      <c r="N9" s="1391"/>
      <c r="O9" s="1391"/>
      <c r="P9" s="1391"/>
    </row>
    <row r="10" spans="1:16">
      <c r="A10" s="2235"/>
      <c r="B10" s="2236"/>
      <c r="C10" s="48" t="s">
        <v>1933</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1925</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1926</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1927</v>
      </c>
      <c r="D13" s="48">
        <f t="shared" si="0"/>
        <v>1043.67</v>
      </c>
      <c r="E13" s="51">
        <f>SUMPRODUCT(('数据-基础表'!BB10:BK10="地下")*('数据-基础表'!BB11:BK11="车库")*('数据-基础表'!BB5:BK5))</f>
        <v>3559.58</v>
      </c>
      <c r="F13" s="1391"/>
      <c r="G13" s="2234"/>
      <c r="H13" s="2234"/>
      <c r="I13" s="1391"/>
      <c r="J13" s="1391"/>
      <c r="K13" s="1391"/>
      <c r="L13" s="1391"/>
      <c r="M13" s="1391"/>
      <c r="N13" s="1391"/>
      <c r="O13" s="1391"/>
      <c r="P13" s="1391"/>
    </row>
    <row r="14" spans="1:16">
      <c r="A14" s="2235"/>
      <c r="B14" s="2236"/>
      <c r="C14" s="48" t="s">
        <v>1939</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1934</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1928</v>
      </c>
      <c r="D16" s="50">
        <f>SUM(D8:D15)</f>
        <v>10186.06</v>
      </c>
      <c r="E16" s="53">
        <f>SUM(E8:E15)</f>
        <v>34740.85</v>
      </c>
      <c r="F16" s="1391"/>
      <c r="G16" s="2234"/>
      <c r="H16" s="2237" t="s">
        <v>1940</v>
      </c>
      <c r="I16" s="2238"/>
      <c r="J16" s="1391"/>
      <c r="K16" s="3127" t="s">
        <v>1940</v>
      </c>
      <c r="L16" s="3128"/>
      <c r="M16" s="3128"/>
      <c r="N16" s="3128"/>
      <c r="O16" s="3128"/>
      <c r="P16" s="3129"/>
    </row>
    <row r="17" spans="1:19" ht="15">
      <c r="A17" s="2239" t="s">
        <v>1941</v>
      </c>
      <c r="B17" s="2240" t="s">
        <v>1942</v>
      </c>
      <c r="C17" s="2241" t="s">
        <v>1943</v>
      </c>
      <c r="D17" s="2242" t="s">
        <v>1931</v>
      </c>
      <c r="E17" s="2243" t="s">
        <v>1932</v>
      </c>
      <c r="F17" s="2244"/>
      <c r="G17" s="2245"/>
      <c r="H17" s="2246" t="s">
        <v>1944</v>
      </c>
      <c r="I17" s="2247" t="s">
        <v>1929</v>
      </c>
      <c r="J17" s="1391"/>
      <c r="K17" s="3124" t="s">
        <v>1945</v>
      </c>
      <c r="L17" s="3125"/>
      <c r="M17" s="3126"/>
      <c r="N17" s="3124" t="s">
        <v>1946</v>
      </c>
      <c r="O17" s="3125"/>
      <c r="P17" s="3126"/>
      <c r="R17" s="2225" t="s">
        <v>1947</v>
      </c>
      <c r="S17" s="64"/>
    </row>
    <row r="18" spans="1:19" ht="15">
      <c r="A18" s="2235"/>
      <c r="B18" s="2248"/>
      <c r="C18" s="2249"/>
      <c r="D18" s="2250"/>
      <c r="E18" s="2251" t="s">
        <v>1948</v>
      </c>
      <c r="F18" s="2252" t="s">
        <v>1949</v>
      </c>
      <c r="G18" s="2253" t="s">
        <v>1950</v>
      </c>
      <c r="H18" s="1261" t="s">
        <v>1951</v>
      </c>
      <c r="I18" s="2254" t="s">
        <v>1952</v>
      </c>
      <c r="J18" s="1391"/>
      <c r="K18" s="1261" t="s">
        <v>1953</v>
      </c>
      <c r="L18" s="2255" t="s">
        <v>1954</v>
      </c>
      <c r="M18" s="1045" t="s">
        <v>1955</v>
      </c>
      <c r="N18" s="1261" t="s">
        <v>1953</v>
      </c>
      <c r="O18" s="2255" t="s">
        <v>1954</v>
      </c>
      <c r="P18" s="1045" t="s">
        <v>1955</v>
      </c>
      <c r="R18" s="1246" t="s">
        <v>1956</v>
      </c>
      <c r="S18" s="1246" t="s">
        <v>1957</v>
      </c>
    </row>
    <row r="19" spans="1:19">
      <c r="A19" s="2256"/>
      <c r="B19" s="50" t="s">
        <v>1930</v>
      </c>
      <c r="C19" s="2257" t="str">
        <f>'数据-基础表'!C13</f>
        <v>商业</v>
      </c>
      <c r="D19" s="48">
        <f>ROUND($D$3*E19/$E$3,2)</f>
        <v>9142.39</v>
      </c>
      <c r="E19" s="56">
        <f t="shared" ref="E19:E26" si="1">SUM(F19:G19)</f>
        <v>31181.27</v>
      </c>
      <c r="F19" s="57">
        <f>'数据-基础表'!I13</f>
        <v>31181.27</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9142.39</v>
      </c>
      <c r="S19" s="1247">
        <f t="shared" si="5"/>
        <v>31181.27</v>
      </c>
    </row>
    <row r="20" spans="1:19">
      <c r="A20" s="2260"/>
      <c r="B20" s="50" t="s">
        <v>1958</v>
      </c>
      <c r="C20" s="2257" t="str">
        <f>'数据-基础表'!C14</f>
        <v>车位</v>
      </c>
      <c r="D20" s="48">
        <f t="shared" ref="D20:D26" si="6">ROUND($D$3*E20/$E$3,2)</f>
        <v>1043.67</v>
      </c>
      <c r="E20" s="56">
        <f t="shared" si="1"/>
        <v>3559.58</v>
      </c>
      <c r="F20" s="57"/>
      <c r="G20" s="58">
        <f>'数据-基础表'!K14</f>
        <v>3559.58</v>
      </c>
      <c r="H20" s="722">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1043.67</v>
      </c>
      <c r="S20" s="1247">
        <f t="shared" si="5"/>
        <v>3559.58</v>
      </c>
    </row>
    <row r="21" spans="1:19">
      <c r="A21" s="2260"/>
      <c r="B21" s="50" t="s">
        <v>1958</v>
      </c>
      <c r="C21" s="2257"/>
      <c r="D21" s="48">
        <f t="shared" si="6"/>
        <v>0</v>
      </c>
      <c r="E21" s="56">
        <f t="shared" si="1"/>
        <v>0</v>
      </c>
      <c r="F21" s="57"/>
      <c r="G21" s="58"/>
      <c r="H21" s="722">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1958</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1958</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1958</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1959</v>
      </c>
      <c r="D27" s="1392">
        <f>SUM(D19:D26)</f>
        <v>10186.06</v>
      </c>
      <c r="E27" s="1393">
        <f>IF(SUM(E19:E26)='数据-基础表'!BA5,SUM(E19:E26),IF(F27="地上面积有误","面积有误","地下面积有误"))</f>
        <v>34740.85</v>
      </c>
      <c r="F27" s="1392">
        <f>IF(SUM(F19:F26)=E8,SUM(F19:F26),"地上面积有误")</f>
        <v>31181.27</v>
      </c>
      <c r="G27" s="1394">
        <f>SUM(G19:G26)</f>
        <v>3559.58</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10186.06</v>
      </c>
      <c r="S27" s="1246">
        <f>IF(SUM(S19:S26)=$E$3,SUM(S19:S26),SUM(S19:S26)&amp;"误差"&amp;ROUND(SUM(S19:S26)-E3,2))</f>
        <v>34740.85</v>
      </c>
    </row>
    <row r="28" spans="1:19">
      <c r="A28" s="2260"/>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1960</v>
      </c>
      <c r="C29" s="2264"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1963</v>
      </c>
      <c r="D31" s="728">
        <f>D27+D30</f>
        <v>10186.06</v>
      </c>
      <c r="E31" s="728">
        <f>E27+E30</f>
        <v>34740.85</v>
      </c>
      <c r="F31" s="729">
        <f>F27+F30</f>
        <v>31181.27</v>
      </c>
      <c r="G31" s="730">
        <f>G27+G30</f>
        <v>3559.58</v>
      </c>
      <c r="H31" s="1391"/>
      <c r="I31" s="1391"/>
      <c r="J31" s="1391"/>
      <c r="K31" s="1391"/>
      <c r="L31" s="1391"/>
      <c r="M31" s="1391"/>
      <c r="N31" s="1391"/>
      <c r="O31" s="1391"/>
      <c r="P31" s="1391"/>
    </row>
    <row r="32" spans="1:19">
      <c r="A32" s="2230"/>
      <c r="B32" s="2230" t="s">
        <v>1964</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J7" sqref="AJ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1965</v>
      </c>
      <c r="B1" s="731"/>
      <c r="C1" s="1580"/>
      <c r="D1" s="2270"/>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1966</v>
      </c>
      <c r="B2" s="1265">
        <f>项目基本情况!D3</f>
        <v>43634</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1967</v>
      </c>
      <c r="B4" s="2278"/>
      <c r="C4" s="2279"/>
      <c r="D4" s="2280"/>
      <c r="E4" s="2279" t="s">
        <v>1968</v>
      </c>
      <c r="F4" s="2279"/>
      <c r="G4" s="2279"/>
      <c r="H4" s="2279"/>
      <c r="I4" s="2279"/>
      <c r="J4" s="2281"/>
      <c r="K4" s="2282"/>
      <c r="L4" s="2283"/>
      <c r="M4" s="2279"/>
      <c r="N4" s="2279" t="s">
        <v>1969</v>
      </c>
      <c r="O4" s="2279"/>
      <c r="P4" s="2279"/>
      <c r="Q4" s="2279"/>
      <c r="R4" s="2279"/>
      <c r="S4" s="2281"/>
      <c r="T4" s="2284" t="str">
        <f>'数据-汇总表'!I17</f>
        <v>按面积比例</v>
      </c>
      <c r="U4" s="2278" t="s">
        <v>1970</v>
      </c>
      <c r="V4" s="2279"/>
      <c r="W4" s="2279"/>
      <c r="X4" s="2279"/>
      <c r="Y4" s="2281"/>
      <c r="Z4" s="2241" t="s">
        <v>1971</v>
      </c>
      <c r="AA4" s="2241"/>
      <c r="AB4" s="2241"/>
      <c r="AC4" s="2241"/>
      <c r="AD4" s="2241"/>
      <c r="AE4" s="2239" t="s">
        <v>1972</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1973</v>
      </c>
      <c r="B5" s="2287" t="s">
        <v>1974</v>
      </c>
      <c r="C5" s="2288" t="s">
        <v>1975</v>
      </c>
      <c r="D5" s="2289" t="s">
        <v>1976</v>
      </c>
      <c r="E5" s="1267" t="s">
        <v>1977</v>
      </c>
      <c r="F5" s="2290" t="s">
        <v>1978</v>
      </c>
      <c r="G5" s="1267" t="s">
        <v>1979</v>
      </c>
      <c r="H5" s="1267" t="s">
        <v>1980</v>
      </c>
      <c r="I5" s="1267" t="s">
        <v>1981</v>
      </c>
      <c r="J5" s="2291" t="s">
        <v>1982</v>
      </c>
      <c r="K5" s="2292" t="s">
        <v>1983</v>
      </c>
      <c r="L5" s="2293" t="s">
        <v>1984</v>
      </c>
      <c r="M5" s="2294" t="s">
        <v>1985</v>
      </c>
      <c r="N5" s="2295" t="s">
        <v>3071</v>
      </c>
      <c r="O5" s="2293" t="s">
        <v>1986</v>
      </c>
      <c r="P5" s="2296" t="s">
        <v>1987</v>
      </c>
      <c r="Q5" s="69" t="s">
        <v>1988</v>
      </c>
      <c r="R5" s="2297" t="s">
        <v>1989</v>
      </c>
      <c r="S5" s="2298" t="s">
        <v>1990</v>
      </c>
      <c r="T5" s="2299" t="s">
        <v>1991</v>
      </c>
      <c r="U5" s="1266" t="s">
        <v>1992</v>
      </c>
      <c r="V5" s="1267" t="s">
        <v>1993</v>
      </c>
      <c r="W5" s="1267" t="s">
        <v>1994</v>
      </c>
      <c r="X5" s="71"/>
      <c r="Y5" s="70" t="s">
        <v>1995</v>
      </c>
      <c r="Z5" s="2300" t="s">
        <v>1992</v>
      </c>
      <c r="AA5" s="1267" t="s">
        <v>1993</v>
      </c>
      <c r="AB5" s="1267" t="s">
        <v>1994</v>
      </c>
      <c r="AC5" s="71"/>
      <c r="AD5" s="71" t="s">
        <v>1995</v>
      </c>
      <c r="AE5" s="1266" t="s">
        <v>1996</v>
      </c>
      <c r="AF5" s="1267" t="s">
        <v>1997</v>
      </c>
      <c r="AG5" s="70" t="s">
        <v>1998</v>
      </c>
      <c r="AH5" s="1266" t="s">
        <v>1999</v>
      </c>
      <c r="AI5" s="2300" t="s">
        <v>2000</v>
      </c>
      <c r="AJ5" s="2300" t="s">
        <v>2001</v>
      </c>
      <c r="AK5" s="1267" t="s">
        <v>2002</v>
      </c>
      <c r="AL5" s="1267" t="s">
        <v>2003</v>
      </c>
      <c r="AM5" s="70" t="s">
        <v>2004</v>
      </c>
      <c r="AN5" s="2301" t="s">
        <v>2005</v>
      </c>
      <c r="AO5" s="2071" t="s">
        <v>2006</v>
      </c>
      <c r="AP5" s="1248" t="s">
        <v>2007</v>
      </c>
      <c r="AQ5" s="2302" t="s">
        <v>2008</v>
      </c>
      <c r="AR5" s="2302"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商业</v>
      </c>
      <c r="B6" s="2304" t="str">
        <f>IF(A6=0,"","经营性")</f>
        <v>经营性</v>
      </c>
      <c r="C6" s="2305" t="s">
        <v>1373</v>
      </c>
      <c r="D6" s="1050">
        <f>SUMIF(项目基本情况!D$12:I$12,C6,项目基本情况!D$14:I$14)</f>
        <v>40</v>
      </c>
      <c r="E6" s="1047">
        <f>IF(B6="","",SUMIF(项目基本情况!D$12:I$12,C6,项目基本情况!D$13:I$13))</f>
        <v>53332</v>
      </c>
      <c r="F6" s="72">
        <f>SUMIF(项目基本情况!D$12:I$12,C6,项目基本情况!D$15:I$15)</f>
        <v>26.56</v>
      </c>
      <c r="G6" s="73">
        <f>IF(ISERROR(ROUND(POWER(1+H6,D6-F6)*(POWER(1+H6,F6)-1)/(POWER(1+H6,D6)-1),3)),0,ROUND(POWER(1+H6,D6-F6)*(POWER(1+H6,F6)-1)/(POWER(1+H6,D6)-1),3))</f>
        <v>0.84699999999999998</v>
      </c>
      <c r="H6" s="801">
        <v>0.05</v>
      </c>
      <c r="I6" s="801">
        <v>5.5E-2</v>
      </c>
      <c r="J6" s="74">
        <v>0.08</v>
      </c>
      <c r="K6" s="1250">
        <f>SUMIF('数据-汇总表'!C$19:C$33,A6,'数据-汇总表'!E$19:E$33)</f>
        <v>31181.27</v>
      </c>
      <c r="L6" s="3379">
        <v>3000</v>
      </c>
      <c r="M6" s="75">
        <f t="shared" ref="M6:M14" si="0">ROUND(K6*L6/10000,0)</f>
        <v>9354</v>
      </c>
      <c r="N6" s="800">
        <f>N18</f>
        <v>0.82</v>
      </c>
      <c r="O6" s="75" t="str">
        <f>IF($N$5="成新度","——",ROUND(M6*N6,0))</f>
        <v>——</v>
      </c>
      <c r="P6" s="76" t="str">
        <f>IF($N$5="成新度","——",M6-O6)</f>
        <v>——</v>
      </c>
      <c r="Q6" s="803">
        <v>0.15</v>
      </c>
      <c r="R6" s="77">
        <f ca="1">SUMIF('数据-汇总表'!C$19:C$33,A6,'数据-汇总表'!R$19:R$27)</f>
        <v>9142.39</v>
      </c>
      <c r="S6" s="54">
        <f>IF('数据-汇总表'!$I$17="按面积比例",SUMIF('数据-汇总表'!C$19:C$33,A6,'数据-汇总表'!K$19:K$33),SUMIF('数据-汇总表'!C$19:C$33,A6,'数据-汇总表'!N$19:N$33))</f>
        <v>0</v>
      </c>
      <c r="T6" s="1442">
        <f>ROUND($L$14*S6/10000,0)</f>
        <v>0</v>
      </c>
      <c r="U6" s="78">
        <f>Sheet1!F12</f>
        <v>5.24</v>
      </c>
      <c r="V6" s="79">
        <v>0.03</v>
      </c>
      <c r="W6" s="79">
        <v>0.1</v>
      </c>
      <c r="X6" s="1260"/>
      <c r="Y6" s="80">
        <f>N6</f>
        <v>0.82</v>
      </c>
      <c r="Z6" s="81"/>
      <c r="AA6" s="74"/>
      <c r="AB6" s="74"/>
      <c r="AC6" s="1260"/>
      <c r="AD6" s="82"/>
      <c r="AE6" s="1261">
        <f ca="1">IF(AN6="",0,SUMIF(INDIRECT("'"&amp;AN6&amp;"'"&amp;"!E:E"),$AE$5,INDIRECT("'"&amp;AN6&amp;"'"&amp;"!F:F")))</f>
        <v>26.56</v>
      </c>
      <c r="AF6" s="1803"/>
      <c r="AG6" s="146">
        <f>IF(AF6="",0,AE6-AF6)</f>
        <v>0</v>
      </c>
      <c r="AH6" s="83"/>
      <c r="AI6" s="85">
        <v>365</v>
      </c>
      <c r="AJ6" s="86"/>
      <c r="AK6" s="87">
        <v>1.4999999999999999E-2</v>
      </c>
      <c r="AL6" s="88">
        <v>1.5E-3</v>
      </c>
      <c r="AM6" s="89">
        <v>1.4999999999999999E-2</v>
      </c>
      <c r="AN6" s="2306" t="s">
        <v>3210</v>
      </c>
      <c r="AO6" s="55">
        <f ca="1">SUMIF(INDIRECT("'"&amp;AN6&amp;"'"&amp;"!A:A"),"总价",INDIRECT("'"&amp;AN6&amp;"'"&amp;"!B:B"))</f>
        <v>77958</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车位</v>
      </c>
      <c r="B7" s="2304" t="str">
        <f t="shared" ref="B7:B13" si="1">IF(A7=0,"","经营性")</f>
        <v>经营性</v>
      </c>
      <c r="C7" s="2305" t="s">
        <v>3067</v>
      </c>
      <c r="D7" s="1050">
        <f>SUMIF(项目基本情况!D$12:I$12,C7,项目基本情况!D$14:I$14)</f>
        <v>50</v>
      </c>
      <c r="E7" s="1047">
        <f>IF(B7="","",SUMIF(项目基本情况!D$12:I$12,C7,项目基本情况!D$13:I$13))</f>
        <v>56984</v>
      </c>
      <c r="F7" s="72">
        <f>SUMIF(项目基本情况!D$12:I$12,C7,项目基本情况!D$15:I$15)</f>
        <v>36.57</v>
      </c>
      <c r="G7" s="73">
        <f t="shared" ref="G7:G11" si="2">IF(ISERROR(ROUND(POWER(1+H7,D7-F7)*(POWER(1+H7,F7)-1)/(POWER(1+H7,D7)-1),3)),0,ROUND(POWER(1+H7,D7-F7)*(POWER(1+H7,F7)-1)/(POWER(1+H7,D7)-1),3))</f>
        <v>0.9</v>
      </c>
      <c r="H7" s="801">
        <v>4.4999999999999998E-2</v>
      </c>
      <c r="I7" s="801">
        <v>0.05</v>
      </c>
      <c r="J7" s="74">
        <v>0.08</v>
      </c>
      <c r="K7" s="1250">
        <f>SUMIF('数据-汇总表'!C$19:C$33,A7,'数据-汇总表'!E$19:E$33)</f>
        <v>3559.58</v>
      </c>
      <c r="L7" s="3379">
        <v>2500</v>
      </c>
      <c r="M7" s="75">
        <f t="shared" si="0"/>
        <v>890</v>
      </c>
      <c r="N7" s="800">
        <f>N6</f>
        <v>0.82</v>
      </c>
      <c r="O7" s="75" t="str">
        <f t="shared" ref="O7:O14" si="3">IF($N$5="成新度","——",ROUND(M7*N7,0))</f>
        <v>——</v>
      </c>
      <c r="P7" s="76" t="str">
        <f t="shared" ref="P7:P14" si="4">IF($N$5="成新度","——",M7-O7)</f>
        <v>——</v>
      </c>
      <c r="Q7" s="3415">
        <v>0.03</v>
      </c>
      <c r="R7" s="77">
        <f ca="1">SUMIF('数据-汇总表'!C$19:C$33,A7,'数据-汇总表'!R$19:R$27)</f>
        <v>1043.67</v>
      </c>
      <c r="S7" s="54">
        <f>IF('数据-汇总表'!$I$17="按面积比例",SUMIF('数据-汇总表'!C$19:C$33,A7,'数据-汇总表'!K$19:K$33),SUMIF('数据-汇总表'!C$19:C$33,A7,'数据-汇总表'!N$19:N$33))</f>
        <v>0</v>
      </c>
      <c r="T7" s="1442">
        <f t="shared" ref="T7:T13" si="5">ROUND($L$14*S7/10000,0)</f>
        <v>0</v>
      </c>
      <c r="U7" s="3416">
        <v>600</v>
      </c>
      <c r="V7" s="79">
        <v>0.02</v>
      </c>
      <c r="W7" s="79">
        <v>0.1</v>
      </c>
      <c r="X7" s="1260"/>
      <c r="Y7" s="80">
        <f>Y6</f>
        <v>0.82</v>
      </c>
      <c r="Z7" s="81"/>
      <c r="AA7" s="74"/>
      <c r="AB7" s="74"/>
      <c r="AC7" s="1260"/>
      <c r="AD7" s="82"/>
      <c r="AE7" s="1261">
        <f t="shared" ref="AE7:AE13" ca="1" si="6">IF(AN7="",0,SUMIF(INDIRECT("'"&amp;AN7&amp;"'"&amp;"!E:E"),$AE$5,INDIRECT("'"&amp;AN7&amp;"'"&amp;"!F:F")))</f>
        <v>36.57</v>
      </c>
      <c r="AF7" s="1803"/>
      <c r="AG7" s="146">
        <f t="shared" ref="AG7:AG13" si="7">IF(AF7="",0,AE7-AF7)</f>
        <v>0</v>
      </c>
      <c r="AH7" s="83">
        <v>101</v>
      </c>
      <c r="AI7" s="85">
        <v>12</v>
      </c>
      <c r="AJ7" s="86"/>
      <c r="AK7" s="87">
        <f>AK6</f>
        <v>1.4999999999999999E-2</v>
      </c>
      <c r="AL7" s="88">
        <f>AL6</f>
        <v>1.5E-3</v>
      </c>
      <c r="AM7" s="89">
        <f>AM6</f>
        <v>1.4999999999999999E-2</v>
      </c>
      <c r="AN7" s="2306" t="s">
        <v>3211</v>
      </c>
      <c r="AO7" s="55">
        <f t="shared" ref="AO7:AO13" ca="1" si="8">SUMIF(INDIRECT("'"&amp;AN7&amp;"'"&amp;"!A:A"),"总价",INDIRECT("'"&amp;AN7&amp;"'"&amp;"!B:B"))</f>
        <v>733</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2010</v>
      </c>
      <c r="B14" s="2304" t="s">
        <v>2011</v>
      </c>
      <c r="C14" s="2309"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2012</v>
      </c>
      <c r="B15" s="2304" t="s">
        <v>2011</v>
      </c>
      <c r="C15" s="2309"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2014</v>
      </c>
      <c r="B16" s="97"/>
      <c r="C16" s="1004"/>
      <c r="D16" s="2311"/>
      <c r="E16" s="97"/>
      <c r="F16" s="97"/>
      <c r="G16" s="98">
        <f>ROUND(SUMPRODUCT(G6:G13,K6:K13)/SUMPRODUCT((G6:G13&gt;0)*(K6:K13)),3)</f>
        <v>0.85199999999999998</v>
      </c>
      <c r="H16" s="99">
        <f>ROUND(SUMPRODUCT(H6:H13,K6:K13)/SUMPRODUCT((H6:H13&gt;0)*(K6:K13)),3)</f>
        <v>4.9000000000000002E-2</v>
      </c>
      <c r="I16" s="100"/>
      <c r="J16" s="100"/>
      <c r="K16" s="101">
        <f>SUM(K6:K15)</f>
        <v>34740.85</v>
      </c>
      <c r="L16" s="102">
        <f>ROUND(M16*10000/SUM(K6:K14),0)</f>
        <v>2949</v>
      </c>
      <c r="M16" s="102">
        <f>SUM(M6:M14)</f>
        <v>10244</v>
      </c>
      <c r="N16" s="103">
        <f>ROUND(SUMPRODUCT(M6:M14,N6:N14)/M16,3)</f>
        <v>0.82</v>
      </c>
      <c r="O16" s="102">
        <f>SUM(O6:O14)</f>
        <v>0</v>
      </c>
      <c r="P16" s="102">
        <f>SUM(P6:P14)</f>
        <v>0</v>
      </c>
      <c r="Q16" s="104">
        <f>ROUND(SUMPRODUCT(Q6:Q13,K6:K13)/SUMPRODUCT((Q6:Q13&gt;0)*(K6:K13)),2)</f>
        <v>0.14000000000000001</v>
      </c>
      <c r="R16" s="1254">
        <f ca="1">SUM(R6:R13)</f>
        <v>10186.06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7"/>
      <c r="L17" s="167"/>
      <c r="M17" s="1580"/>
      <c r="N17" s="1580">
        <v>2008</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7"/>
      <c r="C18" s="2274"/>
      <c r="D18" s="2275"/>
      <c r="E18" s="2274"/>
      <c r="F18" s="2274"/>
      <c r="G18" s="2274"/>
      <c r="H18" s="2274"/>
      <c r="I18" s="2274"/>
      <c r="J18" s="2274"/>
      <c r="K18" s="167"/>
      <c r="L18" s="167"/>
      <c r="M18" s="1580"/>
      <c r="N18" s="1580">
        <f>ROUND(1-(2019-N17)/60,2)</f>
        <v>0.82</v>
      </c>
      <c r="O18" s="1580"/>
      <c r="P18" s="1580"/>
      <c r="Q18" s="1580"/>
      <c r="R18" s="1580"/>
      <c r="S18" s="1580"/>
      <c r="T18" s="1580"/>
      <c r="U18" s="1580"/>
      <c r="V18" s="1580"/>
      <c r="W18" s="1580"/>
      <c r="X18" s="1580"/>
      <c r="Y18" s="1580"/>
      <c r="Z18" s="1580"/>
      <c r="AA18" s="1580">
        <f>K7/102</f>
        <v>34.897843137254903</v>
      </c>
      <c r="AB18" s="1580"/>
      <c r="AC18" s="1580"/>
      <c r="AD18" s="1580"/>
      <c r="AE18" s="1580"/>
      <c r="AF18" s="1580"/>
      <c r="AG18" s="1580"/>
      <c r="AH18" s="1580"/>
      <c r="AI18" s="1580"/>
      <c r="AJ18" s="1580"/>
      <c r="AK18" s="1580"/>
      <c r="AL18" s="1580"/>
      <c r="AM18" s="1580"/>
    </row>
    <row r="19" spans="1:67" ht="14.25">
      <c r="A19" s="2313" t="s">
        <v>2016</v>
      </c>
      <c r="B19" s="112">
        <v>0</v>
      </c>
      <c r="C19" s="2274" t="s">
        <v>2017</v>
      </c>
      <c r="D19" s="2275"/>
      <c r="E19" s="2274"/>
      <c r="F19" s="2274"/>
      <c r="G19" s="2274"/>
      <c r="H19" s="2274"/>
      <c r="I19" s="2274"/>
      <c r="J19" s="2274"/>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2018</v>
      </c>
      <c r="B20" s="113">
        <v>2</v>
      </c>
      <c r="C20" s="2274" t="s">
        <v>2019</v>
      </c>
      <c r="D20" s="2275"/>
      <c r="E20" s="2274"/>
      <c r="F20" s="2274"/>
      <c r="G20" s="2274"/>
      <c r="H20" s="2274"/>
      <c r="I20" s="2274"/>
      <c r="J20" s="2274"/>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2020</v>
      </c>
      <c r="B21" s="113">
        <v>2</v>
      </c>
      <c r="C21" s="2274"/>
      <c r="D21" s="2275"/>
      <c r="E21" s="2274"/>
      <c r="F21" s="2274"/>
      <c r="G21" s="2274"/>
      <c r="H21" s="2274"/>
      <c r="I21" s="2274"/>
      <c r="J21" s="2274"/>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2021</v>
      </c>
      <c r="B22" s="114">
        <f>B19+B20</f>
        <v>2</v>
      </c>
      <c r="C22" s="2274"/>
      <c r="D22" s="2275"/>
      <c r="E22" s="2274"/>
      <c r="F22" s="2274"/>
      <c r="G22" s="2274"/>
      <c r="H22" s="2274"/>
      <c r="I22" s="2274"/>
      <c r="J22" s="2274"/>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2022</v>
      </c>
      <c r="B23" s="114">
        <f>B19+B21</f>
        <v>2</v>
      </c>
      <c r="C23" s="2274"/>
      <c r="D23" s="2275"/>
      <c r="E23" s="2274"/>
      <c r="F23" s="2274"/>
      <c r="G23" s="2274"/>
      <c r="H23" s="2274"/>
      <c r="I23" s="2274"/>
      <c r="J23" s="2274"/>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2023</v>
      </c>
      <c r="B24" s="115">
        <f>B20-B21</f>
        <v>0</v>
      </c>
      <c r="C24" s="2274"/>
      <c r="D24" s="2275"/>
      <c r="E24" s="2274"/>
      <c r="F24" s="2274"/>
      <c r="G24" s="2274"/>
      <c r="H24" s="2274"/>
      <c r="I24" s="2274"/>
      <c r="J24" s="2274"/>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2024</v>
      </c>
      <c r="B26" s="2317" t="s">
        <v>2025</v>
      </c>
      <c r="C26" s="2318" t="s">
        <v>2026</v>
      </c>
      <c r="D26" s="2275"/>
      <c r="E26" s="2274"/>
      <c r="F26" s="2274"/>
      <c r="G26" s="2274"/>
      <c r="H26" s="2274"/>
      <c r="I26" s="2274"/>
      <c r="J26" s="2274"/>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2027</v>
      </c>
      <c r="B27" s="3380">
        <v>160</v>
      </c>
      <c r="C27" s="1763" t="s">
        <v>2028</v>
      </c>
      <c r="D27" s="2320"/>
      <c r="E27" s="1426"/>
      <c r="F27" s="1426"/>
      <c r="G27" s="2274"/>
      <c r="H27" s="2274"/>
      <c r="I27" s="2274"/>
      <c r="J27" s="2274"/>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2029</v>
      </c>
      <c r="B28" s="118">
        <v>200</v>
      </c>
      <c r="C28" s="2323"/>
      <c r="D28" s="2320"/>
      <c r="E28" s="1426"/>
      <c r="F28" s="1426"/>
      <c r="G28" s="2274"/>
      <c r="H28" s="2274"/>
      <c r="I28" s="2274"/>
      <c r="J28" s="2274"/>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2030</v>
      </c>
      <c r="B29" s="120"/>
      <c r="C29" s="1763" t="s">
        <v>2031</v>
      </c>
      <c r="D29" s="2320"/>
      <c r="E29" s="1426"/>
      <c r="F29" s="1426"/>
      <c r="G29" s="2274"/>
      <c r="H29" s="2274"/>
      <c r="I29" s="2274"/>
      <c r="J29" s="2274"/>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2032</v>
      </c>
      <c r="B30" s="723">
        <v>200</v>
      </c>
      <c r="C30" s="2323"/>
      <c r="D30" s="2320"/>
      <c r="E30" s="1426"/>
      <c r="F30" s="1426"/>
      <c r="G30" s="2274"/>
      <c r="H30" s="2274"/>
      <c r="I30" s="2274"/>
      <c r="J30" s="2274"/>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2033</v>
      </c>
      <c r="B31" s="119">
        <f>B30-B32</f>
        <v>200</v>
      </c>
      <c r="C31" s="1763"/>
      <c r="D31" s="2320"/>
      <c r="E31" s="1426"/>
      <c r="F31" s="1426"/>
      <c r="G31" s="2274"/>
      <c r="H31" s="2274"/>
      <c r="I31" s="2274"/>
      <c r="J31" s="2274"/>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2034</v>
      </c>
      <c r="B32" s="724">
        <v>0</v>
      </c>
      <c r="C32" s="2323"/>
      <c r="D32" s="2275"/>
      <c r="E32" s="2274"/>
      <c r="F32" s="2274"/>
      <c r="G32" s="2274"/>
      <c r="H32" s="2274"/>
      <c r="I32" s="2274"/>
      <c r="J32" s="2274"/>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2035</v>
      </c>
      <c r="B33" s="725">
        <v>0.03</v>
      </c>
      <c r="C33" s="1762" t="s">
        <v>2036</v>
      </c>
      <c r="D33" s="2275"/>
      <c r="E33" s="2274"/>
      <c r="F33" s="2274"/>
      <c r="G33" s="2274"/>
      <c r="H33" s="2274"/>
      <c r="I33" s="2274"/>
      <c r="J33" s="2274"/>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2037</v>
      </c>
      <c r="B34" s="121"/>
      <c r="C34" s="1762" t="s">
        <v>2038</v>
      </c>
      <c r="D34" s="2275" t="s">
        <v>2039</v>
      </c>
      <c r="E34" s="731"/>
      <c r="F34" s="2274"/>
      <c r="G34" s="2274"/>
      <c r="H34" s="2274"/>
      <c r="I34" s="2274"/>
      <c r="J34" s="2274"/>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2040</v>
      </c>
      <c r="B35" s="118">
        <v>200</v>
      </c>
      <c r="C35" s="1762" t="s">
        <v>2041</v>
      </c>
      <c r="D35" s="2320"/>
      <c r="E35" s="1426"/>
      <c r="F35" s="1426"/>
      <c r="G35" s="2274"/>
      <c r="H35" s="2274"/>
      <c r="I35" s="2274"/>
      <c r="J35" s="2274"/>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2042</v>
      </c>
      <c r="B36" s="122">
        <v>1.4999999999999999E-2</v>
      </c>
      <c r="C36" s="1762" t="s">
        <v>2043</v>
      </c>
      <c r="D36" s="2275"/>
      <c r="E36" s="2274"/>
      <c r="F36" s="2274"/>
      <c r="G36" s="2274"/>
      <c r="H36" s="2274"/>
      <c r="I36" s="2274"/>
      <c r="J36" s="2274"/>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2044</v>
      </c>
      <c r="B37" s="123">
        <v>0.02</v>
      </c>
      <c r="C37" s="1762" t="s">
        <v>2045</v>
      </c>
      <c r="D37" s="2275"/>
      <c r="E37" s="2274"/>
      <c r="F37" s="2274"/>
      <c r="G37" s="2274"/>
      <c r="H37" s="2274"/>
      <c r="I37" s="2274"/>
      <c r="J37" s="2274"/>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2046</v>
      </c>
      <c r="B38" s="121">
        <v>0.02</v>
      </c>
      <c r="C38" s="1762" t="s">
        <v>2045</v>
      </c>
      <c r="D38" s="2275"/>
      <c r="E38" s="2274"/>
      <c r="F38" s="2274"/>
      <c r="G38" s="2274"/>
      <c r="H38" s="2274"/>
      <c r="I38" s="2274"/>
      <c r="J38" s="2274"/>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2047</v>
      </c>
      <c r="B39" s="361">
        <f ca="1">存贷款利率!I1</f>
        <v>1.4999999999999999E-2</v>
      </c>
      <c r="C39" s="1762"/>
      <c r="D39" s="2275"/>
      <c r="E39" s="2274"/>
      <c r="F39" s="2274"/>
      <c r="G39" s="2274"/>
      <c r="H39" s="2274"/>
      <c r="I39" s="2274"/>
      <c r="J39" s="2274"/>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2048</v>
      </c>
      <c r="B40" s="1299">
        <f ca="1">存贷款利率!G1</f>
        <v>4.7500000000000001E-2</v>
      </c>
      <c r="C40" s="1762" t="s">
        <v>2049</v>
      </c>
      <c r="D40" s="1580"/>
      <c r="E40" s="2275"/>
      <c r="F40" s="2274"/>
      <c r="G40" s="2274"/>
      <c r="H40" s="2274"/>
      <c r="I40" s="2274"/>
      <c r="J40" s="2274"/>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2050</v>
      </c>
      <c r="B41" s="124">
        <f>B42+B43</f>
        <v>5.6000000000000001E-2</v>
      </c>
      <c r="C41" s="1763"/>
      <c r="D41" s="1580"/>
      <c r="E41" s="2275"/>
      <c r="F41" s="2274"/>
      <c r="G41" s="2274"/>
      <c r="H41" s="2274"/>
      <c r="I41" s="2274"/>
      <c r="J41" s="2274"/>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2051</v>
      </c>
      <c r="B42" s="125">
        <v>0.05</v>
      </c>
      <c r="C42" s="2328">
        <f>IF(B2&lt;DATE(2016,5,1),0,B42)</f>
        <v>0.05</v>
      </c>
      <c r="D42" s="2275"/>
      <c r="E42" s="2274"/>
      <c r="F42" s="2274"/>
      <c r="G42" s="2274"/>
      <c r="H42" s="2274"/>
      <c r="I42" s="2274"/>
      <c r="J42" s="2274"/>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2052</v>
      </c>
      <c r="B43" s="126">
        <f>B42*(B44+B45+B46)+B47</f>
        <v>6.000000000000001E-3</v>
      </c>
      <c r="C43" s="1763"/>
      <c r="D43" s="2275"/>
      <c r="E43" s="2274"/>
      <c r="F43" s="2274"/>
      <c r="G43" s="2274"/>
      <c r="H43" s="2274"/>
      <c r="I43" s="2274"/>
      <c r="J43" s="2274"/>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2053</v>
      </c>
      <c r="B44" s="127">
        <v>7.0000000000000007E-2</v>
      </c>
      <c r="C44" s="1762" t="s">
        <v>2054</v>
      </c>
      <c r="D44" s="2275"/>
      <c r="E44" s="2274"/>
      <c r="F44" s="2274"/>
      <c r="G44" s="2274"/>
      <c r="H44" s="2274"/>
      <c r="I44" s="2274"/>
      <c r="J44" s="2274"/>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2055</v>
      </c>
      <c r="B45" s="125">
        <v>0.03</v>
      </c>
      <c r="C45" s="1763" t="s">
        <v>2056</v>
      </c>
      <c r="D45" s="2275"/>
      <c r="E45" s="2274"/>
      <c r="F45" s="2274"/>
      <c r="G45" s="2274"/>
      <c r="H45" s="2274"/>
      <c r="I45" s="2274"/>
      <c r="J45" s="2274"/>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2057</v>
      </c>
      <c r="B46" s="125">
        <v>0.02</v>
      </c>
      <c r="C46" s="1763" t="s">
        <v>2058</v>
      </c>
      <c r="D46" s="2275"/>
      <c r="E46" s="2274"/>
      <c r="F46" s="2274"/>
      <c r="G46" s="2274"/>
      <c r="H46" s="2274"/>
      <c r="I46" s="2274"/>
      <c r="J46" s="2274"/>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2059</v>
      </c>
      <c r="B47" s="128">
        <v>0</v>
      </c>
      <c r="C47" s="1763" t="s">
        <v>2060</v>
      </c>
      <c r="D47" s="2275"/>
      <c r="E47" s="2274"/>
      <c r="F47" s="2274"/>
      <c r="G47" s="2274"/>
      <c r="H47" s="2274"/>
      <c r="I47" s="2274"/>
      <c r="J47" s="2274"/>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2061</v>
      </c>
      <c r="B48" s="129">
        <v>0.03</v>
      </c>
      <c r="C48" s="1770" t="s">
        <v>2062</v>
      </c>
      <c r="D48" s="2275"/>
      <c r="E48" s="2274"/>
      <c r="F48" s="2274"/>
      <c r="G48" s="2274"/>
      <c r="H48" s="2274"/>
      <c r="I48" s="2274"/>
      <c r="J48" s="2274"/>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2063</v>
      </c>
      <c r="B49" s="125">
        <v>5.0000000000000001E-4</v>
      </c>
      <c r="C49" s="1770" t="s">
        <v>2064</v>
      </c>
      <c r="D49" s="2275"/>
      <c r="E49" s="2274"/>
      <c r="F49" s="2274"/>
      <c r="G49" s="2274"/>
      <c r="H49" s="2274"/>
      <c r="I49" s="2274"/>
      <c r="J49" s="2274"/>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2065</v>
      </c>
      <c r="B50" s="130">
        <v>1.2E-2</v>
      </c>
      <c r="C50" s="1426"/>
      <c r="D50" s="2275"/>
      <c r="E50" s="2274"/>
      <c r="F50" s="2274"/>
      <c r="G50" s="2274"/>
      <c r="H50" s="2274"/>
      <c r="I50" s="2274"/>
      <c r="J50" s="2274"/>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2066</v>
      </c>
      <c r="B51" s="131">
        <v>0.12</v>
      </c>
      <c r="C51" s="1426"/>
      <c r="D51" s="2275"/>
      <c r="E51" s="2274"/>
      <c r="F51" s="2274"/>
      <c r="G51" s="2274"/>
      <c r="H51" s="2274"/>
      <c r="I51" s="2274"/>
      <c r="J51" s="2274"/>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2067</v>
      </c>
      <c r="B52" s="132">
        <f>SUMIF(A54:A63,B53,B54:B63)</f>
        <v>1.5</v>
      </c>
      <c r="C52" s="1426"/>
      <c r="D52" s="2275"/>
      <c r="E52" s="2274"/>
      <c r="F52" s="2274"/>
      <c r="G52" s="2274"/>
      <c r="H52" s="2274"/>
      <c r="I52" s="2274"/>
      <c r="J52" s="2274"/>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2068</v>
      </c>
      <c r="B53" s="2333" t="s">
        <v>56</v>
      </c>
      <c r="C53" s="1426" t="s">
        <v>2069</v>
      </c>
      <c r="D53" s="2334" t="s">
        <v>2070</v>
      </c>
      <c r="E53" s="2274"/>
      <c r="F53" s="2274"/>
      <c r="G53" s="2274"/>
      <c r="H53" s="2274"/>
      <c r="I53" s="2274"/>
      <c r="J53" s="2274"/>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2071</v>
      </c>
      <c r="B54" s="84"/>
      <c r="C54" s="1426">
        <v>30</v>
      </c>
      <c r="D54" s="2275"/>
      <c r="E54" s="2274"/>
      <c r="F54" s="2274"/>
      <c r="G54" s="2274"/>
      <c r="H54" s="2274"/>
      <c r="I54" s="2274"/>
      <c r="J54" s="2274"/>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2072</v>
      </c>
      <c r="B55" s="84"/>
      <c r="C55" s="1426">
        <v>24</v>
      </c>
      <c r="D55" s="2275"/>
      <c r="E55" s="2274"/>
      <c r="F55" s="2274"/>
      <c r="G55" s="2274"/>
      <c r="H55" s="2274"/>
      <c r="I55" s="2336"/>
      <c r="J55" s="2274"/>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2073</v>
      </c>
      <c r="B56" s="84"/>
      <c r="C56" s="1426">
        <v>18</v>
      </c>
      <c r="D56" s="2275"/>
      <c r="E56" s="2274"/>
      <c r="F56" s="2274"/>
      <c r="G56" s="2274"/>
      <c r="H56" s="2274"/>
      <c r="I56" s="2274"/>
      <c r="J56" s="2274"/>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2074</v>
      </c>
      <c r="B57" s="84"/>
      <c r="C57" s="1426">
        <v>12</v>
      </c>
      <c r="D57" s="2275"/>
      <c r="E57" s="2274"/>
      <c r="F57" s="2274"/>
      <c r="G57" s="2274"/>
      <c r="H57" s="2274"/>
      <c r="I57" s="2274"/>
      <c r="J57" s="2274"/>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2075</v>
      </c>
      <c r="B58" s="84"/>
      <c r="C58" s="1426">
        <v>3</v>
      </c>
      <c r="D58" s="2275"/>
      <c r="E58" s="2274"/>
      <c r="F58" s="2274"/>
      <c r="G58" s="2274"/>
      <c r="H58" s="2274"/>
      <c r="I58" s="2274"/>
      <c r="J58" s="2274"/>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2076</v>
      </c>
      <c r="B59" s="84">
        <v>1.5</v>
      </c>
      <c r="C59" s="1426">
        <v>1.5</v>
      </c>
      <c r="D59" s="2275"/>
      <c r="E59" s="2274"/>
      <c r="F59" s="2274"/>
      <c r="G59" s="2274"/>
      <c r="H59" s="2274"/>
      <c r="I59" s="2274"/>
      <c r="J59" s="2274"/>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2077</v>
      </c>
      <c r="B60" s="84"/>
      <c r="C60" s="2274"/>
      <c r="D60" s="2275"/>
      <c r="E60" s="2274"/>
      <c r="F60" s="2274"/>
      <c r="G60" s="2274"/>
      <c r="H60" s="2274"/>
      <c r="I60" s="2274"/>
      <c r="J60" s="2274"/>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2078</v>
      </c>
      <c r="B61" s="84"/>
      <c r="C61" s="2274"/>
      <c r="D61" s="2275"/>
      <c r="E61" s="2274"/>
      <c r="F61" s="2274"/>
      <c r="G61" s="2274"/>
      <c r="H61" s="2274"/>
      <c r="I61" s="2274"/>
      <c r="J61" s="2274"/>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2079</v>
      </c>
      <c r="B62" s="84"/>
      <c r="C62" s="2274"/>
      <c r="D62" s="2275"/>
      <c r="E62" s="2274"/>
      <c r="F62" s="2274"/>
      <c r="G62" s="2274"/>
      <c r="H62" s="2274"/>
      <c r="I62" s="2274"/>
      <c r="J62" s="2274"/>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2080</v>
      </c>
      <c r="B63" s="133"/>
      <c r="C63" s="2274"/>
      <c r="D63" s="2275"/>
      <c r="E63" s="2274"/>
      <c r="F63" s="2274"/>
      <c r="G63" s="2274"/>
      <c r="H63" s="2274"/>
      <c r="I63" s="2274"/>
      <c r="J63" s="2274"/>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39" t="s">
        <v>2081</v>
      </c>
      <c r="B1" s="3140"/>
      <c r="C1" s="3140"/>
      <c r="D1" s="3140"/>
      <c r="E1" s="3140"/>
      <c r="F1" s="3140"/>
      <c r="G1" s="314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3"/>
      <c r="G2" s="2362" t="s">
        <v>2083</v>
      </c>
      <c r="H2" s="2365"/>
      <c r="I2" s="2365"/>
      <c r="J2" s="2365"/>
      <c r="K2" s="2365"/>
      <c r="L2" s="2365"/>
      <c r="M2" s="2365"/>
      <c r="N2" s="2365"/>
      <c r="O2" s="2365"/>
      <c r="P2" s="2365"/>
      <c r="Q2" s="2365"/>
      <c r="R2" s="2365"/>
    </row>
    <row r="3" spans="1:29" ht="42.75">
      <c r="A3" s="414" t="s">
        <v>2084</v>
      </c>
      <c r="B3" s="1267" t="s">
        <v>2085</v>
      </c>
      <c r="C3" s="2367"/>
      <c r="D3" s="2368"/>
      <c r="E3" s="430" t="s">
        <v>2084</v>
      </c>
      <c r="F3" s="2369" t="s">
        <v>2086</v>
      </c>
      <c r="G3" s="2370" t="s">
        <v>2087</v>
      </c>
      <c r="H3" s="2365"/>
      <c r="I3" s="2365"/>
      <c r="J3" s="2365"/>
      <c r="K3" s="2365"/>
      <c r="L3" s="2365"/>
      <c r="M3" s="2365"/>
      <c r="N3" s="2365"/>
      <c r="O3" s="2365"/>
      <c r="P3" s="2365"/>
      <c r="Q3" s="2365"/>
      <c r="R3" s="2365"/>
    </row>
    <row r="4" spans="1:29" ht="40.5">
      <c r="A4" s="430"/>
      <c r="B4" s="1794" t="s">
        <v>2088</v>
      </c>
      <c r="C4" s="3381" t="s">
        <v>3284</v>
      </c>
      <c r="D4" s="2368"/>
      <c r="E4" s="2372"/>
      <c r="F4" s="42" t="s">
        <v>2089</v>
      </c>
      <c r="G4" s="2373" t="s">
        <v>2090</v>
      </c>
      <c r="H4" s="2365"/>
      <c r="I4" s="2365"/>
      <c r="J4" s="2365"/>
      <c r="K4" s="2365"/>
      <c r="L4" s="2365"/>
      <c r="M4" s="2365"/>
      <c r="N4" s="2365"/>
      <c r="O4" s="2365"/>
      <c r="P4" s="2365"/>
      <c r="Q4" s="2365"/>
      <c r="R4" s="2365"/>
    </row>
    <row r="5" spans="1:29" ht="27">
      <c r="A5" s="430"/>
      <c r="B5" s="1794" t="s">
        <v>2091</v>
      </c>
      <c r="C5" s="2371"/>
      <c r="D5" s="2368"/>
      <c r="E5" s="2372"/>
      <c r="F5" s="1794" t="s">
        <v>2092</v>
      </c>
      <c r="G5" s="2373" t="s">
        <v>2093</v>
      </c>
      <c r="H5" s="2365"/>
      <c r="I5" s="2365"/>
      <c r="J5" s="2365"/>
      <c r="K5" s="2365"/>
      <c r="L5" s="2365"/>
      <c r="M5" s="2365"/>
      <c r="N5" s="2365"/>
      <c r="O5" s="2365"/>
      <c r="P5" s="2365"/>
      <c r="Q5" s="2365"/>
      <c r="R5" s="2365"/>
    </row>
    <row r="6" spans="1:29" ht="15">
      <c r="A6" s="430"/>
      <c r="B6" s="1794" t="s">
        <v>2094</v>
      </c>
      <c r="C6" s="3382" t="s">
        <v>3284</v>
      </c>
      <c r="D6" s="2368"/>
      <c r="E6" s="2372"/>
      <c r="F6" s="1794" t="s">
        <v>2095</v>
      </c>
      <c r="G6" s="2373" t="s">
        <v>2096</v>
      </c>
      <c r="H6" s="2365"/>
      <c r="I6" s="2365"/>
      <c r="J6" s="2365"/>
      <c r="K6" s="2365"/>
      <c r="L6" s="2365"/>
      <c r="M6" s="2365"/>
      <c r="N6" s="2365"/>
      <c r="O6" s="2365"/>
      <c r="P6" s="2365"/>
      <c r="Q6" s="2365"/>
      <c r="R6" s="2365"/>
    </row>
    <row r="7" spans="1:29" ht="41.25" thickBot="1">
      <c r="A7" s="430"/>
      <c r="B7" s="1794" t="s">
        <v>2092</v>
      </c>
      <c r="C7" s="3382" t="s">
        <v>3284</v>
      </c>
      <c r="D7" s="2374"/>
      <c r="E7" s="2375"/>
      <c r="F7" s="2376" t="s">
        <v>2097</v>
      </c>
      <c r="G7" s="2377" t="s">
        <v>2098</v>
      </c>
      <c r="H7" s="2365"/>
      <c r="I7" s="2365"/>
      <c r="J7" s="2365"/>
      <c r="K7" s="2365"/>
      <c r="L7" s="2365"/>
      <c r="M7" s="2365"/>
      <c r="N7" s="2365"/>
      <c r="O7" s="2365"/>
      <c r="P7" s="2365"/>
      <c r="Q7" s="2365"/>
      <c r="R7" s="2365"/>
    </row>
    <row r="8" spans="1:29" ht="15">
      <c r="A8" s="430"/>
      <c r="B8" s="1794" t="s">
        <v>2095</v>
      </c>
      <c r="C8" s="3382" t="s">
        <v>3285</v>
      </c>
      <c r="D8" s="2374"/>
      <c r="E8" s="2374"/>
      <c r="F8" s="1132"/>
      <c r="G8" s="1132"/>
      <c r="H8" s="2365"/>
      <c r="I8" s="2365"/>
      <c r="J8" s="2365"/>
      <c r="K8" s="2365"/>
      <c r="L8" s="2365"/>
      <c r="M8" s="2365"/>
      <c r="N8" s="2365"/>
      <c r="O8" s="2365"/>
      <c r="P8" s="2365"/>
      <c r="Q8" s="2365"/>
      <c r="R8" s="2365"/>
    </row>
    <row r="9" spans="1:29" ht="15">
      <c r="A9" s="430"/>
      <c r="B9" s="1794" t="s">
        <v>2099</v>
      </c>
      <c r="C9" s="3381" t="s">
        <v>3286</v>
      </c>
      <c r="D9" s="2368"/>
      <c r="E9" s="2374"/>
      <c r="F9" s="1132"/>
      <c r="G9" s="1132"/>
      <c r="H9" s="2365"/>
      <c r="I9" s="2365"/>
      <c r="J9" s="2365"/>
      <c r="K9" s="2365"/>
      <c r="L9" s="2365"/>
      <c r="M9" s="2365"/>
      <c r="N9" s="2365"/>
      <c r="O9" s="2365"/>
      <c r="P9" s="2365"/>
      <c r="Q9" s="2365"/>
      <c r="R9" s="2365"/>
    </row>
    <row r="10" spans="1:29" s="116" customFormat="1" ht="15.75" thickBot="1">
      <c r="A10" s="2378"/>
      <c r="B10" s="2379" t="s">
        <v>2100</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6" t="s">
        <v>2085</v>
      </c>
      <c r="C15" s="2400">
        <f>C3</f>
        <v>0</v>
      </c>
      <c r="D15" s="2368"/>
      <c r="E15" s="2401" t="s">
        <v>2105</v>
      </c>
      <c r="F15" s="1266" t="s">
        <v>2106</v>
      </c>
      <c r="G15" s="134" t="str">
        <f>G3</f>
        <v>估价对象位于XX开发区，园区建设成熟度XX，产业集聚程度XX</v>
      </c>
    </row>
    <row r="16" spans="1:29" ht="42.75">
      <c r="A16" s="644"/>
      <c r="B16" s="2402" t="s">
        <v>2088</v>
      </c>
      <c r="C16" s="2403" t="str">
        <f>C4</f>
        <v>较好</v>
      </c>
      <c r="D16" s="2368"/>
      <c r="E16" s="2404"/>
      <c r="F16" s="2405" t="s">
        <v>2089</v>
      </c>
      <c r="G16" s="135" t="str">
        <f>G4</f>
        <v>估价对象周边道路状况、公共交通通达情况、停车便捷程度，综合评价交通便捷度较好</v>
      </c>
    </row>
    <row r="17" spans="1:18" ht="42.75">
      <c r="A17" s="644"/>
      <c r="B17" s="2402" t="s">
        <v>2091</v>
      </c>
      <c r="C17" s="2403">
        <f>C5</f>
        <v>0</v>
      </c>
      <c r="D17" s="2374"/>
      <c r="E17" s="2404"/>
      <c r="F17" s="2405" t="s">
        <v>2107</v>
      </c>
      <c r="G17" s="1568"/>
    </row>
    <row r="18" spans="1:18" ht="57">
      <c r="A18" s="644"/>
      <c r="B18" s="2405" t="s">
        <v>2094</v>
      </c>
      <c r="C18" s="135" t="str">
        <f>C6</f>
        <v>较好</v>
      </c>
      <c r="D18" s="2374"/>
      <c r="E18" s="2404"/>
      <c r="F18" s="2405" t="s">
        <v>2097</v>
      </c>
      <c r="G18" s="135" t="str">
        <f>G7</f>
        <v>该园区内是否有污染型企业，绿化情况，卫生条件，整体环境状况判断</v>
      </c>
    </row>
    <row r="19" spans="1:18" ht="28.5">
      <c r="A19" s="644"/>
      <c r="B19" s="2405" t="s">
        <v>2108</v>
      </c>
      <c r="C19" s="1568"/>
      <c r="D19" s="2368"/>
      <c r="E19" s="2404"/>
      <c r="F19" s="1794" t="s">
        <v>2092</v>
      </c>
      <c r="G19" s="135" t="str">
        <f>G5</f>
        <v>估价对象所在区域公共配套设施齐备情况</v>
      </c>
    </row>
    <row r="20" spans="1:18" ht="28.5">
      <c r="A20" s="644"/>
      <c r="B20" s="2405" t="s">
        <v>2109</v>
      </c>
      <c r="C20" s="2403" t="str">
        <f>C9</f>
        <v>一般</v>
      </c>
      <c r="D20" s="2374"/>
      <c r="E20" s="2404"/>
      <c r="F20" s="1794" t="s">
        <v>2110</v>
      </c>
      <c r="G20" s="135" t="str">
        <f>G6</f>
        <v>估价对象所在区域基础设施水平</v>
      </c>
    </row>
    <row r="21" spans="1:18" ht="28.5">
      <c r="A21" s="644"/>
      <c r="B21" s="1794" t="s">
        <v>2092</v>
      </c>
      <c r="C21" s="135" t="str">
        <f>C7</f>
        <v>较好</v>
      </c>
      <c r="D21" s="2368"/>
      <c r="E21" s="2404"/>
      <c r="F21" s="2405" t="s">
        <v>2111</v>
      </c>
      <c r="G21" s="2406"/>
    </row>
    <row r="22" spans="1:18" ht="13.5" customHeight="1">
      <c r="A22" s="644"/>
      <c r="B22" s="1794" t="s">
        <v>2095</v>
      </c>
      <c r="C22" s="135" t="str">
        <f>C8</f>
        <v>七通</v>
      </c>
      <c r="D22" s="2368"/>
      <c r="E22" s="2404"/>
      <c r="F22" s="2405" t="s">
        <v>2100</v>
      </c>
      <c r="G22" s="1568"/>
    </row>
    <row r="23" spans="1:18" s="2365" customFormat="1" ht="15.75" thickBot="1">
      <c r="A23" s="644"/>
      <c r="B23" s="2405" t="s">
        <v>2111</v>
      </c>
      <c r="C23" s="2406" t="s">
        <v>3233</v>
      </c>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1" sqref="D11"/>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34740.85</v>
      </c>
      <c r="C1" s="1741"/>
      <c r="D1" s="1741"/>
      <c r="E1" s="1741"/>
      <c r="F1" s="1741"/>
      <c r="G1" s="1739"/>
    </row>
    <row r="2" spans="1:10" ht="16.5">
      <c r="A2" s="1742" t="s">
        <v>1349</v>
      </c>
      <c r="B2" s="1742">
        <f>SUM(C14:C23)</f>
        <v>10186.06</v>
      </c>
      <c r="C2" s="1741"/>
      <c r="D2" s="1741"/>
      <c r="E2" s="1741"/>
      <c r="F2" s="1741"/>
      <c r="G2" s="1739"/>
    </row>
    <row r="3" spans="1:10" ht="16.5">
      <c r="A3" s="1742" t="s">
        <v>1358</v>
      </c>
      <c r="B3" s="1743">
        <f>项目基本情况!D3</f>
        <v>43634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90461</v>
      </c>
      <c r="C5" s="1742">
        <f ca="1">ROUND(B5*10000/$B$1,0)</f>
        <v>26039</v>
      </c>
      <c r="D5" s="1742">
        <f ca="1">ROUND(B5*10000/$B$2,0)</f>
        <v>88809</v>
      </c>
      <c r="E5" s="1741"/>
      <c r="F5" s="1739"/>
      <c r="G5" s="1739"/>
    </row>
    <row r="6" spans="1:10" ht="16.5">
      <c r="A6" s="1742" t="s">
        <v>1352</v>
      </c>
      <c r="B6" s="1742">
        <f ca="1">SUM(G14:G23)</f>
        <v>90461</v>
      </c>
      <c r="C6" s="1742">
        <f ca="1">ROUND(B6*10000/$B$1,0)</f>
        <v>26039</v>
      </c>
      <c r="D6" s="1742">
        <f ca="1">ROUND(B6*10000/$B$2,0)</f>
        <v>88809</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 ca="1">SUM(I14:I23)</f>
        <v>84926</v>
      </c>
      <c r="C8" s="1742">
        <f ca="1">ROUND(B8*10000/$B$1,0)</f>
        <v>24446</v>
      </c>
      <c r="D8" s="1742">
        <f ca="1">ROUND(B8*10000/$B$2,0)</f>
        <v>83375</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31181.27</v>
      </c>
      <c r="C14" s="1740">
        <f>结果表!C118</f>
        <v>9142.39</v>
      </c>
      <c r="D14" s="1740">
        <f ca="1">结果表!H118</f>
        <v>88172</v>
      </c>
      <c r="E14" s="1740">
        <f ca="1">ROUND(D14*10000/B14,0)</f>
        <v>28277</v>
      </c>
      <c r="F14" s="1740">
        <f ca="1">ROUND(D14*10000/C14,0)</f>
        <v>96443</v>
      </c>
      <c r="G14" s="1740">
        <f ca="1">结果表!D122</f>
        <v>88172</v>
      </c>
      <c r="H14" s="1740" t="str">
        <f>结果表!D124</f>
        <v>——</v>
      </c>
      <c r="I14" s="1740">
        <f ca="1">'结果表 (3)'!H111</f>
        <v>84926</v>
      </c>
      <c r="J14" s="1739"/>
    </row>
    <row r="15" spans="1:10" ht="16.5">
      <c r="A15" s="1738" t="s">
        <v>1345</v>
      </c>
      <c r="B15" s="1745">
        <f>'结果表 (2)'!B118</f>
        <v>3559.58</v>
      </c>
      <c r="C15" s="1745">
        <f>'结果表 (2)'!C118</f>
        <v>1043.67</v>
      </c>
      <c r="D15" s="1745">
        <f ca="1">'结果表 (2)'!H118</f>
        <v>2289</v>
      </c>
      <c r="E15" s="1740">
        <f t="shared" ref="E15:E23" ca="1" si="0">ROUND(D15*10000/B15,0)</f>
        <v>6431</v>
      </c>
      <c r="F15" s="1740">
        <f t="shared" ref="F15:F23" ca="1" si="1">ROUND(D15*10000/C15,0)</f>
        <v>21932</v>
      </c>
      <c r="G15" s="1746">
        <f ca="1">'结果表 (2)'!H107</f>
        <v>2289</v>
      </c>
      <c r="H15" s="1746"/>
      <c r="I15" s="1745">
        <v>0</v>
      </c>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4" zoomScaleNormal="100" zoomScaleSheetLayoutView="100" zoomScalePageLayoutView="80" workbookViewId="0">
      <selection activeCell="A113" sqref="A36:XFD113"/>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2114</v>
      </c>
      <c r="B1" s="2416"/>
      <c r="C1" s="2417" t="s">
        <v>1373</v>
      </c>
      <c r="D1" s="2416"/>
      <c r="E1" s="2416"/>
      <c r="F1" s="2418" t="s">
        <v>2115</v>
      </c>
      <c r="G1" s="2068" t="s">
        <v>3216</v>
      </c>
      <c r="H1" s="2419" t="str">
        <f>IF(G1="现房","——","估价对象范围")</f>
        <v>——</v>
      </c>
      <c r="I1" s="2420"/>
    </row>
    <row r="2" spans="1:12" ht="21.75" customHeight="1" thickBot="1">
      <c r="A2" s="3213" t="str">
        <f>项目基本情况!S2</f>
        <v>北京市朝阳区北苑路28号院1号楼房地产</v>
      </c>
      <c r="B2" s="3214"/>
      <c r="C2" s="3214"/>
      <c r="D2" s="3214"/>
      <c r="E2" s="3214"/>
      <c r="F2" s="3214"/>
      <c r="G2" s="3214"/>
      <c r="H2" s="3214"/>
      <c r="I2" s="3215"/>
    </row>
    <row r="3" spans="1:12" ht="12.75">
      <c r="A3" s="3216" t="s">
        <v>2116</v>
      </c>
      <c r="B3" s="3217"/>
      <c r="C3" s="3217"/>
      <c r="D3" s="3217"/>
      <c r="E3" s="3217"/>
      <c r="F3" s="3217"/>
      <c r="G3" s="3217"/>
      <c r="H3" s="3217"/>
      <c r="I3" s="3217"/>
    </row>
    <row r="4" spans="1:12" ht="14.25">
      <c r="A4" s="2423" t="s">
        <v>2117</v>
      </c>
      <c r="B4" s="2424" t="s">
        <v>2118</v>
      </c>
      <c r="C4" s="2425" t="s">
        <v>3210</v>
      </c>
      <c r="D4" s="2425" t="s">
        <v>3217</v>
      </c>
      <c r="E4" s="3197" t="s">
        <v>2119</v>
      </c>
      <c r="F4" s="3210"/>
      <c r="G4" s="3210"/>
      <c r="H4" s="3210"/>
      <c r="I4" s="3198"/>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88" t="s">
        <v>2120</v>
      </c>
      <c r="B5" s="3114">
        <v>25</v>
      </c>
      <c r="C5" s="3218"/>
      <c r="D5" s="3206"/>
      <c r="E5" s="139" t="s">
        <v>2121</v>
      </c>
      <c r="F5" s="2427"/>
      <c r="G5" s="2427"/>
      <c r="H5" s="2427"/>
      <c r="I5" s="1830"/>
    </row>
    <row r="6" spans="1:12" ht="12.75">
      <c r="A6" s="3188"/>
      <c r="B6" s="3114"/>
      <c r="C6" s="3220"/>
      <c r="D6" s="3206"/>
      <c r="E6" s="139" t="s">
        <v>2122</v>
      </c>
      <c r="F6" s="2427"/>
      <c r="G6" s="2427"/>
      <c r="H6" s="2427"/>
      <c r="I6" s="1830"/>
    </row>
    <row r="7" spans="1:12" ht="12.75">
      <c r="A7" s="3188"/>
      <c r="B7" s="3114"/>
      <c r="C7" s="3219"/>
      <c r="D7" s="3206"/>
      <c r="E7" s="139" t="s">
        <v>2123</v>
      </c>
      <c r="F7" s="2427"/>
      <c r="G7" s="2427"/>
      <c r="H7" s="2427"/>
      <c r="I7" s="1830"/>
    </row>
    <row r="8" spans="1:12" ht="12.75">
      <c r="A8" s="3188" t="s">
        <v>2124</v>
      </c>
      <c r="B8" s="3114">
        <v>15</v>
      </c>
      <c r="C8" s="3218"/>
      <c r="D8" s="3206"/>
      <c r="E8" s="139" t="s">
        <v>2125</v>
      </c>
      <c r="F8" s="2427"/>
      <c r="G8" s="2427"/>
      <c r="H8" s="2427"/>
      <c r="I8" s="1830"/>
    </row>
    <row r="9" spans="1:12" ht="12.75">
      <c r="A9" s="3188"/>
      <c r="B9" s="3114"/>
      <c r="C9" s="3219"/>
      <c r="D9" s="3206"/>
      <c r="E9" s="139" t="s">
        <v>2126</v>
      </c>
      <c r="F9" s="2427"/>
      <c r="G9" s="2427"/>
      <c r="H9" s="2427"/>
      <c r="I9" s="1830"/>
    </row>
    <row r="10" spans="1:12" ht="12.75">
      <c r="A10" s="3188" t="s">
        <v>2127</v>
      </c>
      <c r="B10" s="3114">
        <v>15</v>
      </c>
      <c r="C10" s="3218"/>
      <c r="D10" s="3206"/>
      <c r="E10" s="139" t="s">
        <v>2128</v>
      </c>
      <c r="F10" s="2427"/>
      <c r="G10" s="2427"/>
      <c r="H10" s="2427"/>
      <c r="I10" s="1830"/>
    </row>
    <row r="11" spans="1:12" ht="12.75">
      <c r="A11" s="3188"/>
      <c r="B11" s="3114"/>
      <c r="C11" s="3219"/>
      <c r="D11" s="3206"/>
      <c r="E11" s="139" t="s">
        <v>2129</v>
      </c>
      <c r="F11" s="2427"/>
      <c r="G11" s="2427"/>
      <c r="H11" s="2427"/>
      <c r="I11" s="1830"/>
    </row>
    <row r="12" spans="1:12" ht="12.75">
      <c r="A12" s="3188" t="s">
        <v>2130</v>
      </c>
      <c r="B12" s="3114">
        <v>15</v>
      </c>
      <c r="C12" s="3218"/>
      <c r="D12" s="3206"/>
      <c r="E12" s="139" t="s">
        <v>2131</v>
      </c>
      <c r="F12" s="2427"/>
      <c r="G12" s="2427"/>
      <c r="H12" s="2427"/>
      <c r="I12" s="1830"/>
    </row>
    <row r="13" spans="1:12" ht="12.75">
      <c r="A13" s="3188"/>
      <c r="B13" s="3114"/>
      <c r="C13" s="3219"/>
      <c r="D13" s="3206"/>
      <c r="E13" s="139" t="s">
        <v>2132</v>
      </c>
      <c r="F13" s="2427"/>
      <c r="G13" s="2427"/>
      <c r="H13" s="2427"/>
      <c r="I13" s="1830"/>
    </row>
    <row r="14" spans="1:12" ht="12.75">
      <c r="A14" s="3188" t="s">
        <v>2133</v>
      </c>
      <c r="B14" s="3114">
        <v>30</v>
      </c>
      <c r="C14" s="3218">
        <v>5</v>
      </c>
      <c r="D14" s="3206">
        <v>5</v>
      </c>
      <c r="E14" s="139" t="s">
        <v>2134</v>
      </c>
      <c r="F14" s="2427"/>
      <c r="G14" s="2427"/>
      <c r="H14" s="2427"/>
      <c r="I14" s="1830"/>
    </row>
    <row r="15" spans="1:12" ht="12.75">
      <c r="A15" s="3188"/>
      <c r="B15" s="3114"/>
      <c r="C15" s="3220"/>
      <c r="D15" s="3206"/>
      <c r="E15" s="139" t="s">
        <v>2135</v>
      </c>
      <c r="F15" s="2427"/>
      <c r="G15" s="2427"/>
      <c r="H15" s="2427"/>
      <c r="I15" s="1830"/>
    </row>
    <row r="16" spans="1:12" ht="12.75">
      <c r="A16" s="3188"/>
      <c r="B16" s="3114"/>
      <c r="C16" s="3219"/>
      <c r="D16" s="3206"/>
      <c r="E16" s="139" t="s">
        <v>2136</v>
      </c>
      <c r="F16" s="2427"/>
      <c r="G16" s="2427"/>
      <c r="H16" s="2427"/>
      <c r="I16" s="1830"/>
    </row>
    <row r="17" spans="1:35" ht="15">
      <c r="A17" s="2428" t="s">
        <v>2137</v>
      </c>
      <c r="B17" s="64"/>
      <c r="C17" s="140">
        <f>SUM(C5:C16)</f>
        <v>5</v>
      </c>
      <c r="D17" s="140">
        <f>SUM(D5:D16)</f>
        <v>5</v>
      </c>
      <c r="E17" s="137"/>
      <c r="F17" s="137"/>
      <c r="G17" s="137"/>
      <c r="H17" s="137"/>
      <c r="I17" s="137"/>
      <c r="K17" s="2426"/>
      <c r="L17" s="2429" t="s">
        <v>2138</v>
      </c>
      <c r="M17" s="2429" t="s">
        <v>2139</v>
      </c>
    </row>
    <row r="18" spans="1:35" ht="15.75" thickBot="1">
      <c r="A18" s="2430" t="s">
        <v>2140</v>
      </c>
      <c r="B18" s="2431"/>
      <c r="C18" s="141">
        <f>ROUND(C17/SUM(C17:D17),2)</f>
        <v>0.5</v>
      </c>
      <c r="D18" s="141">
        <f>1-C18</f>
        <v>0.5</v>
      </c>
      <c r="E18" s="137"/>
      <c r="F18" s="137"/>
      <c r="G18" s="137"/>
      <c r="H18" s="137"/>
      <c r="I18" s="137"/>
      <c r="K18" s="2426" t="s">
        <v>2141</v>
      </c>
      <c r="L18" s="2426">
        <f>IF(C1="",'数据-汇总表'!E3,SUMIF(项目类型,C1,'数据-汇总表'!E17:E26)+SUMIF(项目类型,C1,'数据-汇总表'!I17:I26))</f>
        <v>31181.27</v>
      </c>
      <c r="M18" s="2426">
        <f>IF(C1="",'数据-汇总表'!E3,SUMIF(项目类型,C1,'数据-汇总表'!E17:E26))</f>
        <v>31181.27</v>
      </c>
    </row>
    <row r="19" spans="1:35" ht="15">
      <c r="A19" s="2432" t="s">
        <v>2142</v>
      </c>
      <c r="B19" s="2433" t="s">
        <v>2143</v>
      </c>
      <c r="C19" s="142">
        <f ca="1">SUMIF(INDIRECT("'"&amp;C4&amp;"'"&amp;"!A:A"),结果表!B19,INDIRECT("'"&amp;C4&amp;"'"&amp;"!B:B"))</f>
        <v>77958</v>
      </c>
      <c r="D19" s="143">
        <f ca="1">SUMIF(INDIRECT("'"&amp;D4&amp;"'"&amp;"!A:A"),结果表!B19,INDIRECT("'"&amp;D4&amp;"'"&amp;"!B:B"))</f>
        <v>98386</v>
      </c>
      <c r="E19" s="2432" t="s">
        <v>2144</v>
      </c>
      <c r="F19" s="2433" t="s">
        <v>2143</v>
      </c>
      <c r="G19" s="144">
        <f ca="1">ROUND(C19*$C$18+D19*$D$18,0)</f>
        <v>88172</v>
      </c>
      <c r="H19" s="2434" t="s">
        <v>2145</v>
      </c>
      <c r="I19" s="137"/>
      <c r="K19" s="2426" t="s">
        <v>2146</v>
      </c>
      <c r="L19" s="2426">
        <f>IF(C1="",'数据-汇总表'!D3,SUMIF(项目类型,C1,'数据-汇总表'!D17:D26)+SUMIF(项目类型,C1,'数据-汇总表'!H17:H27))</f>
        <v>9142.39</v>
      </c>
      <c r="M19" s="2426">
        <f>IF(C1="",'数据-汇总表'!D3,SUMIF(项目类型,C1,'数据-汇总表'!D17:D26))</f>
        <v>9142.39</v>
      </c>
    </row>
    <row r="20" spans="1:35" ht="15">
      <c r="A20" s="2435"/>
      <c r="B20" s="1246" t="s">
        <v>2147</v>
      </c>
      <c r="C20" s="145">
        <f ca="1">SUMIF(INDIRECT("'"&amp;C4&amp;"'"&amp;"!A:A"),结果表!B20,INDIRECT("'"&amp;C4&amp;"'"&amp;"!B:B"))</f>
        <v>25002</v>
      </c>
      <c r="D20" s="146">
        <f ca="1">SUMIF(INDIRECT("'"&amp;D4&amp;"'"&amp;"!A:A"),结果表!B20,INDIRECT("'"&amp;D4&amp;"'"&amp;"!B:B"))</f>
        <v>31553</v>
      </c>
      <c r="E20" s="2435"/>
      <c r="F20" s="1246" t="s">
        <v>2147</v>
      </c>
      <c r="G20" s="147">
        <f ca="1">ROUND(C20*$C$18+D20*$D$18,0)</f>
        <v>28278</v>
      </c>
      <c r="H20" s="979" t="s">
        <v>2148</v>
      </c>
      <c r="I20" s="137"/>
    </row>
    <row r="21" spans="1:35" ht="15" customHeight="1" thickBot="1">
      <c r="A21" s="999"/>
      <c r="B21" s="2436" t="s">
        <v>2149</v>
      </c>
      <c r="C21" s="788">
        <f ca="1">ROUND(C19*10000/L19,0)</f>
        <v>85271</v>
      </c>
      <c r="D21" s="789">
        <f ca="1">ROUND(D19*10000/L19,0)</f>
        <v>107615</v>
      </c>
      <c r="E21" s="999"/>
      <c r="F21" s="2436" t="s">
        <v>2149</v>
      </c>
      <c r="G21" s="148">
        <f ca="1">ROUND(G19*10000/L19,0)</f>
        <v>96443</v>
      </c>
      <c r="H21" s="2437" t="s">
        <v>2148</v>
      </c>
      <c r="I21" s="137"/>
    </row>
    <row r="22" spans="1:35" ht="15" thickBot="1">
      <c r="A22" s="2278" t="s">
        <v>2150</v>
      </c>
      <c r="B22" s="2438"/>
      <c r="C22" s="2439"/>
      <c r="D22" s="790">
        <f ca="1">IF(C19&lt;D19,D19/C19-1,C19/D19-1)</f>
        <v>0.2620385335693578</v>
      </c>
      <c r="E22" s="137"/>
      <c r="F22" s="137"/>
      <c r="G22" s="137"/>
      <c r="H22" s="137"/>
      <c r="I22" s="137"/>
    </row>
    <row r="23" spans="1:35" ht="13.5" thickBot="1">
      <c r="A23" s="2416"/>
      <c r="B23" s="2416"/>
      <c r="C23" s="2416"/>
      <c r="D23" s="2416"/>
      <c r="E23" s="137"/>
      <c r="F23" s="137"/>
      <c r="G23" s="137"/>
      <c r="H23" s="137"/>
      <c r="I23" s="137"/>
    </row>
    <row r="24" spans="1:35" ht="14.25">
      <c r="A24" s="3227" t="s">
        <v>2151</v>
      </c>
      <c r="B24" s="2433" t="s">
        <v>2143</v>
      </c>
      <c r="C24" s="144">
        <f>IF(B30=0,0,D30)</f>
        <v>0</v>
      </c>
      <c r="D24" s="2440"/>
      <c r="E24" s="137"/>
      <c r="F24" s="137"/>
      <c r="G24" s="137"/>
      <c r="H24" s="137"/>
      <c r="I24" s="137"/>
    </row>
    <row r="25" spans="1:35" ht="14.25">
      <c r="A25" s="3228"/>
      <c r="B25" s="1246" t="s">
        <v>2147</v>
      </c>
      <c r="C25" s="149">
        <f>IF(B30=0,0,C30)</f>
        <v>0</v>
      </c>
      <c r="D25" s="2441"/>
      <c r="E25" s="137"/>
      <c r="F25" s="137"/>
      <c r="G25" s="137"/>
      <c r="H25" s="137"/>
      <c r="I25" s="137"/>
    </row>
    <row r="26" spans="1:35" ht="13.5" customHeight="1">
      <c r="A26" s="2442" t="s">
        <v>2152</v>
      </c>
      <c r="B26" s="150" t="s">
        <v>2153</v>
      </c>
      <c r="C26" s="150" t="s">
        <v>2154</v>
      </c>
      <c r="D26" s="151" t="s">
        <v>2155</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2156</v>
      </c>
      <c r="B30" s="150"/>
      <c r="C30" s="150"/>
      <c r="D30" s="150"/>
      <c r="E30" s="2915" t="s">
        <v>3032</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2157</v>
      </c>
      <c r="B32" s="2446"/>
      <c r="C32" s="152">
        <f ca="1">IF(D32="总价",G19-C24,G20-C25)</f>
        <v>88172</v>
      </c>
      <c r="D32" s="2447" t="s">
        <v>2158</v>
      </c>
      <c r="E32" s="137"/>
      <c r="F32" s="137"/>
      <c r="G32" s="137"/>
      <c r="H32" s="137"/>
      <c r="I32" s="137"/>
    </row>
    <row r="33" spans="1:15" ht="15">
      <c r="A33" s="956" t="s">
        <v>2159</v>
      </c>
      <c r="B33" s="2448"/>
      <c r="C33" s="2449" t="s">
        <v>3277</v>
      </c>
      <c r="D33" s="2450" t="s">
        <v>3210</v>
      </c>
      <c r="E33" s="2451" t="s">
        <v>2160</v>
      </c>
      <c r="F33" s="2452" t="str">
        <f>IF(D32="楼面单价","取值（单价）","取值（总价）")</f>
        <v>取值（总价）</v>
      </c>
      <c r="G33" s="137"/>
      <c r="H33" s="137"/>
      <c r="I33" s="137"/>
    </row>
    <row r="34" spans="1:15" ht="15">
      <c r="A34" s="2453"/>
      <c r="B34" s="2454" t="s">
        <v>2161</v>
      </c>
      <c r="C34" s="156">
        <f ca="1">IF(C33="自定义",F34,C32-C35)</f>
        <v>68951</v>
      </c>
      <c r="D34" s="1054">
        <f ca="1">IF(C33="自定义",ROUND(C34/C32,3),IF(C33="收益比率",SUMIF(INDIRECT("'"&amp;D33&amp;"'"&amp;"!b:b"),"土地收益比率",INDIRECT("'"&amp;D33&amp;"'"&amp;"!c:c")),SUMIF(INDIRECT("'"&amp;D33&amp;"'"&amp;"!b:b"),"土地成本比率",INDIRECT("'"&amp;D33&amp;"'"&amp;"!c:c"))))</f>
        <v>0.78200000000000003</v>
      </c>
      <c r="E34" s="2455" t="s">
        <v>2162</v>
      </c>
      <c r="F34" s="1735"/>
      <c r="G34" s="137"/>
      <c r="H34" s="137"/>
      <c r="I34" s="137"/>
    </row>
    <row r="35" spans="1:15" ht="15.75" thickBot="1">
      <c r="A35" s="2456"/>
      <c r="B35" s="2457" t="s">
        <v>2163</v>
      </c>
      <c r="C35" s="1440">
        <f ca="1">IF(C33="自定义",F35,ROUND(C32*D35,0))</f>
        <v>19221</v>
      </c>
      <c r="D35" s="1441">
        <f ca="1">IF(C33="自定义",ROUND(C35/C32,3),IF(C33="收益比率",SUMIF(INDIRECT("'"&amp;D33&amp;"'"&amp;"!b:b"),"建筑物收益比率",INDIRECT("'"&amp;D33&amp;"'"&amp;"!c:c")),SUMIF(INDIRECT("'"&amp;D33&amp;"'"&amp;"!b:b"),"建筑物成本比率",INDIRECT("'"&amp;D33&amp;"'"&amp;"!c:c"))))</f>
        <v>0.218</v>
      </c>
      <c r="E35" s="2458" t="s">
        <v>2164</v>
      </c>
      <c r="F35" s="162"/>
      <c r="G35" s="137"/>
      <c r="H35" s="137"/>
      <c r="I35" s="137"/>
    </row>
    <row r="36" spans="1:15" ht="15.75" hidden="1" thickBot="1">
      <c r="A36" s="3207" t="s">
        <v>2165</v>
      </c>
      <c r="B36" s="2459" t="s">
        <v>2166</v>
      </c>
      <c r="C36" s="153"/>
      <c r="D36" s="2460"/>
      <c r="E36" s="2461"/>
      <c r="F36" s="2462"/>
      <c r="G36" s="137"/>
      <c r="H36" s="137"/>
      <c r="I36" s="137"/>
    </row>
    <row r="37" spans="1:15" ht="15.75" hidden="1" thickBot="1">
      <c r="A37" s="3208"/>
      <c r="B37" s="2264" t="s">
        <v>2167</v>
      </c>
      <c r="C37" s="155"/>
      <c r="D37" s="1391"/>
      <c r="E37" s="1391"/>
      <c r="F37" s="2462"/>
      <c r="G37" s="137"/>
      <c r="H37" s="137"/>
      <c r="I37" s="137"/>
    </row>
    <row r="38" spans="1:15" ht="15.75" hidden="1" thickBot="1">
      <c r="A38" s="3209"/>
      <c r="B38" s="2463" t="s">
        <v>2168</v>
      </c>
      <c r="C38" s="726"/>
      <c r="D38" s="2464" t="s">
        <v>2169</v>
      </c>
      <c r="E38" s="1391"/>
      <c r="F38" s="2462"/>
      <c r="G38" s="137"/>
      <c r="H38" s="137"/>
      <c r="I38" s="137"/>
    </row>
    <row r="39" spans="1:15" ht="15" hidden="1">
      <c r="A39" s="2435" t="s">
        <v>2170</v>
      </c>
      <c r="B39" s="2465" t="s">
        <v>2171</v>
      </c>
      <c r="C39" s="2466" t="s">
        <v>2172</v>
      </c>
      <c r="D39" s="2466" t="s">
        <v>2173</v>
      </c>
      <c r="E39" s="2467" t="s">
        <v>2174</v>
      </c>
      <c r="F39" s="2462"/>
      <c r="G39" s="137"/>
      <c r="H39" s="137"/>
      <c r="I39" s="137"/>
    </row>
    <row r="40" spans="1:15" ht="14.25" hidden="1">
      <c r="A40" s="2468" t="s">
        <v>2175</v>
      </c>
      <c r="B40" s="157"/>
      <c r="C40" s="158"/>
      <c r="D40" s="158"/>
      <c r="E40" s="159"/>
      <c r="F40" s="2462"/>
      <c r="G40" s="137"/>
      <c r="H40" s="137"/>
      <c r="I40" s="137"/>
    </row>
    <row r="41" spans="1:15" ht="14.25" hidden="1">
      <c r="A41" s="2468" t="s">
        <v>2176</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2177</v>
      </c>
      <c r="B44" s="2473"/>
      <c r="C44" s="2473"/>
      <c r="D44" s="2474"/>
      <c r="E44" s="2474"/>
      <c r="F44" s="2475"/>
      <c r="G44" s="2475"/>
      <c r="H44" s="2475"/>
      <c r="I44" s="2475"/>
      <c r="J44" s="2476" t="s">
        <v>2178</v>
      </c>
      <c r="K44" s="2477"/>
      <c r="L44" s="2477"/>
      <c r="M44" s="2477"/>
      <c r="N44" s="2477"/>
      <c r="O44" s="2477"/>
    </row>
    <row r="45" spans="1:15" ht="14.25" hidden="1" customHeight="1" thickBot="1">
      <c r="A45" s="3224" t="s">
        <v>2179</v>
      </c>
      <c r="B45" s="3225"/>
      <c r="C45" s="3226"/>
      <c r="D45" s="163">
        <f ca="1">ROUND(H101*F45,0)</f>
        <v>88172</v>
      </c>
      <c r="E45" s="164" t="s">
        <v>2180</v>
      </c>
      <c r="F45" s="165">
        <v>1</v>
      </c>
      <c r="G45" s="166" t="s">
        <v>2181</v>
      </c>
      <c r="H45" s="137"/>
      <c r="I45" s="137"/>
      <c r="J45" s="3143" t="s">
        <v>2182</v>
      </c>
      <c r="K45" s="3143"/>
      <c r="L45" s="3143"/>
      <c r="M45" s="3143"/>
      <c r="N45" s="3143"/>
      <c r="O45" s="3143"/>
    </row>
    <row r="46" spans="1:15" ht="14.25" hidden="1" customHeight="1">
      <c r="A46" s="3221" t="s">
        <v>2183</v>
      </c>
      <c r="B46" s="3222"/>
      <c r="C46" s="3222"/>
      <c r="D46" s="3222"/>
      <c r="E46" s="3222"/>
      <c r="F46" s="3222"/>
      <c r="G46" s="3223"/>
      <c r="H46" s="2478"/>
      <c r="I46" s="167"/>
      <c r="J46" s="1808">
        <v>1</v>
      </c>
      <c r="K46" s="3143" t="s">
        <v>2184</v>
      </c>
      <c r="L46" s="3143"/>
      <c r="M46" s="3144"/>
      <c r="N46" s="3144"/>
      <c r="O46" s="3144"/>
    </row>
    <row r="47" spans="1:15" ht="12" hidden="1" customHeight="1">
      <c r="A47" s="168" t="s">
        <v>2185</v>
      </c>
      <c r="B47" s="169"/>
      <c r="C47" s="170"/>
      <c r="D47" s="171" t="s">
        <v>2186</v>
      </c>
      <c r="E47" s="24" t="s">
        <v>2187</v>
      </c>
      <c r="F47" s="172" t="s">
        <v>2188</v>
      </c>
      <c r="G47" s="173" t="s">
        <v>2189</v>
      </c>
      <c r="H47" s="2478"/>
      <c r="I47" s="167"/>
      <c r="J47" s="1808">
        <v>2</v>
      </c>
      <c r="K47" s="3143" t="s">
        <v>2190</v>
      </c>
      <c r="L47" s="3143"/>
      <c r="M47" s="3145">
        <f>'数据-取费表'!B2</f>
        <v>43634</v>
      </c>
      <c r="N47" s="3145"/>
      <c r="O47" s="3145"/>
    </row>
    <row r="48" spans="1:15" ht="25.5" hidden="1">
      <c r="A48" s="3211" t="s">
        <v>2191</v>
      </c>
      <c r="B48" s="3212"/>
      <c r="C48" s="3212"/>
      <c r="D48" s="139">
        <f>IF(H48="情况1",0,IF(H48="情况2",D52,IF(H48="情况3",D53,IF(H48="情况4",D54))))</f>
        <v>0</v>
      </c>
      <c r="E48" s="1797" t="str">
        <f>IF(H48="情况4","(销售额-原购置价)×税（费）率","销售额×税（费）率")</f>
        <v>销售额×税（费）率</v>
      </c>
      <c r="F48" s="174" t="str">
        <f>IF(H48="情况1","免征",'数据-取费表'!B41)</f>
        <v>免征</v>
      </c>
      <c r="G48" s="2479" t="s">
        <v>2192</v>
      </c>
      <c r="H48" s="2480" t="s">
        <v>2193</v>
      </c>
      <c r="I48" s="2478"/>
      <c r="J48" s="1808">
        <v>3</v>
      </c>
      <c r="K48" s="3143" t="s">
        <v>2194</v>
      </c>
      <c r="L48" s="3143"/>
      <c r="M48" s="3146">
        <f ca="1">H101</f>
        <v>88172</v>
      </c>
      <c r="N48" s="3146"/>
      <c r="O48" s="3146"/>
    </row>
    <row r="49" spans="1:35" ht="25.5" hidden="1" customHeight="1">
      <c r="A49" s="175" t="s">
        <v>2195</v>
      </c>
      <c r="B49" s="3191" t="s">
        <v>2196</v>
      </c>
      <c r="C49" s="3191"/>
      <c r="D49" s="176">
        <v>0</v>
      </c>
      <c r="E49" s="23" t="s">
        <v>2197</v>
      </c>
      <c r="F49" s="28" t="s">
        <v>34</v>
      </c>
      <c r="G49" s="3172"/>
      <c r="H49" s="137"/>
      <c r="I49" s="2481"/>
      <c r="J49" s="1808">
        <v>4</v>
      </c>
      <c r="K49" s="3143" t="str">
        <f>IF(项目基本情况!E8="房地产抵押价值","房地产抵押价值","抵押担保权已注销时的房地产抵押价值")</f>
        <v>房地产抵押价值</v>
      </c>
      <c r="L49" s="3143"/>
      <c r="M49" s="3146">
        <f ca="1">IF(项目基本情况!E8="房地产抵押价值",H107,H109)</f>
        <v>88172</v>
      </c>
      <c r="N49" s="3146"/>
      <c r="O49" s="3146"/>
    </row>
    <row r="50" spans="1:35" ht="25.5" hidden="1" customHeight="1">
      <c r="A50" s="177"/>
      <c r="B50" s="3191" t="s">
        <v>2198</v>
      </c>
      <c r="C50" s="3191"/>
      <c r="D50" s="178"/>
      <c r="E50" s="31"/>
      <c r="F50" s="179"/>
      <c r="G50" s="3173"/>
      <c r="H50" s="137"/>
      <c r="I50" s="2481"/>
      <c r="J50" s="3143" t="s">
        <v>2199</v>
      </c>
      <c r="K50" s="3143"/>
      <c r="L50" s="3143"/>
      <c r="M50" s="3143"/>
      <c r="N50" s="3143"/>
      <c r="O50" s="3143"/>
    </row>
    <row r="51" spans="1:35" ht="12" hidden="1" customHeight="1">
      <c r="A51" s="180"/>
      <c r="B51" s="3191" t="s">
        <v>2200</v>
      </c>
      <c r="C51" s="3191"/>
      <c r="D51" s="181"/>
      <c r="E51" s="30"/>
      <c r="F51" s="179"/>
      <c r="G51" s="3174"/>
      <c r="H51" s="137"/>
      <c r="I51" s="2481"/>
      <c r="J51" s="2482" t="s">
        <v>2201</v>
      </c>
      <c r="K51" s="3143" t="s">
        <v>2202</v>
      </c>
      <c r="L51" s="3143"/>
      <c r="M51" s="2482" t="s">
        <v>2203</v>
      </c>
      <c r="N51" s="2482" t="s">
        <v>2204</v>
      </c>
      <c r="O51" s="2482" t="s">
        <v>2205</v>
      </c>
    </row>
    <row r="52" spans="1:35" ht="24" hidden="1" customHeight="1">
      <c r="A52" s="182" t="s">
        <v>2206</v>
      </c>
      <c r="B52" s="3191" t="s">
        <v>2207</v>
      </c>
      <c r="C52" s="3191"/>
      <c r="D52" s="181">
        <f ca="1">ROUND(D45*'数据-取费表'!B41/(1+'数据-取费表'!C42),0)</f>
        <v>4703</v>
      </c>
      <c r="E52" s="11" t="s">
        <v>2208</v>
      </c>
      <c r="F52" s="183">
        <f>'数据-取费表'!B41</f>
        <v>5.6000000000000001E-2</v>
      </c>
      <c r="G52" s="2483"/>
      <c r="H52" s="137"/>
      <c r="I52" s="2481"/>
      <c r="J52" s="1808">
        <v>1</v>
      </c>
      <c r="K52" s="3166" t="s">
        <v>2209</v>
      </c>
      <c r="L52" s="3166"/>
      <c r="M52" s="1750">
        <f>D48</f>
        <v>0</v>
      </c>
      <c r="N52" s="1808" t="str">
        <f>E48</f>
        <v>销售额×税（费）率</v>
      </c>
      <c r="O52" s="1751" t="str">
        <f>F48</f>
        <v>免征</v>
      </c>
    </row>
    <row r="53" spans="1:35" ht="12" hidden="1" customHeight="1">
      <c r="A53" s="182" t="s">
        <v>2210</v>
      </c>
      <c r="B53" s="3192" t="s">
        <v>2211</v>
      </c>
      <c r="C53" s="3193"/>
      <c r="D53" s="181">
        <f ca="1">ROUND(D45*'数据-取费表'!B41/(1+'数据-取费表'!C42),0)</f>
        <v>4703</v>
      </c>
      <c r="E53" s="11" t="s">
        <v>2208</v>
      </c>
      <c r="F53" s="183">
        <f>'数据-取费表'!B41</f>
        <v>5.6000000000000001E-2</v>
      </c>
      <c r="G53" s="2483"/>
      <c r="H53" s="137"/>
      <c r="I53" s="2481"/>
      <c r="J53" s="1808">
        <v>2</v>
      </c>
      <c r="K53" s="3166" t="s">
        <v>2212</v>
      </c>
      <c r="L53" s="3166"/>
      <c r="M53" s="1750">
        <f t="shared" ref="M53:O54" ca="1" si="0">D55</f>
        <v>44</v>
      </c>
      <c r="N53" s="1808" t="str">
        <f t="shared" si="0"/>
        <v>销售额×税（费）率</v>
      </c>
      <c r="O53" s="1751">
        <f t="shared" si="0"/>
        <v>5.0000000000000001E-4</v>
      </c>
    </row>
    <row r="54" spans="1:35" ht="12" hidden="1" customHeight="1">
      <c r="A54" s="182" t="s">
        <v>2213</v>
      </c>
      <c r="B54" s="3192" t="s">
        <v>2214</v>
      </c>
      <c r="C54" s="3193"/>
      <c r="D54" s="181">
        <f ca="1">C68</f>
        <v>4702</v>
      </c>
      <c r="E54" s="30" t="s">
        <v>2215</v>
      </c>
      <c r="F54" s="183">
        <f>'数据-取费表'!B41</f>
        <v>5.6000000000000001E-2</v>
      </c>
      <c r="G54" s="2483"/>
      <c r="H54" s="2484"/>
      <c r="I54" s="2481"/>
      <c r="J54" s="1808">
        <v>3</v>
      </c>
      <c r="K54" s="3166" t="s">
        <v>2216</v>
      </c>
      <c r="L54" s="3166"/>
      <c r="M54" s="1750">
        <f t="shared" ca="1" si="0"/>
        <v>49905</v>
      </c>
      <c r="N54" s="1808" t="str">
        <f t="shared" si="0"/>
        <v>增值额×税（费）率</v>
      </c>
      <c r="O54" s="1752" t="str">
        <f t="shared" si="0"/>
        <v>——</v>
      </c>
    </row>
    <row r="55" spans="1:35" ht="24" hidden="1" customHeight="1">
      <c r="A55" s="3230" t="s">
        <v>2217</v>
      </c>
      <c r="B55" s="3212"/>
      <c r="C55" s="3212"/>
      <c r="D55" s="184">
        <f ca="1">IF(H55="个人住宅",0,ROUND(D45*I55,0))</f>
        <v>44</v>
      </c>
      <c r="E55" s="11" t="s">
        <v>2218</v>
      </c>
      <c r="F55" s="183">
        <f>IF(H55="正常",I55,"免征")</f>
        <v>5.0000000000000001E-4</v>
      </c>
      <c r="G55" s="2483"/>
      <c r="H55" s="2480" t="s">
        <v>2219</v>
      </c>
      <c r="I55" s="185">
        <f>'数据-取费表'!B49</f>
        <v>5.0000000000000001E-4</v>
      </c>
      <c r="J55" s="1808" t="str">
        <f>IF(H59="非个人房产","",4)</f>
        <v/>
      </c>
      <c r="K55" s="3166" t="str">
        <f>IF(H59="非个人房产","——","个人所得税")</f>
        <v>——</v>
      </c>
      <c r="L55" s="3166"/>
      <c r="M55" s="1753" t="str">
        <f>D59</f>
        <v>——</v>
      </c>
      <c r="N55" s="1806" t="str">
        <f>E59</f>
        <v>——</v>
      </c>
      <c r="O55" s="1754" t="str">
        <f>F59</f>
        <v>——</v>
      </c>
    </row>
    <row r="56" spans="1:35" ht="24.75" hidden="1">
      <c r="A56" s="3230" t="s">
        <v>2220</v>
      </c>
      <c r="B56" s="3212"/>
      <c r="C56" s="3212"/>
      <c r="D56" s="184">
        <f ca="1">IF(H56="个人住宅",D57,D58)</f>
        <v>49905</v>
      </c>
      <c r="E56" s="11" t="s">
        <v>2221</v>
      </c>
      <c r="F56" s="183" t="str">
        <f>IF(H56="正常",F58,"免征")</f>
        <v>——</v>
      </c>
      <c r="G56" s="2485" t="s">
        <v>2222</v>
      </c>
      <c r="H56" s="2486" t="s">
        <v>2219</v>
      </c>
      <c r="I56" s="2487"/>
      <c r="J56" s="1808" t="str">
        <f>IF(项目基本情况!K6="上海银行",IF(J55="",4,J55+1),"")</f>
        <v/>
      </c>
      <c r="K56" s="3149" t="str">
        <f>IF(项目基本情况!K6="上海银行","其他处置费用","")</f>
        <v/>
      </c>
      <c r="L56" s="3150"/>
      <c r="M56" s="1750" t="str">
        <f>IF(项目基本情况!K6="上海银行",M69,"")</f>
        <v/>
      </c>
      <c r="N56" s="3152" t="str">
        <f>IF(项目基本情况!K6="上海银行","包含处置中涉及的律师、诉讼、拍卖、评估等费用","")</f>
        <v/>
      </c>
      <c r="O56" s="3153"/>
    </row>
    <row r="57" spans="1:35" ht="12.75" hidden="1">
      <c r="A57" s="182" t="s">
        <v>2195</v>
      </c>
      <c r="B57" s="3197" t="s">
        <v>2223</v>
      </c>
      <c r="C57" s="3198"/>
      <c r="D57" s="186">
        <v>0</v>
      </c>
      <c r="E57" s="23" t="s">
        <v>2197</v>
      </c>
      <c r="F57" s="154"/>
      <c r="G57" s="2483"/>
      <c r="H57" s="2487"/>
      <c r="I57" s="2487"/>
      <c r="J57" s="3166">
        <f>IF(AND(J55="",J56=""),4,IF(项目基本情况!K6="上海银行",结果表!J56+1,结果表!J55+1))</f>
        <v>4</v>
      </c>
      <c r="K57" s="3166" t="s">
        <v>2224</v>
      </c>
      <c r="L57" s="2488" t="s">
        <v>2225</v>
      </c>
      <c r="M57" s="1755"/>
      <c r="N57" s="1756">
        <f ca="1">SUMIF(M52:M56,"&lt;9e307")</f>
        <v>49949</v>
      </c>
      <c r="O57" s="2489"/>
      <c r="P57" s="1749">
        <f ca="1">N57/M49</f>
        <v>0.56649503243660115</v>
      </c>
    </row>
    <row r="58" spans="1:35" ht="24.75" hidden="1">
      <c r="A58" s="182" t="s">
        <v>2206</v>
      </c>
      <c r="B58" s="3197" t="s">
        <v>2226</v>
      </c>
      <c r="C58" s="3210"/>
      <c r="D58" s="184">
        <f ca="1">IF(H58="转让取得",C81,C97)</f>
        <v>49905</v>
      </c>
      <c r="E58" s="11" t="s">
        <v>2221</v>
      </c>
      <c r="F58" s="24" t="s">
        <v>34</v>
      </c>
      <c r="G58" s="2483"/>
      <c r="H58" s="2486" t="s">
        <v>2227</v>
      </c>
      <c r="I58" s="2487"/>
      <c r="J58" s="3166"/>
      <c r="K58" s="3166"/>
      <c r="L58" s="2488" t="s">
        <v>2228</v>
      </c>
      <c r="M58" s="1757"/>
      <c r="N58" s="2490" t="str">
        <f ca="1">NUMBERSTRING(INT(N57*10000),2)&amp;"元整"</f>
        <v>肆亿玖仟玖佰肆拾玖万元整</v>
      </c>
      <c r="O58" s="2491"/>
    </row>
    <row r="59" spans="1:35" ht="24.75" hidden="1" thickBot="1">
      <c r="A59" s="3170" t="s">
        <v>2229</v>
      </c>
      <c r="B59" s="3171"/>
      <c r="C59" s="3171"/>
      <c r="D59" s="187" t="str">
        <f>IF(H59="非个人房产","——",IF(H59="个人住宅",0,ROUND(D45*I59,0)))</f>
        <v>——</v>
      </c>
      <c r="E59" s="188" t="str">
        <f>IF(H59="非个人房产","——","销售额×税（费）率")</f>
        <v>——</v>
      </c>
      <c r="F59" s="189" t="str">
        <f>IF(H59="非个人房产","——",IF(H59="个人住宅","免征",I59))</f>
        <v>——</v>
      </c>
      <c r="G59" s="2492" t="s">
        <v>2222</v>
      </c>
      <c r="H59" s="2486" t="s">
        <v>2230</v>
      </c>
      <c r="I59" s="190">
        <v>0.01</v>
      </c>
      <c r="J59" s="3168">
        <f>J57+1</f>
        <v>5</v>
      </c>
      <c r="K59" s="3166" t="s">
        <v>2231</v>
      </c>
      <c r="L59" s="1808" t="s">
        <v>2225</v>
      </c>
      <c r="M59" s="1758"/>
      <c r="N59" s="1759">
        <f ca="1">M49-N57</f>
        <v>38223</v>
      </c>
      <c r="O59" s="2493"/>
    </row>
    <row r="60" spans="1:35" ht="12" hidden="1" customHeight="1">
      <c r="A60" s="2494"/>
      <c r="B60" s="2416"/>
      <c r="C60" s="2416"/>
      <c r="D60" s="2416"/>
      <c r="E60" s="2163"/>
      <c r="F60" s="2487"/>
      <c r="G60" s="2487"/>
      <c r="H60" s="2495"/>
      <c r="I60" s="137"/>
      <c r="J60" s="3169"/>
      <c r="K60" s="3166"/>
      <c r="L60" s="2488" t="s">
        <v>2228</v>
      </c>
      <c r="M60" s="1757"/>
      <c r="N60" s="2490" t="str">
        <f ca="1">NUMBERSTRING(INT(N59*10000),2)&amp;"元整"</f>
        <v>叁亿捌仟贰佰贰拾叁万元整</v>
      </c>
      <c r="O60" s="2491"/>
    </row>
    <row r="61" spans="1:35" ht="13.5" hidden="1" thickBot="1">
      <c r="A61" s="3229" t="s">
        <v>2232</v>
      </c>
      <c r="B61" s="3229"/>
      <c r="C61" s="3229"/>
      <c r="D61" s="3229"/>
      <c r="E61" s="3229"/>
      <c r="F61" s="2487"/>
      <c r="G61" s="2487"/>
      <c r="H61" s="2495"/>
      <c r="I61" s="137"/>
      <c r="J61" s="1808">
        <f>J59+1</f>
        <v>6</v>
      </c>
      <c r="K61" s="3166" t="s">
        <v>2233</v>
      </c>
      <c r="L61" s="3166"/>
      <c r="M61" s="1760"/>
      <c r="N61" s="1761">
        <f ca="1">ROUND(N59*10000/'数据-汇总表'!E3,0)</f>
        <v>11002</v>
      </c>
      <c r="O61" s="2496"/>
    </row>
    <row r="62" spans="1:35" ht="12.75" hidden="1">
      <c r="A62" s="3186" t="s">
        <v>2234</v>
      </c>
      <c r="B62" s="3187"/>
      <c r="C62" s="1800"/>
      <c r="D62" s="1800" t="s">
        <v>2235</v>
      </c>
      <c r="E62" s="191" t="s">
        <v>2236</v>
      </c>
      <c r="F62" s="2487"/>
      <c r="G62" s="2487"/>
      <c r="H62" s="2495"/>
      <c r="I62" s="137"/>
    </row>
    <row r="63" spans="1:35" ht="12.75" hidden="1">
      <c r="A63" s="202" t="s">
        <v>775</v>
      </c>
      <c r="B63" s="192" t="s">
        <v>2237</v>
      </c>
      <c r="C63" s="193">
        <f ca="1">ROUND((C64+C65)/(1+'数据-取费表'!C42),0)</f>
        <v>83973</v>
      </c>
      <c r="D63" s="194"/>
      <c r="E63" s="195"/>
      <c r="F63" s="2487"/>
      <c r="G63" s="2487"/>
      <c r="H63" s="2495"/>
      <c r="I63" s="137"/>
      <c r="J63" s="3151" t="s">
        <v>2238</v>
      </c>
      <c r="K63" s="2497" t="s">
        <v>2239</v>
      </c>
      <c r="L63" s="1748">
        <f ca="1">IF(M49&gt;10000,M49*0.5%,IF(AND(M49&gt;1000,M49&lt;=10000),M49*1%,IF(AND(M49&gt;100,M49&lt;=1000),M49*3%,IF(AND(M49&gt;10,M49&lt;=100),M49*5%,M49*8%))))</f>
        <v>440.86</v>
      </c>
      <c r="M63" s="24">
        <f ca="1">ROUND(L63,1)</f>
        <v>440.9</v>
      </c>
      <c r="Z63" s="2421"/>
      <c r="AI63" s="2422"/>
    </row>
    <row r="64" spans="1:35" ht="14.25" hidden="1" customHeight="1">
      <c r="A64" s="196" t="s">
        <v>770</v>
      </c>
      <c r="B64" s="197" t="s">
        <v>2240</v>
      </c>
      <c r="C64" s="198">
        <f ca="1">D45</f>
        <v>88172</v>
      </c>
      <c r="D64" s="199" t="s">
        <v>32</v>
      </c>
      <c r="E64" s="200"/>
      <c r="F64" s="2487"/>
      <c r="G64" s="2487"/>
      <c r="H64" s="2495"/>
      <c r="I64" s="137"/>
      <c r="J64" s="3151"/>
      <c r="K64" s="2497" t="s">
        <v>2241</v>
      </c>
      <c r="L64" s="1748">
        <f ca="1">IF(M49&gt;2000,M49*0.5%,IF(AND(M49&gt;1000,M49&lt;=2000),M49*0.6%,IF(AND(M49&gt;500,M49&lt;=1000),M49*0.7%,IF(AND(M49&gt;200,M49&lt;=500),M49*0.8%,IF(AND(M49&gt;100,M49&lt;=200),M49*0.9%,IF(AND(M49&gt;50,M49&lt;=100),M49*1%,IF(AND(M49&gt;20,M49&lt;=50),M49*1.5%,IF(AND(M49&gt;10,M49&lt;=20),M49*2%,IF(AND(M49&gt;1,M49&lt;=10),M49*2.5%)))))))))</f>
        <v>440.86</v>
      </c>
      <c r="M64" s="24">
        <f t="shared" ref="M64:M65" ca="1" si="1">ROUND(L64,1)</f>
        <v>440.9</v>
      </c>
      <c r="N64" s="137" t="s">
        <v>2242</v>
      </c>
      <c r="Z64" s="2421"/>
      <c r="AI64" s="2422"/>
    </row>
    <row r="65" spans="1:35" ht="14.25" hidden="1" customHeight="1">
      <c r="A65" s="196" t="s">
        <v>771</v>
      </c>
      <c r="B65" s="197" t="s">
        <v>2243</v>
      </c>
      <c r="C65" s="201"/>
      <c r="D65" s="199"/>
      <c r="E65" s="200"/>
      <c r="F65" s="2487"/>
      <c r="G65" s="2487"/>
      <c r="H65" s="2495"/>
      <c r="I65" s="137"/>
      <c r="J65" s="3151"/>
      <c r="K65" s="2497" t="s">
        <v>2244</v>
      </c>
      <c r="L65" s="1748">
        <f ca="1">IF(M49&gt;1000,M49*0.1%,IF(AND(M49&gt;500,M49&lt;=1000),M49*0.5%,IF(AND(M49&gt;50,M49&lt;=500),M49*1%,IF(AND(M49&gt;1,M49&lt;=50),M49*1.5%))))</f>
        <v>88.171999999999997</v>
      </c>
      <c r="M65" s="24">
        <f t="shared" ca="1" si="1"/>
        <v>88.2</v>
      </c>
      <c r="N65" s="137" t="s">
        <v>2242</v>
      </c>
      <c r="Z65" s="2421"/>
      <c r="AI65" s="2422"/>
    </row>
    <row r="66" spans="1:35" ht="14.25" hidden="1" customHeight="1">
      <c r="A66" s="202" t="s">
        <v>772</v>
      </c>
      <c r="B66" s="203" t="s">
        <v>2245</v>
      </c>
      <c r="C66" s="204"/>
      <c r="D66" s="205" t="s">
        <v>32</v>
      </c>
      <c r="E66" s="1772" t="s">
        <v>1367</v>
      </c>
      <c r="F66" s="2487"/>
      <c r="G66" s="2487"/>
      <c r="H66" s="2495"/>
      <c r="I66" s="137"/>
      <c r="J66" s="3151"/>
      <c r="K66" s="2497" t="s">
        <v>2246</v>
      </c>
      <c r="L66" s="1748">
        <f ca="1">M49*0.5%</f>
        <v>440.86</v>
      </c>
      <c r="M66" s="24">
        <f ca="1">IF(L66&gt;0.5,0.5,ROUND(L66,0))</f>
        <v>0.5</v>
      </c>
      <c r="N66" s="137" t="s">
        <v>2247</v>
      </c>
      <c r="Z66" s="2421"/>
      <c r="AI66" s="2422"/>
    </row>
    <row r="67" spans="1:35" ht="14.25" hidden="1" customHeight="1">
      <c r="A67" s="202" t="s">
        <v>773</v>
      </c>
      <c r="B67" s="203" t="s">
        <v>2248</v>
      </c>
      <c r="C67" s="206">
        <f ca="1">C63-C66</f>
        <v>83973</v>
      </c>
      <c r="D67" s="199" t="s">
        <v>32</v>
      </c>
      <c r="E67" s="200"/>
      <c r="F67" s="2487"/>
      <c r="G67" s="2487"/>
      <c r="H67" s="2495"/>
      <c r="I67" s="137"/>
      <c r="J67" s="3151"/>
      <c r="K67" s="2497" t="s">
        <v>2249</v>
      </c>
      <c r="L67" s="1748">
        <f ca="1">IF(M49&gt;=10000,(8.25+(M49-10000)*0.01%),IF(AND(M49&gt;=8000,M49&lt;10000),(7.85+(M49-8000)*0.02%),IF(AND(M49&gt;=5000,M49&lt;8000),(6.65+(M49-5000)*0.04%),IF(AND(M49&gt;=2000,M49&lt;5000),(4.25+(PM49-2000)*0.08%),IF(AND(M49&gt;=1000,M49&lt;2000),(2.75+(M49-1000)*0.15%),IF(AND(M49&gt;=100,M49&lt;1000),(0.5+(M49-100)*0.25%),IF(AND(M49&gt;0,M49&lt;100),M49*0.5%)))))))</f>
        <v>16.0672</v>
      </c>
      <c r="M67" s="24">
        <f ca="1">ROUND(L67*0.9,1)</f>
        <v>14.5</v>
      </c>
      <c r="Z67" s="2421"/>
      <c r="AI67" s="2422"/>
    </row>
    <row r="68" spans="1:35" ht="14.25" hidden="1" customHeight="1" thickBot="1">
      <c r="A68" s="207" t="s">
        <v>774</v>
      </c>
      <c r="B68" s="208" t="s">
        <v>2250</v>
      </c>
      <c r="C68" s="209">
        <f ca="1">IF(C67&lt;=0,0,ROUND(C67*D68,0))</f>
        <v>4702</v>
      </c>
      <c r="D68" s="210">
        <f>'数据-取费表'!B41</f>
        <v>5.6000000000000001E-2</v>
      </c>
      <c r="E68" s="211"/>
      <c r="F68" s="2487"/>
      <c r="G68" s="2487"/>
      <c r="H68" s="2495"/>
      <c r="I68" s="137"/>
      <c r="J68" s="3151"/>
      <c r="K68" s="2497" t="s">
        <v>2251</v>
      </c>
      <c r="L68" s="1748">
        <f ca="1">IF(M49&gt;10000,M49*0.5%,IF(AND(M49&gt;5000,M49&lt;=10000),M49*1%,IF(AND(M49&gt;1000,M49&lt;=5000),M49*2%,IF(AND(M49&gt;200,M49&lt;=1000),M49*3%,M49*5%))))</f>
        <v>440.86</v>
      </c>
      <c r="M68" s="24">
        <f ca="1">ROUND(L68,1)</f>
        <v>440.9</v>
      </c>
      <c r="Z68" s="2421"/>
      <c r="AI68" s="2422"/>
    </row>
    <row r="69" spans="1:35" s="2444" customFormat="1" ht="16.5" hidden="1" customHeight="1">
      <c r="A69" s="2498"/>
      <c r="B69" s="2499"/>
      <c r="C69" s="2500"/>
      <c r="D69" s="2501"/>
      <c r="E69" s="2502"/>
      <c r="F69" s="2163"/>
      <c r="G69" s="2163"/>
      <c r="H69" s="2162"/>
      <c r="I69" s="2416"/>
      <c r="J69" s="3151"/>
      <c r="K69" s="2497" t="s">
        <v>2252</v>
      </c>
      <c r="L69" s="2503"/>
      <c r="M69" s="24">
        <f ca="1">ROUND(SUM(M63:M68),0)</f>
        <v>1426</v>
      </c>
      <c r="N69" s="1749">
        <f ca="1">M69/M49</f>
        <v>1.6172934718504742E-2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hidden="1" thickBot="1">
      <c r="A70" s="3195" t="s">
        <v>2253</v>
      </c>
      <c r="B70" s="3196"/>
      <c r="C70" s="3196"/>
      <c r="D70" s="3196"/>
      <c r="E70" s="3196"/>
      <c r="F70" s="3196"/>
      <c r="G70" s="3196"/>
      <c r="H70" s="319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86" t="s">
        <v>2234</v>
      </c>
      <c r="B71" s="3187"/>
      <c r="C71" s="1800"/>
      <c r="D71" s="1800" t="s">
        <v>2235</v>
      </c>
      <c r="E71" s="212" t="s">
        <v>2236</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2254</v>
      </c>
      <c r="C72" s="206">
        <f ca="1">ROUND(D45/(1+'数据-取费表'!C42),0)</f>
        <v>83973</v>
      </c>
      <c r="D72" s="199" t="s">
        <v>32</v>
      </c>
      <c r="E72" s="1799"/>
      <c r="F72" s="1793"/>
      <c r="G72" s="1793"/>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2255</v>
      </c>
      <c r="C73" s="206">
        <f ca="1">C74+C78</f>
        <v>504</v>
      </c>
      <c r="D73" s="199" t="s">
        <v>32</v>
      </c>
      <c r="E73" s="1799"/>
      <c r="F73" s="1793"/>
      <c r="G73" s="1793"/>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2256</v>
      </c>
      <c r="C74" s="199">
        <f>ROUND(IF(G77="2016年5月1日后购买",C75/(1+'数据-取费表'!C42)+C76+C77,C75+C76+C77),0)</f>
        <v>0</v>
      </c>
      <c r="D74" s="199" t="s">
        <v>32</v>
      </c>
      <c r="E74" s="1799"/>
      <c r="F74" s="1793"/>
      <c r="G74" s="1793"/>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2257</v>
      </c>
      <c r="C75" s="217"/>
      <c r="D75" s="199" t="s">
        <v>32</v>
      </c>
      <c r="E75" s="218" t="s">
        <v>2258</v>
      </c>
      <c r="F75" s="2509" t="s">
        <v>2259</v>
      </c>
      <c r="G75" s="218" t="s">
        <v>2260</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2261</v>
      </c>
      <c r="C76" s="199">
        <f>IF(F75="购房发票",ROUND(C75*H75*D76,0),0)</f>
        <v>0</v>
      </c>
      <c r="D76" s="221">
        <v>0.05</v>
      </c>
      <c r="E76" s="3192" t="s">
        <v>2262</v>
      </c>
      <c r="F76" s="3191"/>
      <c r="G76" s="3191"/>
      <c r="H76" s="319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11" t="s">
        <v>2265</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2266</v>
      </c>
      <c r="C78" s="224">
        <f ca="1">ROUND(D45*D78/(1+'数据-取费表'!C42),0)</f>
        <v>504</v>
      </c>
      <c r="D78" s="225">
        <f>'数据-取费表'!B43</f>
        <v>6.000000000000001E-3</v>
      </c>
      <c r="E78" s="3183" t="s">
        <v>2267</v>
      </c>
      <c r="F78" s="3184"/>
      <c r="G78" s="3184"/>
      <c r="H78" s="318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2268</v>
      </c>
      <c r="C79" s="206">
        <f ca="1">C72-C73</f>
        <v>83469</v>
      </c>
      <c r="D79" s="199" t="s">
        <v>32</v>
      </c>
      <c r="E79" s="1799"/>
      <c r="F79" s="1793"/>
      <c r="G79" s="1793"/>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2269</v>
      </c>
      <c r="C80" s="226">
        <f ca="1">IF(C79&lt;=0,0,C79/C73)</f>
        <v>165.61309523809524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2270</v>
      </c>
      <c r="C81" s="227">
        <f ca="1">ROUND(IF(C79&lt;=0,0,IF(C80&gt;=200%,C79*60%-C73*35%,IF(C80&gt;=100%,C79*50%-C73*15%,IF(C80&gt;=50%,C79*40%-C73*5%,IF(C80&lt;50%,C79*30%,0))))),0)</f>
        <v>49905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95" t="s">
        <v>2271</v>
      </c>
      <c r="B83" s="3196"/>
      <c r="C83" s="3196"/>
      <c r="D83" s="3196"/>
      <c r="E83" s="3196"/>
      <c r="F83" s="3196"/>
      <c r="G83" s="3196"/>
      <c r="H83" s="319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86" t="s">
        <v>2234</v>
      </c>
      <c r="B84" s="3187"/>
      <c r="C84" s="1800"/>
      <c r="D84" s="1800" t="s">
        <v>2235</v>
      </c>
      <c r="E84" s="212" t="s">
        <v>2236</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2254</v>
      </c>
      <c r="C85" s="206">
        <f ca="1">ROUND(D45/(1+'数据-取费表'!C42),0)</f>
        <v>83973</v>
      </c>
      <c r="D85" s="199" t="s">
        <v>32</v>
      </c>
      <c r="E85" s="1799"/>
      <c r="F85" s="1793"/>
      <c r="G85" s="1793"/>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2255</v>
      </c>
      <c r="C86" s="206">
        <f ca="1">IF(H88="仅含出让金",C87+C90+C91+C92+C93+C94,C87+C91+C92+C93+C94)</f>
        <v>504</v>
      </c>
      <c r="D86" s="234"/>
      <c r="E86" s="1799"/>
      <c r="F86" s="1793"/>
      <c r="G86" s="1793"/>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2272</v>
      </c>
      <c r="C87" s="224">
        <f>C88+C89</f>
        <v>0</v>
      </c>
      <c r="D87" s="225"/>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2273</v>
      </c>
      <c r="C88" s="235"/>
      <c r="D88" s="225"/>
      <c r="E88" s="236" t="s">
        <v>2274</v>
      </c>
      <c r="F88" s="1796"/>
      <c r="G88" s="237"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2263</v>
      </c>
      <c r="C89" s="224">
        <f>ROUND(C88*D89,0)</f>
        <v>0</v>
      </c>
      <c r="D89" s="225">
        <f>'数据-取费表'!B48+'数据-取费表'!B49</f>
        <v>3.0499999999999999E-2</v>
      </c>
      <c r="E89" s="236" t="s">
        <v>2276</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2277</v>
      </c>
      <c r="C90" s="235"/>
      <c r="D90" s="225"/>
      <c r="E90" s="236"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2278</v>
      </c>
      <c r="B91" s="197" t="s">
        <v>2279</v>
      </c>
      <c r="C91" s="224">
        <f>IF(H91="——",成本法!C33,I91)</f>
        <v>0</v>
      </c>
      <c r="D91" s="225"/>
      <c r="E91" s="3183" t="s">
        <v>2280</v>
      </c>
      <c r="F91" s="3184"/>
      <c r="G91" s="3184"/>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2282</v>
      </c>
      <c r="B92" s="197" t="s">
        <v>2283</v>
      </c>
      <c r="C92" s="224">
        <f>ROUND((C87+C90+C91)*D92,0)</f>
        <v>0</v>
      </c>
      <c r="D92" s="225">
        <v>0.1</v>
      </c>
      <c r="E92" s="3183" t="s">
        <v>2284</v>
      </c>
      <c r="F92" s="3184"/>
      <c r="G92" s="3184"/>
      <c r="H92" s="318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2285</v>
      </c>
      <c r="B93" s="197" t="s">
        <v>2266</v>
      </c>
      <c r="C93" s="224">
        <f ca="1">ROUND(D45*D93/(1+'数据-取费表'!C42),0)</f>
        <v>504</v>
      </c>
      <c r="D93" s="225">
        <f>'数据-取费表'!B43</f>
        <v>6.000000000000001E-3</v>
      </c>
      <c r="E93" s="3183" t="s">
        <v>2267</v>
      </c>
      <c r="F93" s="3184"/>
      <c r="G93" s="3184"/>
      <c r="H93" s="318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2286</v>
      </c>
      <c r="B94" s="197" t="s">
        <v>2287</v>
      </c>
      <c r="C94" s="235">
        <f>ROUND((C87+C90+C91)*D94,0)</f>
        <v>0</v>
      </c>
      <c r="D94" s="225">
        <v>0.2</v>
      </c>
      <c r="E94" s="3231" t="s">
        <v>2288</v>
      </c>
      <c r="F94" s="3232"/>
      <c r="G94" s="3232"/>
      <c r="H94" s="323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2268</v>
      </c>
      <c r="C95" s="206">
        <f ca="1">ROUND(C85-C86,0)</f>
        <v>83469</v>
      </c>
      <c r="D95" s="199" t="s">
        <v>32</v>
      </c>
      <c r="E95" s="1799"/>
      <c r="F95" s="1793"/>
      <c r="G95" s="1793"/>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2269</v>
      </c>
      <c r="C96" s="226">
        <f ca="1">IF(C95&lt;=0,0,C95/C86)</f>
        <v>165.61309523809524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2270</v>
      </c>
      <c r="C97" s="227">
        <f ca="1">ROUND(IF(C95&lt;=0,0,IF(C96&gt;=200%,C95*60%-C86*35%,IF(C96&gt;=100%,C95*50%-C86*15%,IF(C96&gt;=50%,C95*40%-C86*5%,IF(C96&lt;50%,C95*30%,0))))),0)</f>
        <v>49905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hidden="1" customHeight="1" thickBot="1">
      <c r="A99" s="2472" t="s">
        <v>2289</v>
      </c>
      <c r="B99" s="2416"/>
      <c r="C99" s="2416"/>
      <c r="D99" s="2416"/>
      <c r="E99" s="2163"/>
      <c r="F99" s="2163"/>
      <c r="G99" s="2163"/>
      <c r="H99" s="2162"/>
      <c r="I99" s="137"/>
    </row>
    <row r="100" spans="1:35" ht="18.75" hidden="1" customHeight="1">
      <c r="A100" s="3135" t="s">
        <v>2290</v>
      </c>
      <c r="B100" s="3136"/>
      <c r="C100" s="3136"/>
      <c r="D100" s="3167"/>
      <c r="E100" s="3136" t="s">
        <v>2291</v>
      </c>
      <c r="F100" s="3136"/>
      <c r="G100" s="3136"/>
      <c r="H100" s="3167"/>
      <c r="I100" s="137"/>
    </row>
    <row r="101" spans="1:35" ht="18.75" hidden="1" customHeight="1">
      <c r="A101" s="3175" t="s">
        <v>2292</v>
      </c>
      <c r="B101" s="3176"/>
      <c r="C101" s="735" t="str">
        <f>C4</f>
        <v>收益法</v>
      </c>
      <c r="D101" s="736" t="str">
        <f>D4</f>
        <v>典型户型修正商业</v>
      </c>
      <c r="E101" s="3147" t="s">
        <v>2293</v>
      </c>
      <c r="F101" s="3148"/>
      <c r="G101" s="2518" t="s">
        <v>2294</v>
      </c>
      <c r="H101" s="1044">
        <f ca="1">H118</f>
        <v>88172</v>
      </c>
      <c r="I101" s="137"/>
    </row>
    <row r="102" spans="1:35" ht="18.75" hidden="1" customHeight="1">
      <c r="A102" s="3177" t="s">
        <v>2295</v>
      </c>
      <c r="B102" s="2518" t="s">
        <v>2294</v>
      </c>
      <c r="C102" s="735">
        <f ca="1">C19</f>
        <v>77958</v>
      </c>
      <c r="D102" s="736">
        <f ca="1">D19</f>
        <v>98386</v>
      </c>
      <c r="E102" s="3147"/>
      <c r="F102" s="3148"/>
      <c r="G102" s="2518" t="s">
        <v>2296</v>
      </c>
      <c r="H102" s="370">
        <f ca="1">I118</f>
        <v>28277</v>
      </c>
      <c r="I102" s="137"/>
    </row>
    <row r="103" spans="1:35" ht="42.75" hidden="1" customHeight="1">
      <c r="A103" s="3177"/>
      <c r="B103" s="2518" t="s">
        <v>2296</v>
      </c>
      <c r="C103" s="737">
        <f ca="1">C20</f>
        <v>25002</v>
      </c>
      <c r="D103" s="738">
        <f ca="1">D20</f>
        <v>31553</v>
      </c>
      <c r="E103" s="3141" t="s">
        <v>2297</v>
      </c>
      <c r="F103" s="3142"/>
      <c r="G103" s="2519" t="s">
        <v>2298</v>
      </c>
      <c r="H103" s="1044">
        <f>IF(D36="正常操作",H104+H105+H106,H105+H106)</f>
        <v>0</v>
      </c>
      <c r="I103" s="137"/>
    </row>
    <row r="104" spans="1:35" ht="18.75" hidden="1" customHeight="1">
      <c r="A104" s="3177" t="s">
        <v>2299</v>
      </c>
      <c r="B104" s="2520" t="s">
        <v>2294</v>
      </c>
      <c r="C104" s="739">
        <f ca="1">H118</f>
        <v>88172</v>
      </c>
      <c r="D104" s="740"/>
      <c r="E104" s="2264" t="s">
        <v>2300</v>
      </c>
      <c r="F104" s="2255"/>
      <c r="G104" s="2519" t="s">
        <v>2298</v>
      </c>
      <c r="H104" s="1045">
        <f>IF(D36="同一抵押权人同一抵押物续贷",C36&amp;"（未扣减，详见特别提示）",C36)</f>
        <v>0</v>
      </c>
      <c r="I104" s="137"/>
    </row>
    <row r="105" spans="1:35" ht="18.75" hidden="1" customHeight="1" thickBot="1">
      <c r="A105" s="3189"/>
      <c r="B105" s="2521" t="s">
        <v>2296</v>
      </c>
      <c r="C105" s="741">
        <f ca="1">I118</f>
        <v>28277</v>
      </c>
      <c r="D105" s="742"/>
      <c r="E105" s="2264" t="s">
        <v>2301</v>
      </c>
      <c r="F105" s="2255"/>
      <c r="G105" s="2519" t="s">
        <v>2298</v>
      </c>
      <c r="H105" s="1045">
        <f>C37</f>
        <v>0</v>
      </c>
      <c r="I105" s="137"/>
    </row>
    <row r="106" spans="1:35" ht="18.75" hidden="1" customHeight="1">
      <c r="A106" s="2416" t="s">
        <v>2302</v>
      </c>
      <c r="B106" s="2416"/>
      <c r="C106" s="2416"/>
      <c r="D106" s="2416"/>
      <c r="E106" s="2522" t="s">
        <v>2303</v>
      </c>
      <c r="F106" s="2255"/>
      <c r="G106" s="2519" t="s">
        <v>2298</v>
      </c>
      <c r="H106" s="1045">
        <f>C38</f>
        <v>0</v>
      </c>
      <c r="I106" s="137"/>
    </row>
    <row r="107" spans="1:35" ht="18.75" hidden="1" customHeight="1">
      <c r="A107" s="137"/>
      <c r="B107" s="137"/>
      <c r="C107" s="137"/>
      <c r="D107" s="137"/>
      <c r="E107" s="3178" t="str">
        <f>IF(项目基本情况!E8="已注销","——","3.房地产抵押价值")</f>
        <v>3.房地产抵押价值</v>
      </c>
      <c r="F107" s="3148"/>
      <c r="G107" s="2518" t="s">
        <v>2294</v>
      </c>
      <c r="H107" s="1044">
        <f ca="1">IF(E107="——","——",H101-H103)</f>
        <v>88172</v>
      </c>
      <c r="I107" s="137"/>
    </row>
    <row r="108" spans="1:35" ht="18.75" hidden="1" customHeight="1">
      <c r="A108" s="137"/>
      <c r="B108" s="137"/>
      <c r="C108" s="137"/>
      <c r="D108" s="137"/>
      <c r="E108" s="3178"/>
      <c r="F108" s="3148"/>
      <c r="G108" s="2518" t="s">
        <v>2296</v>
      </c>
      <c r="H108" s="370">
        <f ca="1">ROUND(H107*10000/'数据-汇总表'!E3,0)</f>
        <v>25380</v>
      </c>
      <c r="I108" s="137"/>
    </row>
    <row r="109" spans="1:35" ht="18.75" hidden="1" customHeight="1">
      <c r="A109" s="137"/>
      <c r="B109" s="137"/>
      <c r="C109" s="137"/>
      <c r="D109" s="137"/>
      <c r="E109" s="3178" t="str">
        <f>IF(项目基本情况!E8="已注销及未注销","4.抵押担保权已注销时的房地产抵押价值",IF(项目基本情况!E8="已注销","3.抵押担保权已注销时的房地产抵押价值","——"))</f>
        <v>——</v>
      </c>
      <c r="F109" s="3148"/>
      <c r="G109" s="2518" t="s">
        <v>2294</v>
      </c>
      <c r="H109" s="347" t="str">
        <f>IF(E109="——","——",H101-H105-H106)</f>
        <v>——</v>
      </c>
      <c r="I109" s="137"/>
    </row>
    <row r="110" spans="1:35" ht="18.75" hidden="1" customHeight="1">
      <c r="A110" s="137"/>
      <c r="B110" s="137"/>
      <c r="C110" s="137"/>
      <c r="D110" s="137"/>
      <c r="E110" s="3178"/>
      <c r="F110" s="3148"/>
      <c r="G110" s="2518" t="s">
        <v>2296</v>
      </c>
      <c r="H110" s="370" t="str">
        <f>IF(H109="——","——",ROUND(H109*10000/'数据-汇总表'!E3,0))</f>
        <v>——</v>
      </c>
      <c r="I110" s="137"/>
    </row>
    <row r="111" spans="1:35" ht="18.75" hidden="1" customHeight="1">
      <c r="A111" s="137"/>
      <c r="B111" s="137"/>
      <c r="C111" s="137"/>
      <c r="D111" s="137"/>
      <c r="E111" s="3179" t="str">
        <f>IF(项目基本情况!E9="抵押净值",IF(OR(项目基本情况!E8="已注销",项目基本情况!E8="房地产抵押价值"),"4.抵押净值","5.抵押净值"),"——")</f>
        <v>4.抵押净值</v>
      </c>
      <c r="F111" s="3180"/>
      <c r="G111" s="2518" t="s">
        <v>2294</v>
      </c>
      <c r="H111" s="1044">
        <f ca="1">IF(E111="——","——",N59)</f>
        <v>38223</v>
      </c>
      <c r="I111" s="137"/>
    </row>
    <row r="112" spans="1:35" ht="18.75" hidden="1" customHeight="1" thickBot="1">
      <c r="A112" s="137"/>
      <c r="B112" s="137"/>
      <c r="C112" s="137"/>
      <c r="D112" s="137"/>
      <c r="E112" s="3181"/>
      <c r="F112" s="3182"/>
      <c r="G112" s="2523" t="s">
        <v>2296</v>
      </c>
      <c r="H112" s="789">
        <f ca="1">IF(E111="——","——",N61)</f>
        <v>11002</v>
      </c>
      <c r="I112" s="137"/>
    </row>
    <row r="113" spans="1:11" ht="18.75" hidden="1" customHeight="1">
      <c r="A113" s="137"/>
      <c r="B113" s="137"/>
      <c r="C113" s="137"/>
      <c r="D113" s="137"/>
      <c r="E113" s="3190" t="s">
        <v>2302</v>
      </c>
      <c r="F113" s="3190"/>
      <c r="G113" s="3190"/>
      <c r="H113" s="3190"/>
      <c r="I113" s="137"/>
    </row>
    <row r="114" spans="1:11" ht="3.75" customHeight="1">
      <c r="A114" s="2416"/>
      <c r="B114" s="2416"/>
      <c r="C114" s="2416"/>
      <c r="D114" s="2416"/>
      <c r="E114" s="2494"/>
      <c r="F114" s="2494"/>
      <c r="G114" s="2494"/>
      <c r="H114" s="2494"/>
      <c r="I114" s="2416"/>
    </row>
    <row r="115" spans="1:11" ht="18.75" customHeight="1">
      <c r="A115" s="3203" t="s">
        <v>2304</v>
      </c>
      <c r="B115" s="3204"/>
      <c r="C115" s="3204"/>
      <c r="D115" s="3204"/>
      <c r="E115" s="3204"/>
      <c r="F115" s="3204"/>
      <c r="G115" s="3204"/>
      <c r="H115" s="3204"/>
      <c r="I115" s="3205"/>
    </row>
    <row r="116" spans="1:11" ht="27" customHeight="1">
      <c r="A116" s="3114" t="s">
        <v>2305</v>
      </c>
      <c r="B116" s="3157" t="s">
        <v>2306</v>
      </c>
      <c r="C116" s="3157" t="s">
        <v>2307</v>
      </c>
      <c r="D116" s="3163" t="s">
        <v>2308</v>
      </c>
      <c r="E116" s="3164"/>
      <c r="F116" s="3199" t="s">
        <v>2309</v>
      </c>
      <c r="G116" s="3199"/>
      <c r="H116" s="3114" t="s">
        <v>2310</v>
      </c>
      <c r="I116" s="3114"/>
    </row>
    <row r="117" spans="1:11" ht="18.75" customHeight="1">
      <c r="A117" s="3114"/>
      <c r="B117" s="3158"/>
      <c r="C117" s="3158"/>
      <c r="D117" s="1794" t="s">
        <v>2311</v>
      </c>
      <c r="E117" s="1794" t="s">
        <v>2312</v>
      </c>
      <c r="F117" s="1794" t="s">
        <v>2311</v>
      </c>
      <c r="G117" s="1794" t="s">
        <v>2313</v>
      </c>
      <c r="H117" s="1794" t="s">
        <v>2311</v>
      </c>
      <c r="I117" s="1794" t="s">
        <v>2313</v>
      </c>
    </row>
    <row r="118" spans="1:11" ht="24.75" customHeight="1">
      <c r="A118" s="2524" t="str">
        <f>项目基本情况!S2</f>
        <v>北京市朝阳区北苑路28号院1号楼房地产</v>
      </c>
      <c r="B118" s="1794">
        <f>M18</f>
        <v>31181.27</v>
      </c>
      <c r="C118" s="1794">
        <f>M19</f>
        <v>9142.39</v>
      </c>
      <c r="D118" s="1794">
        <f ca="1">ROUND(IF(D32="总价",C34,E118*B118/10000),0)</f>
        <v>68951</v>
      </c>
      <c r="E118" s="1794">
        <f ca="1">ROUND(IF(C33="自定义",IF(D32="楼面单价",C34,D118*10000/B118),I118-G118),0)</f>
        <v>22113</v>
      </c>
      <c r="F118" s="1794">
        <f ca="1">ROUND(IF(D32="总价",C35,G118*B118/10000),0)</f>
        <v>19221</v>
      </c>
      <c r="G118" s="1794">
        <f ca="1">ROUND(IF(D32="楼面单价",C35,F118*10000/B118),0)</f>
        <v>6164</v>
      </c>
      <c r="H118" s="1794">
        <f ca="1">ROUND(IF(D32="总价",C32,I118*B118/10000),0)</f>
        <v>88172</v>
      </c>
      <c r="I118" s="1794">
        <f ca="1">ROUND(IF(D32="楼面单价",C32,H118*10000/B118),0)</f>
        <v>28277</v>
      </c>
    </row>
    <row r="119" spans="1:11" ht="18.75" customHeight="1">
      <c r="A119" s="3114" t="s">
        <v>2314</v>
      </c>
      <c r="B119" s="3114"/>
      <c r="C119" s="3114"/>
      <c r="D119" s="3159" t="str">
        <f ca="1">NUMBERSTRING(INT(D118*10000),2)&amp;"元整"</f>
        <v>陆亿捌仟玖佰伍拾壹万元整</v>
      </c>
      <c r="E119" s="3160"/>
      <c r="F119" s="3159" t="str">
        <f ca="1">NUMBERSTRING(INT(F118*10000),2)&amp;"元整"</f>
        <v>壹亿玖仟贰佰贰拾壹万元整</v>
      </c>
      <c r="G119" s="3160"/>
      <c r="H119" s="3159" t="str">
        <f ca="1">NUMBERSTRING(INT(H118*10000),2)&amp;"元整"</f>
        <v>捌亿捌仟壹佰柒拾贰万元整</v>
      </c>
      <c r="I119" s="3160"/>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1" t="str">
        <f>IF(D120=0,"故，本次评估不存在"&amp;A120,"故，本次评估"&amp;A120&amp;"为人民币"&amp;D120&amp;"万元整。")</f>
        <v>故，本次评估不存在估价师知悉的法定优先受偿款</v>
      </c>
    </row>
    <row r="121" spans="1:11" ht="18.75" customHeight="1">
      <c r="A121" s="3200" t="s">
        <v>2314</v>
      </c>
      <c r="B121" s="3201"/>
      <c r="C121" s="3202"/>
      <c r="D121" s="3159" t="str">
        <f>IF(D120=0,"零元整",NUMBERSTRING(INT(D120*10000),2)&amp;"元整")</f>
        <v>零元整</v>
      </c>
      <c r="E121" s="3161"/>
      <c r="F121" s="3161"/>
      <c r="G121" s="3161"/>
      <c r="H121" s="3161"/>
      <c r="I121" s="3160"/>
    </row>
    <row r="122" spans="1:11" ht="18.75" customHeight="1">
      <c r="A122" s="3165" t="str">
        <f>IF(项目基本情况!B9="房地产市场价值","",MID(E107,3,LEN(E107)-2))</f>
        <v>房地产抵押价值</v>
      </c>
      <c r="B122" s="3165"/>
      <c r="C122" s="3165"/>
      <c r="D122" s="3154">
        <f ca="1">H107</f>
        <v>88172</v>
      </c>
      <c r="E122" s="3155"/>
      <c r="F122" s="3155"/>
      <c r="G122" s="3155"/>
      <c r="H122" s="3155"/>
      <c r="I122" s="3156"/>
    </row>
    <row r="123" spans="1:11" ht="18.75" customHeight="1">
      <c r="A123" s="3114" t="s">
        <v>2314</v>
      </c>
      <c r="B123" s="3114"/>
      <c r="C123" s="3114"/>
      <c r="D123" s="3159" t="str">
        <f ca="1">NUMBERSTRING(INT(D122*10000),2)&amp;"元整"</f>
        <v>捌亿捌仟壹佰柒拾贰万元整</v>
      </c>
      <c r="E123" s="3161"/>
      <c r="F123" s="3161"/>
      <c r="G123" s="3161"/>
      <c r="H123" s="3161"/>
      <c r="I123" s="3160"/>
    </row>
    <row r="124" spans="1:11" ht="18.75" customHeight="1">
      <c r="A124" s="3165" t="str">
        <f>IF(项目基本情况!B9="房地产市场价值","",MID(E109,3,LEN(E109)-2))</f>
        <v/>
      </c>
      <c r="B124" s="3165"/>
      <c r="C124" s="3165"/>
      <c r="D124" s="3154" t="str">
        <f>H109</f>
        <v>——</v>
      </c>
      <c r="E124" s="3155"/>
      <c r="F124" s="3155"/>
      <c r="G124" s="3155"/>
      <c r="H124" s="3155"/>
      <c r="I124" s="3156"/>
    </row>
    <row r="125" spans="1:11" ht="18.75" customHeight="1">
      <c r="A125" s="3114" t="s">
        <v>2314</v>
      </c>
      <c r="B125" s="3114"/>
      <c r="C125" s="3114"/>
      <c r="D125" s="3159" t="e">
        <f>NUMBERSTRING(INT(D124*10000),2)&amp;"元整"</f>
        <v>#VALUE!</v>
      </c>
      <c r="E125" s="3161"/>
      <c r="F125" s="3161"/>
      <c r="G125" s="3161"/>
      <c r="H125" s="3161"/>
      <c r="I125" s="3160"/>
    </row>
    <row r="126" spans="1:11" ht="18.75" customHeight="1">
      <c r="A126" s="3165" t="str">
        <f>IF(项目基本情况!B9="房地产市场价值","",MID(E111,3,LEN(E111)-2))</f>
        <v>抵押净值</v>
      </c>
      <c r="B126" s="3165"/>
      <c r="C126" s="3165"/>
      <c r="D126" s="3154">
        <f ca="1">H111</f>
        <v>38223</v>
      </c>
      <c r="E126" s="3155"/>
      <c r="F126" s="3155"/>
      <c r="G126" s="3155"/>
      <c r="H126" s="3155"/>
      <c r="I126" s="3156"/>
    </row>
    <row r="127" spans="1:11" ht="18.75" customHeight="1">
      <c r="A127" s="3114" t="s">
        <v>2314</v>
      </c>
      <c r="B127" s="3114"/>
      <c r="C127" s="3114"/>
      <c r="D127" s="3159" t="str">
        <f ca="1">NUMBERSTRING(INT(D126*10000),2)&amp;"元整"</f>
        <v>叁亿捌仟贰佰贰拾叁万元整</v>
      </c>
      <c r="E127" s="3161"/>
      <c r="F127" s="3161"/>
      <c r="G127" s="3161"/>
      <c r="H127" s="3161"/>
      <c r="I127" s="3160"/>
    </row>
    <row r="128" spans="1:11" ht="21.75" customHeight="1">
      <c r="A128" s="3162" t="s">
        <v>2315</v>
      </c>
      <c r="B128" s="3162"/>
      <c r="C128" s="3162"/>
      <c r="D128" s="3162"/>
      <c r="E128" s="3162"/>
      <c r="F128" s="3162"/>
      <c r="G128" s="3162"/>
      <c r="H128" s="3162"/>
      <c r="I128" s="3162"/>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2318</v>
      </c>
      <c r="G135" s="2542"/>
      <c r="H135" s="2542"/>
      <c r="I135" s="2543" t="s">
        <v>2319</v>
      </c>
    </row>
    <row r="136" spans="1:35" ht="21.75" customHeight="1">
      <c r="A136" s="794"/>
      <c r="B136" s="2544"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2321</v>
      </c>
    </row>
    <row r="139" spans="1:35" ht="21.75" customHeight="1">
      <c r="A139" s="794"/>
      <c r="B139" s="2544" t="s">
        <v>2322</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2321</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2323</v>
      </c>
      <c r="B1" s="1936"/>
      <c r="C1" s="241"/>
      <c r="D1" s="241"/>
      <c r="E1" s="241"/>
      <c r="F1" s="241"/>
      <c r="G1" s="1378">
        <f>MATCH(B1,'数据-取费表'!A6:A16,0)+5</f>
        <v>8</v>
      </c>
    </row>
    <row r="2" spans="1:9" s="243" customFormat="1" ht="18" customHeight="1">
      <c r="A2" s="244" t="s">
        <v>2324</v>
      </c>
      <c r="B2" s="245">
        <f ca="1">IF(D2="——",C52,C52-E2)</f>
        <v>13220</v>
      </c>
      <c r="C2" s="242" t="s">
        <v>2325</v>
      </c>
      <c r="D2" s="2547" t="s">
        <v>70</v>
      </c>
      <c r="E2" s="1439" t="e">
        <f ca="1">SUMIF(INDIRECT("'"&amp;G2&amp;"'"&amp;"!A:A"),"承租人权益价值",INDIRECT("'"&amp;G2&amp;"'"&amp;"!c:c"))</f>
        <v>#REF!</v>
      </c>
      <c r="F2" s="2548" t="s">
        <v>2325</v>
      </c>
      <c r="G2" s="2549"/>
    </row>
    <row r="3" spans="1:9" s="243" customFormat="1" ht="18" customHeight="1" thickBot="1">
      <c r="A3" s="246" t="s">
        <v>2326</v>
      </c>
      <c r="B3" s="247">
        <f ca="1">ROUND(B2*10000/(IF(B1="",'数据-汇总表'!E3,INDIRECT("'数据-取费表'!k"&amp;$G$1))),0)</f>
        <v>3805</v>
      </c>
      <c r="C3" s="242" t="s">
        <v>2327</v>
      </c>
      <c r="D3" s="242"/>
      <c r="E3" s="242"/>
      <c r="F3" s="242"/>
      <c r="G3" s="242"/>
    </row>
    <row r="4" spans="1:9" s="251" customFormat="1" ht="15.75">
      <c r="A4" s="248" t="s">
        <v>2328</v>
      </c>
      <c r="B4" s="249"/>
      <c r="C4" s="249"/>
      <c r="D4" s="249"/>
      <c r="E4" s="249"/>
      <c r="F4" s="249"/>
      <c r="G4" s="250"/>
    </row>
    <row r="5" spans="1:9" s="257" customFormat="1" ht="13.5" customHeight="1">
      <c r="A5" s="298" t="s">
        <v>2329</v>
      </c>
      <c r="B5" s="253" t="s">
        <v>2330</v>
      </c>
      <c r="C5" s="254">
        <f>C6+C7+C8</f>
        <v>0</v>
      </c>
      <c r="D5" s="254" t="s">
        <v>2331</v>
      </c>
      <c r="E5" s="255" t="s">
        <v>2332</v>
      </c>
      <c r="F5" s="255" t="s">
        <v>2333</v>
      </c>
      <c r="G5" s="256"/>
    </row>
    <row r="6" spans="1:9" s="257" customFormat="1" ht="13.5" customHeight="1">
      <c r="A6" s="948" t="s">
        <v>2334</v>
      </c>
      <c r="B6" s="258" t="s">
        <v>2335</v>
      </c>
      <c r="C6" s="259"/>
      <c r="D6" s="260"/>
      <c r="E6" s="261"/>
      <c r="F6" s="261"/>
      <c r="G6" s="262"/>
    </row>
    <row r="7" spans="1:9" s="257" customFormat="1" ht="13.5" customHeight="1">
      <c r="A7" s="948" t="s">
        <v>2336</v>
      </c>
      <c r="B7" s="258" t="s">
        <v>2337</v>
      </c>
      <c r="C7" s="263">
        <f>ROUND(C6*F7,0)</f>
        <v>0</v>
      </c>
      <c r="D7" s="263"/>
      <c r="E7" s="261"/>
      <c r="F7" s="264">
        <f>IF(项目基本情况!B8="出让",0,'数据-取费表'!B48+'数据-取费表'!B49)</f>
        <v>3.0499999999999999E-2</v>
      </c>
      <c r="G7" s="262"/>
    </row>
    <row r="8" spans="1:9" s="266" customFormat="1">
      <c r="A8" s="948" t="s">
        <v>2338</v>
      </c>
      <c r="B8" s="258" t="s">
        <v>2339</v>
      </c>
      <c r="C8" s="263">
        <f>IF(G8="已包含在土地购买价格中","0",IF(B1="",'数据-取费表'!B29,IF(G9="全部缴纳",C9+C10,H9)))</f>
        <v>0</v>
      </c>
      <c r="D8" s="265"/>
      <c r="E8" s="263"/>
      <c r="F8" s="264"/>
      <c r="G8" s="2550"/>
    </row>
    <row r="9" spans="1:9" s="257" customFormat="1" ht="13.5" customHeight="1">
      <c r="A9" s="949" t="s">
        <v>800</v>
      </c>
      <c r="B9" s="267" t="s">
        <v>2340</v>
      </c>
      <c r="C9" s="268">
        <f ca="1">ROUND(D9*E9/10000,0)</f>
        <v>0</v>
      </c>
      <c r="D9" s="1031">
        <f ca="1">IF(B1="",'数据-汇总表'!E5,IF(INDIRECT("'数据-取费表'!c"&amp;$G$1)="住宅",INDIRECT("'数据-取费表'!k"&amp;$G$1),0))</f>
        <v>0</v>
      </c>
      <c r="E9" s="268">
        <f>'数据-取费表'!B27</f>
        <v>160</v>
      </c>
      <c r="F9" s="264"/>
      <c r="G9" s="2551"/>
      <c r="H9" s="1389"/>
      <c r="I9" s="2552" t="s">
        <v>2341</v>
      </c>
    </row>
    <row r="10" spans="1:9" s="257" customFormat="1" ht="13.5" customHeight="1">
      <c r="A10" s="949" t="s">
        <v>801</v>
      </c>
      <c r="B10" s="267" t="s">
        <v>2342</v>
      </c>
      <c r="C10" s="268">
        <f ca="1">ROUND(D10*E10/10000,0)</f>
        <v>695</v>
      </c>
      <c r="D10" s="1031">
        <f ca="1">IF(B1="",'数据-汇总表'!E6,IF(INDIRECT("'数据-取费表'!c"&amp;$G$1)="住宅",INDIRECT("'数据-取费表'!s"&amp;$G$1),INDIRECT("'数据-取费表'!k"&amp;$G$1)+INDIRECT("'数据-取费表'!s"&amp;$G$1)))</f>
        <v>34740.85</v>
      </c>
      <c r="E10" s="268">
        <f>'数据-取费表'!B28</f>
        <v>200</v>
      </c>
      <c r="F10" s="264"/>
      <c r="G10" s="269"/>
    </row>
    <row r="11" spans="1:9" s="257" customFormat="1" ht="13.5" hidden="1" customHeight="1">
      <c r="A11" s="270" t="s">
        <v>7</v>
      </c>
      <c r="B11" s="258" t="s">
        <v>2343</v>
      </c>
      <c r="C11" s="254"/>
      <c r="D11" s="1033"/>
      <c r="E11" s="261"/>
      <c r="F11" s="261"/>
      <c r="G11" s="262"/>
    </row>
    <row r="12" spans="1:9" s="257" customFormat="1" ht="13.5" hidden="1" customHeight="1">
      <c r="A12" s="270" t="s">
        <v>8</v>
      </c>
      <c r="B12" s="258" t="s">
        <v>2344</v>
      </c>
      <c r="C12" s="254">
        <v>0</v>
      </c>
      <c r="D12" s="1033"/>
      <c r="E12" s="271"/>
      <c r="F12" s="264">
        <v>3.0499999999999999E-2</v>
      </c>
      <c r="G12" s="262"/>
    </row>
    <row r="13" spans="1:9" s="257" customFormat="1" ht="13.5" hidden="1" customHeight="1">
      <c r="A13" s="270" t="s">
        <v>9</v>
      </c>
      <c r="B13" s="258" t="s">
        <v>2345</v>
      </c>
      <c r="C13" s="254"/>
      <c r="D13" s="1033"/>
      <c r="E13" s="261"/>
      <c r="F13" s="261"/>
      <c r="G13" s="262"/>
    </row>
    <row r="14" spans="1:9" s="257" customFormat="1" ht="13.5" hidden="1" customHeight="1">
      <c r="A14" s="270" t="s">
        <v>10</v>
      </c>
      <c r="B14" s="258" t="s">
        <v>2346</v>
      </c>
      <c r="C14" s="254"/>
      <c r="D14" s="1033"/>
      <c r="E14" s="261"/>
      <c r="F14" s="261"/>
      <c r="G14" s="262" t="s">
        <v>2347</v>
      </c>
    </row>
    <row r="15" spans="1:9" s="257" customFormat="1" ht="13.5" hidden="1" customHeight="1">
      <c r="A15" s="270" t="s">
        <v>11</v>
      </c>
      <c r="B15" s="258" t="s">
        <v>2348</v>
      </c>
      <c r="C15" s="263"/>
      <c r="D15" s="1033"/>
      <c r="E15" s="261"/>
      <c r="F15" s="261"/>
      <c r="G15" s="262" t="s">
        <v>2349</v>
      </c>
    </row>
    <row r="16" spans="1:9" s="257" customFormat="1" ht="13.5" hidden="1" customHeight="1">
      <c r="A16" s="270" t="s">
        <v>12</v>
      </c>
      <c r="B16" s="258" t="s">
        <v>2346</v>
      </c>
      <c r="C16" s="263"/>
      <c r="D16" s="1033"/>
      <c r="E16" s="261"/>
      <c r="F16" s="261"/>
      <c r="G16" s="262"/>
    </row>
    <row r="17" spans="1:7" s="257" customFormat="1" ht="13.5" hidden="1" customHeight="1">
      <c r="A17" s="270" t="s">
        <v>13</v>
      </c>
      <c r="B17" s="258" t="s">
        <v>2350</v>
      </c>
      <c r="C17" s="272"/>
      <c r="D17" s="1034"/>
      <c r="E17" s="272"/>
      <c r="F17" s="272"/>
      <c r="G17" s="262" t="s">
        <v>2349</v>
      </c>
    </row>
    <row r="18" spans="1:7" s="257" customFormat="1" ht="13.5" hidden="1" customHeight="1">
      <c r="A18" s="270" t="s">
        <v>14</v>
      </c>
      <c r="B18" s="258" t="s">
        <v>2351</v>
      </c>
      <c r="C18" s="263">
        <v>0</v>
      </c>
      <c r="D18" s="1033"/>
      <c r="E18" s="261"/>
      <c r="F18" s="264">
        <v>3.0499999999999999E-2</v>
      </c>
      <c r="G18" s="262" t="s">
        <v>2352</v>
      </c>
    </row>
    <row r="19" spans="1:7" s="266" customFormat="1" ht="13.5" customHeight="1">
      <c r="A19" s="298" t="s">
        <v>2353</v>
      </c>
      <c r="B19" s="253" t="s">
        <v>2354</v>
      </c>
      <c r="C19" s="254">
        <f ca="1">IF(G19="已包含在土地取得成本中","0",ROUND(D19*E19/10000,0))</f>
        <v>695</v>
      </c>
      <c r="D19" s="1035">
        <f ca="1">D9+D10</f>
        <v>34740.85</v>
      </c>
      <c r="E19" s="254">
        <f>'数据-取费表'!B31</f>
        <v>200</v>
      </c>
      <c r="F19" s="274"/>
      <c r="G19" s="2550"/>
    </row>
    <row r="20" spans="1:7" s="257" customFormat="1" ht="13.5" customHeight="1">
      <c r="A20" s="298" t="s">
        <v>2355</v>
      </c>
      <c r="B20" s="253" t="s">
        <v>2356</v>
      </c>
      <c r="C20" s="275">
        <f ca="1">ROUND((C5+C19)*F20,0)</f>
        <v>14</v>
      </c>
      <c r="D20" s="275"/>
      <c r="E20" s="275"/>
      <c r="F20" s="276">
        <f>'数据-取费表'!B37</f>
        <v>0.02</v>
      </c>
      <c r="G20" s="277" t="s">
        <v>2357</v>
      </c>
    </row>
    <row r="21" spans="1:7" s="257" customFormat="1" ht="13.5" customHeight="1">
      <c r="A21" s="298" t="s">
        <v>2358</v>
      </c>
      <c r="B21" s="253" t="s">
        <v>2359</v>
      </c>
      <c r="C21" s="278">
        <f>F21</f>
        <v>0.02</v>
      </c>
      <c r="D21" s="279" t="s">
        <v>2360</v>
      </c>
      <c r="E21" s="275"/>
      <c r="F21" s="276">
        <f>'数据-取费表'!B38</f>
        <v>0.02</v>
      </c>
      <c r="G21" s="277" t="s">
        <v>2361</v>
      </c>
    </row>
    <row r="22" spans="1:7" s="257" customFormat="1" ht="13.5" customHeight="1">
      <c r="A22" s="298" t="s">
        <v>2362</v>
      </c>
      <c r="B22" s="253" t="s">
        <v>2363</v>
      </c>
      <c r="C22" s="1353">
        <f ca="1">ROUND(SUM(C23:C25),0)</f>
        <v>69</v>
      </c>
      <c r="D22" s="278">
        <f ca="1">C26</f>
        <v>1E-3</v>
      </c>
      <c r="E22" s="279" t="s">
        <v>2360</v>
      </c>
      <c r="F22" s="280">
        <f ca="1">'数据-取费表'!B40</f>
        <v>4.7500000000000001E-2</v>
      </c>
      <c r="G22" s="277" t="str">
        <f>IF('数据-取费表'!B22&lt;=1,"单利计息","复利计息")</f>
        <v>复利计息</v>
      </c>
    </row>
    <row r="23" spans="1:7" s="257" customFormat="1" ht="13.5" customHeight="1">
      <c r="A23" s="950" t="s">
        <v>2364</v>
      </c>
      <c r="B23" s="258" t="s">
        <v>2365</v>
      </c>
      <c r="C23" s="1354">
        <f ca="1">ROUND(IF('数据-取费表'!B22&lt;=1,C5*F22*'数据-取费表'!B23,C5*(POWER((1+F22),'数据-取费表'!B23)-1)),0)</f>
        <v>0</v>
      </c>
      <c r="D23" s="281"/>
      <c r="E23" s="281"/>
      <c r="F23" s="282"/>
      <c r="G23" s="283" t="s">
        <v>2366</v>
      </c>
    </row>
    <row r="24" spans="1:7" s="257" customFormat="1" ht="13.5" customHeight="1">
      <c r="A24" s="950" t="s">
        <v>2367</v>
      </c>
      <c r="B24" s="258" t="s">
        <v>2368</v>
      </c>
      <c r="C24" s="1354">
        <f ca="1">ROUND(IF('数据-取费表'!B22&lt;=1,C19*F22*('数据-取费表'!B19/2+'数据-取费表'!B21),C19*(POWER((1+F22),('数据-取费表'!B19/2+'数据-取费表'!B21))-1)),0)</f>
        <v>68</v>
      </c>
      <c r="D24" s="281"/>
      <c r="E24" s="281"/>
      <c r="F24" s="282"/>
      <c r="G24" s="283" t="s">
        <v>2369</v>
      </c>
    </row>
    <row r="25" spans="1:7" s="257" customFormat="1" ht="24">
      <c r="A25" s="950" t="s">
        <v>2370</v>
      </c>
      <c r="B25" s="258" t="s">
        <v>2371</v>
      </c>
      <c r="C25" s="1354">
        <f ca="1">ROUND(IF('数据-取费表'!B22&lt;=1,C20*F22*'数据-取费表'!B23/2,C20*(POWER((1+F22),'数据-取费表'!B23/2)-1)),0)</f>
        <v>1</v>
      </c>
      <c r="D25" s="281"/>
      <c r="E25" s="284"/>
      <c r="F25" s="282"/>
      <c r="G25" s="285" t="s">
        <v>2372</v>
      </c>
    </row>
    <row r="26" spans="1:7" s="257" customFormat="1">
      <c r="A26" s="950" t="s">
        <v>795</v>
      </c>
      <c r="B26" s="258" t="s">
        <v>2373</v>
      </c>
      <c r="C26" s="281">
        <f ca="1">ROUND(IF('数据-取费表'!B22&lt;=1,F21*F22*'数据-取费表'!B23/2,F21*(POWER((1+F22),'数据-取费表'!B23/2)-1)),4)</f>
        <v>1E-3</v>
      </c>
      <c r="D26" s="281"/>
      <c r="E26" s="284"/>
      <c r="F26" s="282"/>
      <c r="G26" s="286"/>
    </row>
    <row r="27" spans="1:7" s="257" customFormat="1" ht="24.75">
      <c r="A27" s="298" t="s">
        <v>2374</v>
      </c>
      <c r="B27" s="287" t="s">
        <v>2375</v>
      </c>
      <c r="C27" s="288">
        <f ca="1">C28</f>
        <v>99</v>
      </c>
      <c r="D27" s="278">
        <f ca="1">C29</f>
        <v>2.8E-3</v>
      </c>
      <c r="E27" s="279" t="s">
        <v>2376</v>
      </c>
      <c r="F27" s="289">
        <f ca="1">IF(B1="",'数据-取费表'!Q16,INDIRECT("'数据-取费表'!q"&amp;$G$1))</f>
        <v>0.14000000000000001</v>
      </c>
      <c r="G27" s="290" t="s">
        <v>2377</v>
      </c>
    </row>
    <row r="28" spans="1:7" s="257" customFormat="1" ht="13.5" customHeight="1">
      <c r="A28" s="950" t="s">
        <v>791</v>
      </c>
      <c r="B28" s="291" t="s">
        <v>2378</v>
      </c>
      <c r="C28" s="292">
        <f ca="1">ROUND((C5+C19+C20)*F27*'数据-取费表'!B21/'数据-取费表'!B20,0)</f>
        <v>99</v>
      </c>
      <c r="D28" s="278"/>
      <c r="E28" s="279"/>
      <c r="F28" s="289"/>
      <c r="G28" s="290"/>
    </row>
    <row r="29" spans="1:7" s="257" customFormat="1" ht="13.5" customHeight="1">
      <c r="A29" s="950" t="s">
        <v>792</v>
      </c>
      <c r="B29" s="291" t="s">
        <v>2379</v>
      </c>
      <c r="C29" s="281">
        <f ca="1">ROUND(C21*F27*'数据-取费表'!B21/'数据-取费表'!B20,4)</f>
        <v>2.8E-3</v>
      </c>
      <c r="D29" s="278"/>
      <c r="E29" s="279"/>
      <c r="F29" s="289"/>
      <c r="G29" s="290"/>
    </row>
    <row r="30" spans="1:7" s="257" customFormat="1" ht="13.5" customHeight="1">
      <c r="A30" s="298" t="s">
        <v>2380</v>
      </c>
      <c r="B30" s="253" t="s">
        <v>2381</v>
      </c>
      <c r="C30" s="278">
        <f>ROUND(F30/(1+'数据-取费表'!C42),4)</f>
        <v>5.33E-2</v>
      </c>
      <c r="D30" s="279" t="s">
        <v>2376</v>
      </c>
      <c r="E30" s="284"/>
      <c r="F30" s="280">
        <f>'数据-取费表'!B41</f>
        <v>5.6000000000000001E-2</v>
      </c>
      <c r="G30" s="277" t="s">
        <v>2382</v>
      </c>
    </row>
    <row r="31" spans="1:7" ht="16.5" customHeight="1">
      <c r="A31" s="252">
        <v>1</v>
      </c>
      <c r="B31" s="253" t="s">
        <v>2383</v>
      </c>
      <c r="C31" s="254">
        <f ca="1">ROUND((C5+C19+C20+C22+C27)/(1-C21-D22-D27-C30),0)</f>
        <v>950</v>
      </c>
      <c r="D31" s="273"/>
      <c r="E31" s="254"/>
      <c r="F31" s="293"/>
      <c r="G31" s="277" t="s">
        <v>2384</v>
      </c>
    </row>
    <row r="32" spans="1:7" s="251" customFormat="1" ht="15.75">
      <c r="A32" s="295" t="s">
        <v>2385</v>
      </c>
      <c r="B32" s="296"/>
      <c r="C32" s="296"/>
      <c r="D32" s="296"/>
      <c r="E32" s="296"/>
      <c r="F32" s="296"/>
      <c r="G32" s="297"/>
    </row>
    <row r="33" spans="1:7" s="257" customFormat="1" ht="13.5" customHeight="1">
      <c r="A33" s="298" t="s">
        <v>782</v>
      </c>
      <c r="B33" s="253" t="s">
        <v>2386</v>
      </c>
      <c r="C33" s="299">
        <f ca="1">SUM(C34:C38)</f>
        <v>11400</v>
      </c>
      <c r="D33" s="275"/>
      <c r="E33" s="255"/>
      <c r="F33" s="284"/>
      <c r="G33" s="277"/>
    </row>
    <row r="34" spans="1:7" s="301" customFormat="1" ht="13.5" customHeight="1">
      <c r="A34" s="950" t="s">
        <v>791</v>
      </c>
      <c r="B34" s="258" t="s">
        <v>2387</v>
      </c>
      <c r="C34" s="263">
        <f ca="1">IF(B1="",IF(F34=100%,'数据-取费表'!M16,'数据-取费表'!O16),IF(F34=100%,INDIRECT("'数据-取费表'!m"&amp;$G$1)+INDIRECT("'数据-取费表'!t"&amp;$G$1),INDIRECT("'数据-取费表'!o"&amp;$G$1)+INDIRECT("'数据-取费表'!aq"&amp;$G$1)))</f>
        <v>10244</v>
      </c>
      <c r="D34" s="260"/>
      <c r="E34" s="263"/>
      <c r="F34" s="300">
        <f ca="1">IF('数据-取费表'!B24=0,1,IF(B1="",'数据-取费表'!N16,INDIRECT("'数据-取费表'!n"&amp;$G$1)))</f>
        <v>1</v>
      </c>
      <c r="G34" s="262" t="s">
        <v>2388</v>
      </c>
    </row>
    <row r="35" spans="1:7" ht="13.5" customHeight="1">
      <c r="A35" s="950" t="s">
        <v>796</v>
      </c>
      <c r="B35" s="258" t="s">
        <v>2389</v>
      </c>
      <c r="C35" s="263">
        <f ca="1">ROUND(C34*F35,0)</f>
        <v>307</v>
      </c>
      <c r="D35" s="263"/>
      <c r="E35" s="263"/>
      <c r="F35" s="302">
        <f>'数据-取费表'!B33</f>
        <v>0.03</v>
      </c>
      <c r="G35" s="262" t="s">
        <v>2390</v>
      </c>
    </row>
    <row r="36" spans="1:7" ht="24">
      <c r="A36" s="950"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2392</v>
      </c>
    </row>
    <row r="37" spans="1:7" s="301" customFormat="1" ht="13.5" customHeight="1">
      <c r="A37" s="950" t="s">
        <v>798</v>
      </c>
      <c r="B37" s="258" t="s">
        <v>2393</v>
      </c>
      <c r="C37" s="292">
        <f ca="1">ROUND(E37*D37*F34/10000,0)</f>
        <v>695</v>
      </c>
      <c r="D37" s="260">
        <f ca="1">D19</f>
        <v>34740.85</v>
      </c>
      <c r="E37" s="292">
        <f>'数据-取费表'!B35</f>
        <v>200</v>
      </c>
      <c r="F37" s="302"/>
      <c r="G37" s="304" t="s">
        <v>2394</v>
      </c>
    </row>
    <row r="38" spans="1:7" ht="13.5" customHeight="1">
      <c r="A38" s="950" t="s">
        <v>799</v>
      </c>
      <c r="B38" s="258" t="s">
        <v>2395</v>
      </c>
      <c r="C38" s="263">
        <f ca="1">ROUND(C34*F38,0)</f>
        <v>154</v>
      </c>
      <c r="D38" s="263"/>
      <c r="E38" s="263"/>
      <c r="F38" s="302">
        <f>'数据-取费表'!B36</f>
        <v>1.4999999999999999E-2</v>
      </c>
      <c r="G38" s="262" t="s">
        <v>2390</v>
      </c>
    </row>
    <row r="39" spans="1:7" s="257" customFormat="1" ht="13.5" customHeight="1">
      <c r="A39" s="298" t="s">
        <v>2396</v>
      </c>
      <c r="B39" s="253" t="s">
        <v>2397</v>
      </c>
      <c r="C39" s="275">
        <f ca="1">ROUND(C33*F20,0)</f>
        <v>228</v>
      </c>
      <c r="D39" s="275"/>
      <c r="E39" s="275"/>
      <c r="F39" s="276"/>
      <c r="G39" s="277" t="s">
        <v>2398</v>
      </c>
    </row>
    <row r="40" spans="1:7" s="257" customFormat="1" ht="13.5" customHeight="1">
      <c r="A40" s="298" t="s">
        <v>2399</v>
      </c>
      <c r="B40" s="253" t="s">
        <v>2400</v>
      </c>
      <c r="C40" s="1727">
        <f>F21</f>
        <v>0.02</v>
      </c>
      <c r="D40" s="279" t="s">
        <v>2401</v>
      </c>
      <c r="E40" s="275"/>
      <c r="F40" s="276"/>
      <c r="G40" s="277" t="s">
        <v>2402</v>
      </c>
    </row>
    <row r="41" spans="1:7" s="257" customFormat="1" ht="13.5" customHeight="1">
      <c r="A41" s="298" t="s">
        <v>2403</v>
      </c>
      <c r="B41" s="253" t="s">
        <v>2404</v>
      </c>
      <c r="C41" s="275">
        <f ca="1">ROUND(SUM(C42:C43),0)</f>
        <v>553</v>
      </c>
      <c r="D41" s="278">
        <f ca="1">C44</f>
        <v>1E-3</v>
      </c>
      <c r="E41" s="279" t="s">
        <v>2401</v>
      </c>
      <c r="F41" s="280"/>
      <c r="G41" s="277" t="str">
        <f>IF('数据-取费表'!B22&lt;=1,"单利计息","复利计息")</f>
        <v>复利计息</v>
      </c>
    </row>
    <row r="42" spans="1:7" ht="13.5" customHeight="1">
      <c r="A42" s="950" t="s">
        <v>791</v>
      </c>
      <c r="B42" s="258" t="s">
        <v>2405</v>
      </c>
      <c r="C42" s="281">
        <f ca="1">ROUND(IF('数据-取费表'!B22&lt;=1,C33*F22*'数据-取费表'!B21/2,C33*(POWER((1+F22),'数据-取费表'!B21/2)-1)),0)</f>
        <v>542</v>
      </c>
      <c r="D42" s="281"/>
      <c r="E42" s="281"/>
      <c r="F42" s="282"/>
      <c r="G42" s="3234" t="s">
        <v>2406</v>
      </c>
    </row>
    <row r="43" spans="1:7" ht="13.5" customHeight="1">
      <c r="A43" s="950" t="s">
        <v>792</v>
      </c>
      <c r="B43" s="258" t="s">
        <v>2407</v>
      </c>
      <c r="C43" s="281">
        <f ca="1">ROUND(IF('数据-取费表'!B22&lt;=1,C39*F22*'数据-取费表'!B21/2,C39*(POWER((1+F22),'数据-取费表'!B21/2)-1)),0)</f>
        <v>11</v>
      </c>
      <c r="D43" s="281"/>
      <c r="E43" s="281"/>
      <c r="F43" s="282"/>
      <c r="G43" s="3235"/>
    </row>
    <row r="44" spans="1:7" ht="13.5" customHeight="1">
      <c r="A44" s="950" t="s">
        <v>793</v>
      </c>
      <c r="B44" s="258" t="s">
        <v>2408</v>
      </c>
      <c r="C44" s="281">
        <f ca="1">ROUND(IF('数据-取费表'!B22&lt;=1,C40*F22*'数据-取费表'!B21/2,C40*(POWER((1+F22),'数据-取费表'!B21/2)-1)),4)</f>
        <v>1E-3</v>
      </c>
      <c r="D44" s="281"/>
      <c r="E44" s="281"/>
      <c r="F44" s="282"/>
      <c r="G44" s="3236"/>
    </row>
    <row r="45" spans="1:7" s="257" customFormat="1" ht="13.5" customHeight="1">
      <c r="A45" s="298" t="s">
        <v>2409</v>
      </c>
      <c r="B45" s="287" t="s">
        <v>2375</v>
      </c>
      <c r="C45" s="288">
        <f ca="1">C46</f>
        <v>1628</v>
      </c>
      <c r="D45" s="278">
        <f ca="1">C47</f>
        <v>2.8E-3</v>
      </c>
      <c r="E45" s="279" t="s">
        <v>2401</v>
      </c>
      <c r="F45" s="289"/>
      <c r="G45" s="290" t="s">
        <v>2410</v>
      </c>
    </row>
    <row r="46" spans="1:7" s="257" customFormat="1" ht="13.5" customHeight="1">
      <c r="A46" s="950" t="s">
        <v>791</v>
      </c>
      <c r="B46" s="291" t="s">
        <v>2411</v>
      </c>
      <c r="C46" s="292">
        <f ca="1">ROUND((C33+C39)*F27,0)</f>
        <v>1628</v>
      </c>
      <c r="D46" s="306"/>
      <c r="E46" s="279"/>
      <c r="F46" s="289"/>
      <c r="G46" s="290"/>
    </row>
    <row r="47" spans="1:7" s="257" customFormat="1" ht="13.5" customHeight="1">
      <c r="A47" s="950" t="s">
        <v>792</v>
      </c>
      <c r="B47" s="291" t="s">
        <v>2412</v>
      </c>
      <c r="C47" s="281">
        <f ca="1">ROUND(C40*F27,4)</f>
        <v>2.8E-3</v>
      </c>
      <c r="D47" s="306"/>
      <c r="E47" s="279"/>
      <c r="F47" s="289"/>
      <c r="G47" s="290"/>
    </row>
    <row r="48" spans="1:7" s="257" customFormat="1" ht="13.5" customHeight="1">
      <c r="A48" s="298" t="s">
        <v>2374</v>
      </c>
      <c r="B48" s="253" t="s">
        <v>2413</v>
      </c>
      <c r="C48" s="1727">
        <f>ROUND(F30/(1+'数据-取费表'!C42),4)</f>
        <v>5.33E-2</v>
      </c>
      <c r="D48" s="279" t="s">
        <v>2401</v>
      </c>
      <c r="E48" s="275"/>
      <c r="F48" s="280"/>
      <c r="G48" s="277" t="s">
        <v>2414</v>
      </c>
    </row>
    <row r="49" spans="1:7" ht="16.5" customHeight="1">
      <c r="A49" s="298" t="s">
        <v>2380</v>
      </c>
      <c r="B49" s="253" t="s">
        <v>2415</v>
      </c>
      <c r="C49" s="275">
        <f ca="1">ROUND((C33+C39+C41+C45)/(1-C40-D41-D45-C48),0)</f>
        <v>14963</v>
      </c>
      <c r="D49" s="275"/>
      <c r="E49" s="275"/>
      <c r="F49" s="307"/>
      <c r="G49" s="277" t="s">
        <v>2416</v>
      </c>
    </row>
    <row r="50" spans="1:7" s="301" customFormat="1" ht="24">
      <c r="A50" s="298" t="s">
        <v>2417</v>
      </c>
      <c r="B50" s="253" t="s">
        <v>2418</v>
      </c>
      <c r="C50" s="275"/>
      <c r="D50" s="275"/>
      <c r="E50" s="275"/>
      <c r="F50" s="307">
        <f>IF('数据-取费表'!B24=0,'数据-取费表'!N16,1)</f>
        <v>0.82</v>
      </c>
      <c r="G50" s="290" t="s">
        <v>2419</v>
      </c>
    </row>
    <row r="51" spans="1:7" ht="16.5" customHeight="1">
      <c r="A51" s="298" t="s">
        <v>2420</v>
      </c>
      <c r="B51" s="253" t="s">
        <v>2421</v>
      </c>
      <c r="C51" s="275">
        <f ca="1">ROUND(C49*F50,0)</f>
        <v>12270</v>
      </c>
      <c r="D51" s="275"/>
      <c r="E51" s="275"/>
      <c r="F51" s="307"/>
      <c r="G51" s="277" t="s">
        <v>2422</v>
      </c>
    </row>
    <row r="52" spans="1:7" s="251" customFormat="1" ht="16.5" thickBot="1">
      <c r="A52" s="308" t="s">
        <v>2423</v>
      </c>
      <c r="B52" s="309"/>
      <c r="C52" s="310">
        <f ca="1">C31+C51</f>
        <v>13220</v>
      </c>
      <c r="D52" s="309"/>
      <c r="E52" s="309"/>
      <c r="F52" s="309"/>
      <c r="G52" s="311"/>
    </row>
    <row r="55" spans="1:7" ht="15">
      <c r="B55" s="313" t="s">
        <v>2424</v>
      </c>
      <c r="C55" s="314"/>
    </row>
    <row r="56" spans="1:7">
      <c r="B56" s="316" t="s">
        <v>1509</v>
      </c>
      <c r="C56" s="318">
        <f ca="1">1-C57</f>
        <v>7.1999999999999953E-2</v>
      </c>
    </row>
    <row r="57" spans="1:7">
      <c r="B57" s="316" t="s">
        <v>1510</v>
      </c>
      <c r="C57" s="317">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48" t="str">
        <f>项目基本情况!B1</f>
        <v>北京市朝阳区北苑路28号院1号楼房地产抵押价值预评估</v>
      </c>
      <c r="C37" s="3048"/>
      <c r="D37" s="3048"/>
      <c r="E37" s="3048"/>
      <c r="F37" s="3048"/>
      <c r="G37" s="3048"/>
      <c r="H37" s="3048"/>
      <c r="I37" s="3048"/>
    </row>
    <row r="38" spans="1:9">
      <c r="A38" s="1015"/>
      <c r="B38" s="1015"/>
    </row>
    <row r="39" spans="1:9">
      <c r="A39" s="1013" t="s">
        <v>818</v>
      </c>
      <c r="B39" s="1013" t="s">
        <v>820</v>
      </c>
    </row>
    <row r="40" spans="1:9">
      <c r="A40" s="1013"/>
      <c r="B40" s="1941" t="str">
        <f>项目基本情况!B5</f>
        <v>北京道乐科技发展有限公司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郑燚（注册号：1120070131)、王鹏（注册号：1120050019)</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2323</v>
      </c>
      <c r="B1" s="1936"/>
      <c r="C1" s="2553" t="s">
        <v>2425</v>
      </c>
      <c r="D1" s="241"/>
      <c r="E1" s="241"/>
      <c r="F1" s="241"/>
      <c r="G1" s="1378">
        <f>MATCH(B1,'数据-取费表'!A6:A16,0)+5</f>
        <v>8</v>
      </c>
      <c r="H1" s="1281" t="str">
        <f>IF(ISERROR(FIND("住宅",B1)),"非住宅","住宅")</f>
        <v>非住宅</v>
      </c>
    </row>
    <row r="2" spans="1:8" s="243" customFormat="1" ht="18" customHeight="1">
      <c r="A2" s="244" t="s">
        <v>2324</v>
      </c>
      <c r="B2" s="245">
        <f ca="1">ROUND(IF(D2="——",C52/10000,C52/10000-E2),0)</f>
        <v>14168</v>
      </c>
      <c r="C2" s="242" t="s">
        <v>2325</v>
      </c>
      <c r="D2" s="2547" t="s">
        <v>70</v>
      </c>
      <c r="E2" s="1439" t="e">
        <f ca="1">SUMIF(INDIRECT("'"&amp;G2&amp;"'"&amp;"!A:A"),"承租人权益价值",INDIRECT("'"&amp;G2&amp;"'"&amp;"!c:c"))</f>
        <v>#REF!</v>
      </c>
      <c r="F2" s="2548" t="s">
        <v>2325</v>
      </c>
      <c r="G2" s="2549"/>
    </row>
    <row r="3" spans="1:8" s="243" customFormat="1" ht="18" customHeight="1" thickBot="1">
      <c r="A3" s="246" t="s">
        <v>2326</v>
      </c>
      <c r="B3" s="247">
        <f ca="1">ROUND(B2*10000/(IF(B1="",'数据-汇总表'!E3,INDIRECT("'数据-取费表'!k"&amp;$G$1))),0)</f>
        <v>4078</v>
      </c>
      <c r="C3" s="242" t="s">
        <v>2327</v>
      </c>
      <c r="D3" s="242"/>
      <c r="E3" s="242"/>
      <c r="F3" s="242"/>
      <c r="G3" s="242"/>
    </row>
    <row r="4" spans="1:8" s="251" customFormat="1" ht="15.75">
      <c r="A4" s="248" t="s">
        <v>2328</v>
      </c>
      <c r="B4" s="249"/>
      <c r="C4" s="249"/>
      <c r="D4" s="249"/>
      <c r="E4" s="249"/>
      <c r="F4" s="249"/>
      <c r="G4" s="250"/>
    </row>
    <row r="5" spans="1:8" s="257" customFormat="1" ht="13.5" customHeight="1">
      <c r="A5" s="298" t="s">
        <v>2329</v>
      </c>
      <c r="B5" s="253" t="s">
        <v>2330</v>
      </c>
      <c r="C5" s="254">
        <f ca="1">C6+C7+C8</f>
        <v>6948170</v>
      </c>
      <c r="D5" s="254" t="s">
        <v>2331</v>
      </c>
      <c r="E5" s="255" t="s">
        <v>2332</v>
      </c>
      <c r="F5" s="255" t="s">
        <v>2333</v>
      </c>
      <c r="G5" s="256"/>
    </row>
    <row r="6" spans="1:8" s="257" customFormat="1" ht="13.5" customHeight="1">
      <c r="A6" s="948" t="s">
        <v>2334</v>
      </c>
      <c r="B6" s="258" t="s">
        <v>2335</v>
      </c>
      <c r="C6" s="259"/>
      <c r="D6" s="260"/>
      <c r="E6" s="261"/>
      <c r="F6" s="261"/>
      <c r="G6" s="262"/>
    </row>
    <row r="7" spans="1:8" s="257" customFormat="1" ht="13.5" customHeight="1">
      <c r="A7" s="948" t="s">
        <v>2336</v>
      </c>
      <c r="B7" s="258" t="s">
        <v>2337</v>
      </c>
      <c r="C7" s="263">
        <f>ROUND(C6*F7,0)</f>
        <v>0</v>
      </c>
      <c r="D7" s="263"/>
      <c r="E7" s="261"/>
      <c r="F7" s="264">
        <f>IF(项目基本情况!B8="出让",0,'数据-取费表'!B48+'数据-取费表'!B49)</f>
        <v>3.0499999999999999E-2</v>
      </c>
      <c r="G7" s="262"/>
    </row>
    <row r="8" spans="1:8" s="266" customFormat="1">
      <c r="A8" s="948" t="s">
        <v>2338</v>
      </c>
      <c r="B8" s="258" t="s">
        <v>2339</v>
      </c>
      <c r="C8" s="263">
        <f ca="1">IF(G8="已包含在土地购买价格中",0,C9+C10)</f>
        <v>6948170</v>
      </c>
      <c r="D8" s="265"/>
      <c r="E8" s="263"/>
      <c r="F8" s="264"/>
      <c r="G8" s="2550"/>
    </row>
    <row r="9" spans="1:8" s="257" customFormat="1" ht="13.5" customHeight="1">
      <c r="A9" s="949" t="s">
        <v>800</v>
      </c>
      <c r="B9" s="267" t="s">
        <v>2340</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2342</v>
      </c>
      <c r="C10" s="268">
        <f ca="1">ROUND(D10*E10,0)</f>
        <v>6948170</v>
      </c>
      <c r="D10" s="1031">
        <f ca="1">IF(B1="",'数据-汇总表'!E6,IF(INDIRECT("'数据-取费表'!c"&amp;$G$1)="住宅",INDIRECT("'数据-取费表'!s"&amp;$G$1),INDIRECT("'数据-取费表'!k"&amp;$G$1)+INDIRECT("'数据-取费表'!s"&amp;$G$1)))</f>
        <v>34740.85</v>
      </c>
      <c r="E10" s="268">
        <f>'数据-取费表'!B28</f>
        <v>200</v>
      </c>
      <c r="F10" s="264"/>
      <c r="G10" s="269"/>
    </row>
    <row r="11" spans="1:8" s="257" customFormat="1" ht="13.5" hidden="1" customHeight="1">
      <c r="A11" s="270" t="s">
        <v>7</v>
      </c>
      <c r="B11" s="258" t="s">
        <v>2343</v>
      </c>
      <c r="C11" s="254"/>
      <c r="D11" s="1033"/>
      <c r="E11" s="261"/>
      <c r="F11" s="261"/>
      <c r="G11" s="262"/>
    </row>
    <row r="12" spans="1:8" s="257" customFormat="1" ht="13.5" hidden="1" customHeight="1">
      <c r="A12" s="270" t="s">
        <v>8</v>
      </c>
      <c r="B12" s="258" t="s">
        <v>2426</v>
      </c>
      <c r="C12" s="254">
        <v>0</v>
      </c>
      <c r="D12" s="1033"/>
      <c r="E12" s="271"/>
      <c r="F12" s="264">
        <v>3.0499999999999999E-2</v>
      </c>
      <c r="G12" s="262"/>
    </row>
    <row r="13" spans="1:8" s="257" customFormat="1" ht="13.5" hidden="1" customHeight="1">
      <c r="A13" s="270" t="s">
        <v>9</v>
      </c>
      <c r="B13" s="258" t="s">
        <v>2427</v>
      </c>
      <c r="C13" s="254"/>
      <c r="D13" s="1033"/>
      <c r="E13" s="261"/>
      <c r="F13" s="261"/>
      <c r="G13" s="262"/>
    </row>
    <row r="14" spans="1:8" s="257" customFormat="1" ht="13.5" hidden="1" customHeight="1">
      <c r="A14" s="270" t="s">
        <v>10</v>
      </c>
      <c r="B14" s="258" t="s">
        <v>2339</v>
      </c>
      <c r="C14" s="254"/>
      <c r="D14" s="1033"/>
      <c r="E14" s="261"/>
      <c r="F14" s="261"/>
      <c r="G14" s="262" t="s">
        <v>2428</v>
      </c>
    </row>
    <row r="15" spans="1:8" s="257" customFormat="1" ht="13.5" hidden="1" customHeight="1">
      <c r="A15" s="270" t="s">
        <v>11</v>
      </c>
      <c r="B15" s="258" t="s">
        <v>2429</v>
      </c>
      <c r="C15" s="263"/>
      <c r="D15" s="1033"/>
      <c r="E15" s="261"/>
      <c r="F15" s="261"/>
      <c r="G15" s="262" t="s">
        <v>2430</v>
      </c>
    </row>
    <row r="16" spans="1:8" s="257" customFormat="1" ht="13.5" hidden="1" customHeight="1">
      <c r="A16" s="270" t="s">
        <v>12</v>
      </c>
      <c r="B16" s="258" t="s">
        <v>2339</v>
      </c>
      <c r="C16" s="263"/>
      <c r="D16" s="1033"/>
      <c r="E16" s="261"/>
      <c r="F16" s="261"/>
      <c r="G16" s="262"/>
    </row>
    <row r="17" spans="1:7" s="257" customFormat="1" ht="13.5" hidden="1" customHeight="1">
      <c r="A17" s="270" t="s">
        <v>13</v>
      </c>
      <c r="B17" s="258" t="s">
        <v>2431</v>
      </c>
      <c r="C17" s="272"/>
      <c r="D17" s="1034"/>
      <c r="E17" s="272"/>
      <c r="F17" s="272"/>
      <c r="G17" s="262" t="s">
        <v>2430</v>
      </c>
    </row>
    <row r="18" spans="1:7" s="257" customFormat="1" ht="13.5" hidden="1" customHeight="1">
      <c r="A18" s="270" t="s">
        <v>14</v>
      </c>
      <c r="B18" s="258" t="s">
        <v>2432</v>
      </c>
      <c r="C18" s="263">
        <v>0</v>
      </c>
      <c r="D18" s="1033"/>
      <c r="E18" s="261"/>
      <c r="F18" s="264">
        <v>3.0499999999999999E-2</v>
      </c>
      <c r="G18" s="262" t="s">
        <v>2433</v>
      </c>
    </row>
    <row r="19" spans="1:7" s="266" customFormat="1" ht="13.5" customHeight="1">
      <c r="A19" s="298" t="s">
        <v>2434</v>
      </c>
      <c r="B19" s="253" t="s">
        <v>2435</v>
      </c>
      <c r="C19" s="254">
        <f ca="1">IF(G19="已包含在土地取得成本中","0",ROUND(D19*E19,0))</f>
        <v>6948170</v>
      </c>
      <c r="D19" s="1035">
        <f ca="1">D9+D10</f>
        <v>34740.85</v>
      </c>
      <c r="E19" s="254">
        <f>'数据-取费表'!B31</f>
        <v>200</v>
      </c>
      <c r="F19" s="274"/>
      <c r="G19" s="2550"/>
    </row>
    <row r="20" spans="1:7" s="257" customFormat="1" ht="13.5" customHeight="1">
      <c r="A20" s="298" t="s">
        <v>2436</v>
      </c>
      <c r="B20" s="253" t="s">
        <v>2437</v>
      </c>
      <c r="C20" s="275">
        <f ca="1">ROUND((C5+C19)*F20,0)</f>
        <v>277927</v>
      </c>
      <c r="D20" s="275"/>
      <c r="E20" s="275"/>
      <c r="F20" s="276">
        <f>'数据-取费表'!B37</f>
        <v>0.02</v>
      </c>
      <c r="G20" s="277" t="s">
        <v>2438</v>
      </c>
    </row>
    <row r="21" spans="1:7" s="257" customFormat="1" ht="13.5" customHeight="1">
      <c r="A21" s="298" t="s">
        <v>2439</v>
      </c>
      <c r="B21" s="253" t="s">
        <v>2440</v>
      </c>
      <c r="C21" s="278">
        <f>F21</f>
        <v>0.02</v>
      </c>
      <c r="D21" s="279" t="s">
        <v>2441</v>
      </c>
      <c r="E21" s="275"/>
      <c r="F21" s="276">
        <f>'数据-取费表'!B38</f>
        <v>0.02</v>
      </c>
      <c r="G21" s="277" t="s">
        <v>2442</v>
      </c>
    </row>
    <row r="22" spans="1:7" s="257" customFormat="1" ht="13.5" customHeight="1">
      <c r="A22" s="298" t="s">
        <v>2443</v>
      </c>
      <c r="B22" s="253" t="s">
        <v>2444</v>
      </c>
      <c r="C22" s="1379">
        <f ca="1">ROUND(SUM(C23:C25),0)</f>
        <v>1364708</v>
      </c>
      <c r="D22" s="278">
        <f ca="1">C26</f>
        <v>1E-3</v>
      </c>
      <c r="E22" s="279" t="s">
        <v>2441</v>
      </c>
      <c r="F22" s="280">
        <f ca="1">'数据-取费表'!B40</f>
        <v>4.7500000000000001E-2</v>
      </c>
      <c r="G22" s="277" t="str">
        <f>IF('数据-取费表'!B22&lt;=1,"单利计息","复利计息")</f>
        <v>复利计息</v>
      </c>
    </row>
    <row r="23" spans="1:7" s="257" customFormat="1" ht="13.5" customHeight="1">
      <c r="A23" s="950" t="s">
        <v>2334</v>
      </c>
      <c r="B23" s="258" t="s">
        <v>2445</v>
      </c>
      <c r="C23" s="1380">
        <f ca="1">ROUND(IF('数据-取费表'!B22&lt;=1,C5*F22*'数据-取费表'!B22,C5*(POWER((1+F22),'数据-取费表'!B22)-1)),0)</f>
        <v>675753</v>
      </c>
      <c r="D23" s="281"/>
      <c r="E23" s="281"/>
      <c r="F23" s="282"/>
      <c r="G23" s="283" t="s">
        <v>2446</v>
      </c>
    </row>
    <row r="24" spans="1:7" s="257" customFormat="1" ht="13.5" customHeight="1">
      <c r="A24" s="950" t="s">
        <v>2336</v>
      </c>
      <c r="B24" s="258" t="s">
        <v>2447</v>
      </c>
      <c r="C24" s="1380">
        <f ca="1">ROUND(IF('数据-取费表'!B22&lt;=1,C19*F22*('数据-取费表'!B19/2+'数据-取费表'!B20),C19*(POWER((1+F22),('数据-取费表'!B19/2+'数据-取费表'!B20))-1)),0)</f>
        <v>675753</v>
      </c>
      <c r="D24" s="281"/>
      <c r="E24" s="281"/>
      <c r="F24" s="282"/>
      <c r="G24" s="283" t="s">
        <v>2448</v>
      </c>
    </row>
    <row r="25" spans="1:7" s="257" customFormat="1" ht="24">
      <c r="A25" s="950" t="s">
        <v>2338</v>
      </c>
      <c r="B25" s="258" t="s">
        <v>2449</v>
      </c>
      <c r="C25" s="1380">
        <f ca="1">ROUND(IF('数据-取费表'!B22&lt;=1,C20*F22*'数据-取费表'!B22/2,C20*(POWER((1+F22),'数据-取费表'!B22/2)-1)),0)</f>
        <v>13202</v>
      </c>
      <c r="D25" s="281"/>
      <c r="E25" s="284"/>
      <c r="F25" s="282"/>
      <c r="G25" s="285" t="s">
        <v>2450</v>
      </c>
    </row>
    <row r="26" spans="1:7" s="257" customFormat="1">
      <c r="A26" s="950" t="s">
        <v>795</v>
      </c>
      <c r="B26" s="258" t="s">
        <v>2373</v>
      </c>
      <c r="C26" s="281">
        <f ca="1">ROUND(IF('数据-取费表'!B22&lt;=1,F21*F22*'数据-取费表'!B22/2,F21*(POWER((1+F22),'数据-取费表'!B22/2)-1)),4)</f>
        <v>1E-3</v>
      </c>
      <c r="D26" s="281"/>
      <c r="E26" s="284"/>
      <c r="F26" s="282"/>
      <c r="G26" s="286"/>
    </row>
    <row r="27" spans="1:7" s="257" customFormat="1" ht="24.75">
      <c r="A27" s="298" t="s">
        <v>2374</v>
      </c>
      <c r="B27" s="287" t="s">
        <v>2375</v>
      </c>
      <c r="C27" s="288">
        <f ca="1">C28</f>
        <v>1984397</v>
      </c>
      <c r="D27" s="278">
        <f ca="1">C29</f>
        <v>2.8E-3</v>
      </c>
      <c r="E27" s="279" t="s">
        <v>2376</v>
      </c>
      <c r="F27" s="289">
        <f ca="1">IF(B1="",'数据-取费表'!Q16,INDIRECT("'数据-取费表'!q"&amp;$G$1))</f>
        <v>0.14000000000000001</v>
      </c>
      <c r="G27" s="290" t="s">
        <v>2377</v>
      </c>
    </row>
    <row r="28" spans="1:7" s="257" customFormat="1" ht="13.5" customHeight="1">
      <c r="A28" s="950" t="s">
        <v>791</v>
      </c>
      <c r="B28" s="291" t="s">
        <v>2378</v>
      </c>
      <c r="C28" s="292">
        <f ca="1">ROUND((C5+C19+C20)*F27,0)</f>
        <v>1984397</v>
      </c>
      <c r="D28" s="278"/>
      <c r="E28" s="279"/>
      <c r="F28" s="289"/>
      <c r="G28" s="290"/>
    </row>
    <row r="29" spans="1:7" s="257" customFormat="1" ht="13.5" customHeight="1">
      <c r="A29" s="950" t="s">
        <v>792</v>
      </c>
      <c r="B29" s="291" t="s">
        <v>2379</v>
      </c>
      <c r="C29" s="281">
        <f ca="1">ROUND(C21*F27,4)</f>
        <v>2.8E-3</v>
      </c>
      <c r="D29" s="278"/>
      <c r="E29" s="279"/>
      <c r="F29" s="289"/>
      <c r="G29" s="290"/>
    </row>
    <row r="30" spans="1:7" s="257" customFormat="1" ht="13.5" customHeight="1">
      <c r="A30" s="298" t="s">
        <v>2380</v>
      </c>
      <c r="B30" s="253" t="s">
        <v>2381</v>
      </c>
      <c r="C30" s="278">
        <f>ROUND(F30/(1+'数据-取费表'!C42),4)</f>
        <v>5.33E-2</v>
      </c>
      <c r="D30" s="279" t="s">
        <v>2376</v>
      </c>
      <c r="E30" s="284"/>
      <c r="F30" s="280">
        <f>'数据-取费表'!B41</f>
        <v>5.6000000000000001E-2</v>
      </c>
      <c r="G30" s="277" t="s">
        <v>2382</v>
      </c>
    </row>
    <row r="31" spans="1:7" ht="16.5" customHeight="1">
      <c r="A31" s="252">
        <v>1</v>
      </c>
      <c r="B31" s="253" t="s">
        <v>2383</v>
      </c>
      <c r="C31" s="254">
        <f ca="1">ROUND((C5+C19+C20+C22+C27)/(1-C21-D22-D27-C30),0)</f>
        <v>18987292</v>
      </c>
      <c r="D31" s="273"/>
      <c r="E31" s="254"/>
      <c r="F31" s="293"/>
      <c r="G31" s="277" t="s">
        <v>2384</v>
      </c>
    </row>
    <row r="32" spans="1:7" s="251" customFormat="1" ht="15.75">
      <c r="A32" s="295" t="s">
        <v>2451</v>
      </c>
      <c r="B32" s="296"/>
      <c r="C32" s="296"/>
      <c r="D32" s="296"/>
      <c r="E32" s="296"/>
      <c r="F32" s="296"/>
      <c r="G32" s="297"/>
    </row>
    <row r="33" spans="1:7" s="257" customFormat="1" ht="13.5" customHeight="1">
      <c r="A33" s="298" t="s">
        <v>782</v>
      </c>
      <c r="B33" s="253" t="s">
        <v>2452</v>
      </c>
      <c r="C33" s="299">
        <f ca="1">SUM(C34:C38)</f>
        <v>114000854</v>
      </c>
      <c r="D33" s="275"/>
      <c r="E33" s="255"/>
      <c r="F33" s="284"/>
      <c r="G33" s="277"/>
    </row>
    <row r="34" spans="1:7" s="301" customFormat="1" ht="13.5" customHeight="1">
      <c r="A34" s="950" t="s">
        <v>791</v>
      </c>
      <c r="B34" s="258" t="s">
        <v>2387</v>
      </c>
      <c r="C34" s="263">
        <f ca="1">ROUND(IF(B1="",SUMPRODUCT('数据-取费表'!K6:K14,'数据-取费表'!L6:L14),INDIRECT("'数据-取费表'!l"&amp;$G$1)*INDIRECT("'数据-取费表'!k"&amp;$G$1)+'数据-取费表'!L14*INDIRECT("'数据-取费表'!S"&amp;$G$1)),0)</f>
        <v>102442760</v>
      </c>
      <c r="D34" s="260"/>
      <c r="E34" s="263"/>
      <c r="F34" s="300"/>
      <c r="G34" s="262"/>
    </row>
    <row r="35" spans="1:7" ht="13.5" customHeight="1">
      <c r="A35" s="950" t="s">
        <v>796</v>
      </c>
      <c r="B35" s="258" t="s">
        <v>2389</v>
      </c>
      <c r="C35" s="263">
        <f ca="1">ROUND(C34*F35,0)</f>
        <v>3073283</v>
      </c>
      <c r="D35" s="263"/>
      <c r="E35" s="263"/>
      <c r="F35" s="302">
        <f>'数据-取费表'!B33</f>
        <v>0.03</v>
      </c>
      <c r="G35" s="262" t="s">
        <v>2390</v>
      </c>
    </row>
    <row r="36" spans="1:7" ht="24">
      <c r="A36" s="950" t="s">
        <v>797</v>
      </c>
      <c r="B36" s="258" t="s">
        <v>2391</v>
      </c>
      <c r="C36" s="263">
        <f ca="1">ROUND(IF(B1="",SUM('数据-取费表'!AP6:AP13)*F36,IF(INDIRECT("'数据-取费表'!c"&amp;$G$1)="住宅",INDIRECT("'数据-取费表'!k"&amp;$G$1)*INDIRECT("'数据-取费表'!l"&amp;$G$1)*F36,0)),0)</f>
        <v>0</v>
      </c>
      <c r="D36" s="263"/>
      <c r="E36" s="263"/>
      <c r="F36" s="302">
        <f>'数据-取费表'!B34</f>
        <v>0</v>
      </c>
      <c r="G36" s="303" t="s">
        <v>2392</v>
      </c>
    </row>
    <row r="37" spans="1:7" s="301" customFormat="1" ht="13.5" customHeight="1">
      <c r="A37" s="950" t="s">
        <v>798</v>
      </c>
      <c r="B37" s="258" t="s">
        <v>2393</v>
      </c>
      <c r="C37" s="292">
        <f ca="1">ROUND(E37*D37,0)</f>
        <v>6948170</v>
      </c>
      <c r="D37" s="260">
        <f ca="1">D19</f>
        <v>34740.85</v>
      </c>
      <c r="E37" s="292">
        <f>'数据-取费表'!B35</f>
        <v>200</v>
      </c>
      <c r="F37" s="302"/>
      <c r="G37" s="304"/>
    </row>
    <row r="38" spans="1:7" ht="13.5" customHeight="1">
      <c r="A38" s="950" t="s">
        <v>799</v>
      </c>
      <c r="B38" s="258" t="s">
        <v>2395</v>
      </c>
      <c r="C38" s="263">
        <f ca="1">ROUND(C34*F38,0)</f>
        <v>1536641</v>
      </c>
      <c r="D38" s="263"/>
      <c r="E38" s="263"/>
      <c r="F38" s="302">
        <f>'数据-取费表'!B36</f>
        <v>1.4999999999999999E-2</v>
      </c>
      <c r="G38" s="262" t="s">
        <v>2390</v>
      </c>
    </row>
    <row r="39" spans="1:7" s="257" customFormat="1" ht="13.5" customHeight="1">
      <c r="A39" s="298" t="s">
        <v>2396</v>
      </c>
      <c r="B39" s="253" t="s">
        <v>2397</v>
      </c>
      <c r="C39" s="275">
        <f ca="1">ROUND(C33*F20,0)</f>
        <v>2280017</v>
      </c>
      <c r="D39" s="275"/>
      <c r="E39" s="275"/>
      <c r="F39" s="276"/>
      <c r="G39" s="277" t="s">
        <v>2398</v>
      </c>
    </row>
    <row r="40" spans="1:7" s="257" customFormat="1" ht="13.5" customHeight="1">
      <c r="A40" s="298" t="s">
        <v>2399</v>
      </c>
      <c r="B40" s="253" t="s">
        <v>2400</v>
      </c>
      <c r="C40" s="1727">
        <f>F21</f>
        <v>0.02</v>
      </c>
      <c r="D40" s="279" t="s">
        <v>2401</v>
      </c>
      <c r="E40" s="275"/>
      <c r="F40" s="276"/>
      <c r="G40" s="277" t="s">
        <v>2402</v>
      </c>
    </row>
    <row r="41" spans="1:7" s="257" customFormat="1" ht="13.5" customHeight="1">
      <c r="A41" s="298" t="s">
        <v>2403</v>
      </c>
      <c r="B41" s="253" t="s">
        <v>2404</v>
      </c>
      <c r="C41" s="275">
        <f ca="1">ROUND(SUM(C42:C43),0)</f>
        <v>5523342</v>
      </c>
      <c r="D41" s="278">
        <f ca="1">C44</f>
        <v>1E-3</v>
      </c>
      <c r="E41" s="279" t="s">
        <v>2401</v>
      </c>
      <c r="F41" s="280"/>
      <c r="G41" s="277" t="str">
        <f>IF('数据-取费表'!B22&lt;=1,"单利计息","复利计息")</f>
        <v>复利计息</v>
      </c>
    </row>
    <row r="42" spans="1:7" ht="13.5" customHeight="1">
      <c r="A42" s="950" t="s">
        <v>791</v>
      </c>
      <c r="B42" s="258" t="s">
        <v>2405</v>
      </c>
      <c r="C42" s="281">
        <f ca="1">ROUND(IF('数据-取费表'!B22&lt;=1,C33*F22*'数据-取费表'!B20/2,C33*(POWER((1+F22),'数据-取费表'!B20/2)-1)),0)</f>
        <v>5415041</v>
      </c>
      <c r="D42" s="281"/>
      <c r="E42" s="281"/>
      <c r="F42" s="282"/>
      <c r="G42" s="3234" t="s">
        <v>2453</v>
      </c>
    </row>
    <row r="43" spans="1:7" ht="13.5" customHeight="1">
      <c r="A43" s="950" t="s">
        <v>792</v>
      </c>
      <c r="B43" s="258" t="s">
        <v>2407</v>
      </c>
      <c r="C43" s="281">
        <f ca="1">ROUND(IF('数据-取费表'!B22&lt;=1,C39*F22*'数据-取费表'!B20/2,C39*(POWER((1+F22),'数据-取费表'!B20/2)-1)),0)</f>
        <v>108301</v>
      </c>
      <c r="D43" s="281"/>
      <c r="E43" s="281"/>
      <c r="F43" s="282"/>
      <c r="G43" s="3235"/>
    </row>
    <row r="44" spans="1:7" ht="13.5" customHeight="1">
      <c r="A44" s="950" t="s">
        <v>793</v>
      </c>
      <c r="B44" s="258" t="s">
        <v>2408</v>
      </c>
      <c r="C44" s="281">
        <f ca="1">ROUND(IF('数据-取费表'!B22&lt;=1,C40*F22*'数据-取费表'!B20/2,C40*(POWER((1+F22),'数据-取费表'!B20/2)-1)),4)</f>
        <v>1E-3</v>
      </c>
      <c r="D44" s="281"/>
      <c r="E44" s="281"/>
      <c r="F44" s="282"/>
      <c r="G44" s="3236"/>
    </row>
    <row r="45" spans="1:7" s="257" customFormat="1" ht="13.5" customHeight="1">
      <c r="A45" s="298" t="s">
        <v>2409</v>
      </c>
      <c r="B45" s="287" t="s">
        <v>2375</v>
      </c>
      <c r="C45" s="288">
        <f ca="1">C46</f>
        <v>16279322</v>
      </c>
      <c r="D45" s="278">
        <f ca="1">C47</f>
        <v>2.8E-3</v>
      </c>
      <c r="E45" s="279" t="s">
        <v>2401</v>
      </c>
      <c r="F45" s="289"/>
      <c r="G45" s="290" t="s">
        <v>2410</v>
      </c>
    </row>
    <row r="46" spans="1:7" s="257" customFormat="1" ht="13.5" customHeight="1">
      <c r="A46" s="950" t="s">
        <v>791</v>
      </c>
      <c r="B46" s="291" t="s">
        <v>2411</v>
      </c>
      <c r="C46" s="292">
        <f ca="1">ROUND((C33+C39)*F27,0)</f>
        <v>16279322</v>
      </c>
      <c r="D46" s="306"/>
      <c r="E46" s="279"/>
      <c r="F46" s="289"/>
      <c r="G46" s="290"/>
    </row>
    <row r="47" spans="1:7" s="257" customFormat="1" ht="13.5" customHeight="1">
      <c r="A47" s="950" t="s">
        <v>792</v>
      </c>
      <c r="B47" s="291" t="s">
        <v>2412</v>
      </c>
      <c r="C47" s="281">
        <f ca="1">ROUND(C40*F27,4)</f>
        <v>2.8E-3</v>
      </c>
      <c r="D47" s="306"/>
      <c r="E47" s="279"/>
      <c r="F47" s="289"/>
      <c r="G47" s="290"/>
    </row>
    <row r="48" spans="1:7" s="257" customFormat="1" ht="13.5" customHeight="1">
      <c r="A48" s="298" t="s">
        <v>2374</v>
      </c>
      <c r="B48" s="253" t="s">
        <v>2413</v>
      </c>
      <c r="C48" s="305">
        <f>ROUND(F30/(1+'数据-取费表'!C42),4)</f>
        <v>5.33E-2</v>
      </c>
      <c r="D48" s="279" t="s">
        <v>2401</v>
      </c>
      <c r="E48" s="275"/>
      <c r="F48" s="280"/>
      <c r="G48" s="277" t="s">
        <v>2414</v>
      </c>
    </row>
    <row r="49" spans="1:7" ht="16.5" customHeight="1">
      <c r="A49" s="298" t="s">
        <v>2380</v>
      </c>
      <c r="B49" s="253" t="s">
        <v>2454</v>
      </c>
      <c r="C49" s="275">
        <f ca="1">ROUND((C33+C39+C41+C45)/(1-C40-D41-D45-C48),0)</f>
        <v>149619173</v>
      </c>
      <c r="D49" s="275"/>
      <c r="E49" s="275"/>
      <c r="F49" s="307"/>
      <c r="G49" s="277" t="s">
        <v>2416</v>
      </c>
    </row>
    <row r="50" spans="1:7" s="301" customFormat="1">
      <c r="A50" s="298" t="s">
        <v>2417</v>
      </c>
      <c r="B50" s="253" t="s">
        <v>2418</v>
      </c>
      <c r="C50" s="275"/>
      <c r="D50" s="275"/>
      <c r="E50" s="275"/>
      <c r="F50" s="307">
        <f>IF('数据-取费表'!B24=0,'数据-取费表'!N16,1)</f>
        <v>0.82</v>
      </c>
      <c r="G50" s="290"/>
    </row>
    <row r="51" spans="1:7" ht="16.5" customHeight="1">
      <c r="A51" s="298" t="s">
        <v>2420</v>
      </c>
      <c r="B51" s="253" t="s">
        <v>2455</v>
      </c>
      <c r="C51" s="275">
        <f ca="1">ROUND(C49*F50,0)</f>
        <v>122687722</v>
      </c>
      <c r="D51" s="275"/>
      <c r="E51" s="275"/>
      <c r="F51" s="307"/>
      <c r="G51" s="277" t="s">
        <v>2422</v>
      </c>
    </row>
    <row r="52" spans="1:7" s="251" customFormat="1" ht="16.5" thickBot="1">
      <c r="A52" s="308" t="s">
        <v>2423</v>
      </c>
      <c r="B52" s="309"/>
      <c r="C52" s="310">
        <f ca="1">C31+C51</f>
        <v>141675014</v>
      </c>
      <c r="D52" s="309"/>
      <c r="E52" s="309"/>
      <c r="F52" s="309"/>
      <c r="G52" s="311"/>
    </row>
    <row r="55" spans="1:7" ht="15">
      <c r="B55" s="313" t="s">
        <v>2424</v>
      </c>
      <c r="C55" s="314"/>
    </row>
    <row r="56" spans="1:7">
      <c r="B56" s="316" t="s">
        <v>1509</v>
      </c>
      <c r="C56" s="318">
        <f ca="1">1-C57</f>
        <v>0.13400000000000001</v>
      </c>
    </row>
    <row r="57" spans="1:7">
      <c r="B57" s="316" t="s">
        <v>1510</v>
      </c>
      <c r="C57" s="317">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2456</v>
      </c>
      <c r="B1" s="1580"/>
      <c r="C1" s="1581"/>
      <c r="D1" s="1579"/>
      <c r="E1" s="319"/>
      <c r="F1" s="319"/>
      <c r="G1" s="1580"/>
      <c r="H1" s="319"/>
      <c r="I1" s="319"/>
      <c r="J1" s="319"/>
      <c r="K1" s="319">
        <f>MATCH(C1,'数据-取费表'!A6:A16,0)+5</f>
        <v>8</v>
      </c>
    </row>
    <row r="2" spans="1:33" ht="18" customHeight="1">
      <c r="A2" s="244" t="s">
        <v>2324</v>
      </c>
      <c r="B2" s="247">
        <f ca="1">C32</f>
        <v>-785</v>
      </c>
      <c r="C2" s="319" t="s">
        <v>2457</v>
      </c>
      <c r="D2" s="319"/>
      <c r="E2" s="319"/>
      <c r="F2" s="319"/>
      <c r="G2" s="319"/>
      <c r="H2" s="319"/>
      <c r="I2" s="319"/>
      <c r="J2" s="319"/>
      <c r="K2" s="319"/>
    </row>
    <row r="3" spans="1:33" ht="18" customHeight="1" thickBot="1">
      <c r="A3" s="246" t="s">
        <v>2326</v>
      </c>
      <c r="B3" s="247">
        <f ca="1">ROUND(B2*10000/IF(C1="",'数据-汇总表'!E3,INDIRECT("'数据-取费表'!K"&amp;$K$1)),0)</f>
        <v>-226</v>
      </c>
      <c r="C3" s="319" t="s">
        <v>2458</v>
      </c>
      <c r="D3" s="319"/>
      <c r="E3" s="319"/>
      <c r="F3" s="319"/>
      <c r="G3" s="319"/>
      <c r="H3" s="319"/>
      <c r="I3" s="319"/>
      <c r="J3" s="319"/>
      <c r="K3" s="319"/>
    </row>
    <row r="4" spans="1:33" s="955" customFormat="1" ht="16.5" customHeight="1">
      <c r="A4" s="952" t="s">
        <v>2459</v>
      </c>
      <c r="B4" s="953"/>
      <c r="C4" s="995">
        <f>SUM(C8:K8)</f>
        <v>0</v>
      </c>
      <c r="D4" s="953"/>
      <c r="E4" s="953"/>
      <c r="F4" s="953"/>
      <c r="G4" s="953"/>
      <c r="H4" s="953"/>
      <c r="I4" s="953"/>
      <c r="J4" s="953"/>
      <c r="K4" s="954"/>
    </row>
    <row r="5" spans="1:33" s="959" customFormat="1" ht="24.75">
      <c r="A5" s="956" t="s">
        <v>2460</v>
      </c>
      <c r="B5" s="957" t="s">
        <v>2461</v>
      </c>
      <c r="C5" s="2554" t="s">
        <v>2462</v>
      </c>
      <c r="D5" s="2554" t="s">
        <v>2463</v>
      </c>
      <c r="E5" s="2554" t="s">
        <v>2464</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2468</v>
      </c>
      <c r="B8" s="176"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2478</v>
      </c>
      <c r="C12" s="24">
        <f ca="1">ROUND(C11*F12,0)</f>
        <v>0</v>
      </c>
      <c r="D12" s="972"/>
      <c r="E12" s="374"/>
      <c r="F12" s="975">
        <f>'数据-取费表'!B33</f>
        <v>0.03</v>
      </c>
      <c r="G12" s="8" t="s">
        <v>2479</v>
      </c>
      <c r="H12" s="967"/>
      <c r="I12" s="967"/>
      <c r="J12" s="967"/>
      <c r="K12" s="968"/>
    </row>
    <row r="13" spans="1:33" s="974" customFormat="1" ht="13.5" customHeight="1">
      <c r="A13" s="970" t="s">
        <v>1332</v>
      </c>
      <c r="B13" s="971" t="s">
        <v>2480</v>
      </c>
      <c r="C13" s="24">
        <f ca="1">ROUND(IF(C1="",SUMIF('数据-取费表'!C:C,"住宅",'数据-取费表'!P:P)*F13,IF(INDIRECT("'数据-取费表'!c"&amp;$K$1)="住宅",INDIRECT("'数据-取费表'!P"&amp;$K$1)*F13,0)),0)</f>
        <v>0</v>
      </c>
      <c r="D13" s="1032"/>
      <c r="E13" s="374"/>
      <c r="F13" s="975">
        <f>'数据-取费表'!B34</f>
        <v>0</v>
      </c>
      <c r="G13" s="8" t="s">
        <v>2481</v>
      </c>
      <c r="H13" s="967"/>
      <c r="I13" s="967"/>
      <c r="J13" s="967"/>
      <c r="K13" s="968"/>
    </row>
    <row r="14" spans="1:33" s="976" customFormat="1" ht="13.5" customHeight="1">
      <c r="A14" s="970" t="s">
        <v>1333</v>
      </c>
      <c r="B14" s="971" t="s">
        <v>2482</v>
      </c>
      <c r="C14" s="24">
        <f ca="1">ROUND(D14*E14*F11/10000,0)</f>
        <v>0</v>
      </c>
      <c r="D14" s="1032">
        <f ca="1">IF(C1="",'数据-汇总表'!E3,INDIRECT("'数据-取费表'!K"&amp;$K$1)+INDIRECT("'数据-取费表'!S"&amp;$K$1))</f>
        <v>34740.85</v>
      </c>
      <c r="E14" s="24">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0</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34740.85</v>
      </c>
      <c r="E17" s="24">
        <f>'数据-取费表'!B32</f>
        <v>0</v>
      </c>
      <c r="F17" s="977"/>
      <c r="G17" s="139"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4">
        <f ca="1">C19+C20-IF(C1="",'数据-取费表'!B29,IF(G18="已全部缴纳",C19+C20,H18))</f>
        <v>695</v>
      </c>
      <c r="D18" s="1032"/>
      <c r="E18" s="24"/>
      <c r="F18" s="975"/>
      <c r="G18" s="2556"/>
      <c r="H18" s="1576"/>
      <c r="I18" s="2557"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2492</v>
      </c>
      <c r="C20" s="24">
        <f ca="1">ROUND(D20*E20/10000,0)</f>
        <v>695</v>
      </c>
      <c r="D20" s="1032">
        <f ca="1">IF(C1="",'数据-汇总表'!E6,IF(INDIRECT("'数据-取费表'!c"&amp;$K$1)="住宅",INDIRECT("'数据-取费表'!s"&amp;$K$1),INDIRECT("'数据-取费表'!k"&amp;$K$1)+INDIRECT("'数据-取费表'!s"&amp;$K$1)))</f>
        <v>34740.85</v>
      </c>
      <c r="E20" s="24">
        <f>'数据-取费表'!B28</f>
        <v>200</v>
      </c>
      <c r="F20" s="975"/>
      <c r="G20" s="15"/>
      <c r="H20" s="980"/>
      <c r="I20" s="980"/>
      <c r="J20" s="980"/>
      <c r="K20" s="981"/>
    </row>
    <row r="21" spans="1:33" s="974" customFormat="1" ht="13.5" customHeight="1">
      <c r="A21" s="960" t="s">
        <v>802</v>
      </c>
      <c r="B21" s="984" t="s">
        <v>2493</v>
      </c>
      <c r="C21" s="985">
        <f ca="1">C16+C17+C18</f>
        <v>695</v>
      </c>
      <c r="D21" s="986"/>
      <c r="E21" s="324"/>
      <c r="F21" s="324"/>
      <c r="G21" s="139" t="s">
        <v>2494</v>
      </c>
      <c r="H21" s="978"/>
      <c r="I21" s="978"/>
      <c r="J21" s="978"/>
      <c r="K21" s="979"/>
    </row>
    <row r="22" spans="1:33" s="974" customFormat="1" ht="13.5" customHeight="1">
      <c r="A22" s="960" t="s">
        <v>2466</v>
      </c>
      <c r="B22" s="984" t="s">
        <v>2495</v>
      </c>
      <c r="C22" s="985">
        <f ca="1">ROUND(C21*F22,0)</f>
        <v>14</v>
      </c>
      <c r="D22" s="324"/>
      <c r="E22" s="324"/>
      <c r="F22" s="987">
        <f>'数据-取费表'!B37</f>
        <v>0.02</v>
      </c>
      <c r="G22" s="8" t="s">
        <v>2496</v>
      </c>
      <c r="H22" s="967"/>
      <c r="I22" s="967"/>
      <c r="J22" s="967"/>
      <c r="K22" s="968"/>
    </row>
    <row r="23" spans="1:33" s="974" customFormat="1" ht="13.5" customHeight="1">
      <c r="A23" s="960" t="s">
        <v>2468</v>
      </c>
      <c r="B23" s="984" t="s">
        <v>2497</v>
      </c>
      <c r="C23" s="985">
        <f ca="1">ROUND(C4*F23*F11,0)</f>
        <v>0</v>
      </c>
      <c r="D23" s="324"/>
      <c r="E23" s="324"/>
      <c r="F23" s="987">
        <f>'数据-取费表'!B38</f>
        <v>0.02</v>
      </c>
      <c r="G23" s="8" t="s">
        <v>2498</v>
      </c>
      <c r="H23" s="967"/>
      <c r="I23" s="967"/>
      <c r="J23" s="967"/>
      <c r="K23" s="968"/>
    </row>
    <row r="24" spans="1:33" s="974" customFormat="1" ht="13.5" customHeight="1">
      <c r="A24" s="960" t="s">
        <v>2499</v>
      </c>
      <c r="B24" s="984" t="s">
        <v>2500</v>
      </c>
      <c r="C24" s="323">
        <f>ROUND(F24/(1+'数据-取费表'!C42),4)</f>
        <v>2.9000000000000001E-2</v>
      </c>
      <c r="D24" s="324" t="s">
        <v>15</v>
      </c>
      <c r="E24" s="324"/>
      <c r="F24" s="987">
        <f>IF(项目基本情况!B8="出让",0,'数据-取费表'!B48+'数据-取费表'!B49)</f>
        <v>3.0499999999999999E-2</v>
      </c>
      <c r="G24" s="8" t="s">
        <v>2501</v>
      </c>
      <c r="H24" s="989"/>
      <c r="I24" s="989"/>
      <c r="J24" s="989"/>
      <c r="K24" s="990"/>
    </row>
    <row r="25" spans="1:33" s="974" customFormat="1" ht="13.5" customHeight="1">
      <c r="A25" s="960" t="s">
        <v>2502</v>
      </c>
      <c r="B25" s="986" t="s">
        <v>2503</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2506</v>
      </c>
      <c r="B28" s="2559" t="s">
        <v>2507</v>
      </c>
      <c r="C28" s="330">
        <f ca="1">C30</f>
        <v>99</v>
      </c>
      <c r="D28" s="323">
        <f ca="1">C29</f>
        <v>0</v>
      </c>
      <c r="E28" s="325" t="s">
        <v>15</v>
      </c>
      <c r="F28" s="331">
        <f ca="1">IF(C1="",'数据-取费表'!Q16,INDIRECT("'数据-取费表'!q"&amp;$K$1))</f>
        <v>0.14000000000000001</v>
      </c>
      <c r="G28" s="988"/>
      <c r="H28" s="989"/>
      <c r="I28" s="989"/>
      <c r="J28" s="989"/>
      <c r="K28" s="990"/>
    </row>
    <row r="29" spans="1:33" s="334" customFormat="1" ht="13.5" customHeight="1">
      <c r="A29" s="970" t="s">
        <v>803</v>
      </c>
      <c r="B29" s="993" t="s">
        <v>2508</v>
      </c>
      <c r="C29" s="327">
        <f ca="1">ROUND((1+C24)*F28*'数据-取费表'!B24/'数据-取费表'!B20,4)</f>
        <v>0</v>
      </c>
      <c r="D29" s="327"/>
      <c r="E29" s="328"/>
      <c r="F29" s="333"/>
      <c r="G29" s="139" t="s">
        <v>2509</v>
      </c>
      <c r="H29" s="978"/>
      <c r="I29" s="978"/>
      <c r="J29" s="978"/>
      <c r="K29" s="979"/>
    </row>
    <row r="30" spans="1:33" s="334" customFormat="1" ht="13.5" customHeight="1">
      <c r="A30" s="970" t="s">
        <v>804</v>
      </c>
      <c r="B30" s="993" t="s">
        <v>2510</v>
      </c>
      <c r="C30" s="335">
        <f ca="1">ROUND((C21+C22+C23)*F28,0)</f>
        <v>99</v>
      </c>
      <c r="D30" s="327"/>
      <c r="E30" s="328"/>
      <c r="F30" s="333"/>
      <c r="G30" s="139"/>
      <c r="H30" s="978"/>
      <c r="I30" s="978"/>
      <c r="J30" s="978"/>
      <c r="K30" s="979"/>
    </row>
    <row r="31" spans="1:33" s="974" customFormat="1" ht="13.5" customHeight="1" thickBot="1">
      <c r="A31" s="2560" t="s">
        <v>2511</v>
      </c>
      <c r="B31" s="1004" t="s">
        <v>2512</v>
      </c>
      <c r="C31" s="1005">
        <f>ROUND(C4*F31/(1+'数据-取费表'!C42),0)</f>
        <v>0</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-785</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E22" sqref="E2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t="s">
        <v>1373</v>
      </c>
      <c r="D1" s="1819" t="s">
        <v>70</v>
      </c>
      <c r="E1" s="1820" t="s">
        <v>1383</v>
      </c>
      <c r="F1" s="1282">
        <f ca="1">J53</f>
        <v>26.56</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1511</v>
      </c>
      <c r="B2" s="1843">
        <f ca="1">C40+J29+L46</f>
        <v>77958</v>
      </c>
      <c r="C2" s="1844" t="s">
        <v>1512</v>
      </c>
      <c r="D2" s="1844"/>
      <c r="E2" s="1845"/>
      <c r="F2" s="1846"/>
      <c r="G2" s="1847"/>
      <c r="H2" s="1839"/>
      <c r="I2" s="1839"/>
      <c r="J2" s="1839"/>
      <c r="K2" s="1840"/>
      <c r="L2" s="1839"/>
      <c r="M2" s="1839"/>
    </row>
    <row r="3" spans="1:37" ht="18" customHeight="1" thickBot="1">
      <c r="A3" s="1848" t="s">
        <v>1513</v>
      </c>
      <c r="B3" s="1849">
        <f ca="1">IF(ISERROR(B2*10000/F43),0,ROUND(B2*10000/F43,0))</f>
        <v>25002</v>
      </c>
      <c r="C3" s="1844" t="s">
        <v>1514</v>
      </c>
      <c r="D3" s="1844"/>
      <c r="E3" s="1845"/>
      <c r="F3" s="1846"/>
      <c r="G3" s="1847"/>
      <c r="H3" s="743"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5374</v>
      </c>
      <c r="D5" s="1821" t="s">
        <v>1398</v>
      </c>
      <c r="E5" s="1292"/>
      <c r="F5" s="1293"/>
      <c r="G5" s="1850"/>
      <c r="H5" s="343">
        <v>1</v>
      </c>
      <c r="I5" s="344" t="s">
        <v>1397</v>
      </c>
      <c r="J5" s="1291">
        <f ca="1">J6+J10+J12</f>
        <v>0</v>
      </c>
      <c r="K5" s="1821" t="s">
        <v>1398</v>
      </c>
      <c r="L5" s="1292"/>
      <c r="M5" s="1293"/>
    </row>
    <row r="6" spans="1:37" ht="18" customHeight="1">
      <c r="A6" s="1290" t="s">
        <v>1032</v>
      </c>
      <c r="B6" s="3239" t="s">
        <v>1399</v>
      </c>
      <c r="C6" s="1295">
        <f ca="1">ROUND(F6*F8*F7*(1-F9)/10000,0)</f>
        <v>5367</v>
      </c>
      <c r="D6" s="163" t="s">
        <v>3028</v>
      </c>
      <c r="E6" s="346" t="s">
        <v>1401</v>
      </c>
      <c r="F6" s="347">
        <f ca="1">INDIRECT("'数据-取费表'!u"&amp;$G$1)</f>
        <v>5.24</v>
      </c>
      <c r="G6" s="1850"/>
      <c r="H6" s="1290" t="s">
        <v>1032</v>
      </c>
      <c r="I6" s="3239" t="s">
        <v>1399</v>
      </c>
      <c r="J6" s="345">
        <f ca="1">ROUND(M6*M8*M7*(1-M9)/10000,0)</f>
        <v>0</v>
      </c>
      <c r="K6" s="163" t="s">
        <v>3027</v>
      </c>
      <c r="L6" s="346" t="s">
        <v>1401</v>
      </c>
      <c r="M6" s="347">
        <f ca="1">INDIRECT("'数据-取费表'!z"&amp;$G$1)</f>
        <v>0</v>
      </c>
    </row>
    <row r="7" spans="1:37" ht="18" customHeight="1">
      <c r="A7" s="1294"/>
      <c r="B7" s="3240"/>
      <c r="C7" s="1296"/>
      <c r="D7" s="351"/>
      <c r="E7" s="1297" t="s">
        <v>1402</v>
      </c>
      <c r="F7" s="347">
        <f ca="1">IF(INDIRECT("'数据-取费表'!ah"&amp;$G$1)="",INDIRECT("'数据-取费表'!k"&amp;$G$1),INDIRECT("'数据-取费表'!ah"&amp;$G$1))</f>
        <v>31181.27</v>
      </c>
      <c r="G7" s="1850"/>
      <c r="H7" s="348"/>
      <c r="I7" s="3240"/>
      <c r="J7" s="350"/>
      <c r="K7" s="351"/>
      <c r="L7" s="346" t="s">
        <v>1402</v>
      </c>
      <c r="M7" s="347">
        <f ca="1">F7</f>
        <v>31181.27</v>
      </c>
    </row>
    <row r="8" spans="1:37" ht="18" customHeight="1">
      <c r="A8" s="348"/>
      <c r="B8" s="3240"/>
      <c r="C8" s="350"/>
      <c r="D8" s="351"/>
      <c r="E8" s="346" t="s">
        <v>1403</v>
      </c>
      <c r="F8" s="347">
        <f ca="1">INDIRECT("'数据-取费表'!ai"&amp;$G$1)</f>
        <v>365</v>
      </c>
      <c r="G8" s="1850"/>
      <c r="H8" s="348"/>
      <c r="I8" s="3240"/>
      <c r="J8" s="350"/>
      <c r="K8" s="351"/>
      <c r="L8" s="346" t="s">
        <v>1403</v>
      </c>
      <c r="M8" s="347">
        <f ca="1">INDIRECT("'数据-取费表'!ai"&amp;$G$1)</f>
        <v>365</v>
      </c>
    </row>
    <row r="9" spans="1:37" ht="18" customHeight="1">
      <c r="A9" s="348"/>
      <c r="B9" s="3241"/>
      <c r="C9" s="350"/>
      <c r="D9" s="351"/>
      <c r="E9" s="346" t="s">
        <v>1404</v>
      </c>
      <c r="F9" s="356">
        <f ca="1">INDIRECT("'数据-取费表'!w"&amp;$G$1)</f>
        <v>0.1</v>
      </c>
      <c r="G9" s="1850"/>
      <c r="H9" s="348"/>
      <c r="I9" s="3241"/>
      <c r="J9" s="350"/>
      <c r="K9" s="351"/>
      <c r="L9" s="357" t="s">
        <v>1404</v>
      </c>
      <c r="M9" s="358">
        <f ca="1">INDIRECT("'数据-取费表'!ab"&amp;$G$1)</f>
        <v>0</v>
      </c>
    </row>
    <row r="10" spans="1:37" ht="18" customHeight="1">
      <c r="A10" s="1290" t="s">
        <v>1036</v>
      </c>
      <c r="B10" s="1822" t="s">
        <v>1405</v>
      </c>
      <c r="C10" s="360">
        <f ca="1">ROUND(IF(F10="押一",C6/12*F11,IF(F10="押二",C6/12*2*F11,IF(F10="押三",C6/12*3*F11,C11*F11))),0)</f>
        <v>7</v>
      </c>
      <c r="D10" s="1823" t="s">
        <v>3037</v>
      </c>
      <c r="E10" s="357" t="s">
        <v>1406</v>
      </c>
      <c r="F10" s="1365" t="s">
        <v>3212</v>
      </c>
      <c r="G10" s="1850"/>
      <c r="H10" s="1290" t="s">
        <v>1036</v>
      </c>
      <c r="I10" s="1822" t="s">
        <v>1405</v>
      </c>
      <c r="J10" s="345">
        <f ca="1">ROUND(IF(M10="押一",J6/12*M11,IF(M10="押二",J6/12*2*M11,IF(M10="押三",J6/12*3*M11,J11*M11))),0)</f>
        <v>0</v>
      </c>
      <c r="K10" s="1823" t="s">
        <v>3036</v>
      </c>
      <c r="L10" s="357" t="s">
        <v>1406</v>
      </c>
      <c r="M10" s="1365" t="s">
        <v>1407</v>
      </c>
    </row>
    <row r="11" spans="1:37" ht="18" customHeight="1">
      <c r="A11" s="352"/>
      <c r="B11" s="1824" t="s">
        <v>1384</v>
      </c>
      <c r="C11" s="1177"/>
      <c r="D11" s="1825"/>
      <c r="E11" s="357" t="s">
        <v>1408</v>
      </c>
      <c r="F11" s="358">
        <f ca="1">'数据-取费表'!B39</f>
        <v>1.4999999999999999E-2</v>
      </c>
      <c r="G11" s="1850"/>
      <c r="H11" s="1298"/>
      <c r="I11" s="1824" t="s">
        <v>1384</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11288</v>
      </c>
      <c r="D13" s="1330" t="s">
        <v>1411</v>
      </c>
      <c r="E13" s="1330" t="s">
        <v>1412</v>
      </c>
      <c r="F13" s="1331">
        <f ca="1">INDIRECT("'数据-取费表'!y"&amp;$G$1)</f>
        <v>0.82</v>
      </c>
      <c r="G13" s="1850"/>
      <c r="H13" s="1328">
        <v>2</v>
      </c>
      <c r="I13" s="1329" t="s">
        <v>1410</v>
      </c>
      <c r="J13" s="1289">
        <f ca="1">ROUND(J14*J15,0)</f>
        <v>0</v>
      </c>
      <c r="K13" s="1336" t="s">
        <v>1411</v>
      </c>
      <c r="L13" s="1851"/>
      <c r="M13" s="1852"/>
    </row>
    <row r="14" spans="1:37" ht="18" customHeight="1">
      <c r="A14" s="1200" t="s">
        <v>1031</v>
      </c>
      <c r="B14" s="346" t="s">
        <v>1413</v>
      </c>
      <c r="C14" s="362">
        <f ca="1">INDIRECT("'数据-取费表'!m"&amp;$G$1)+INDIRECT("'数据-取费表'!t"&amp;$G$1)</f>
        <v>9354</v>
      </c>
      <c r="D14" s="1799" t="s">
        <v>1414</v>
      </c>
      <c r="E14" s="1793"/>
      <c r="F14" s="363"/>
      <c r="G14" s="1850"/>
      <c r="H14" s="1200" t="s">
        <v>1032</v>
      </c>
      <c r="I14" s="346" t="s">
        <v>1415</v>
      </c>
      <c r="J14" s="24">
        <f ca="1">C29</f>
        <v>13766</v>
      </c>
      <c r="K14" s="15"/>
      <c r="L14" s="978"/>
      <c r="M14" s="979"/>
    </row>
    <row r="15" spans="1:37" s="1857" customFormat="1" ht="18" customHeight="1" thickBot="1">
      <c r="A15" s="1200" t="s">
        <v>1033</v>
      </c>
      <c r="B15" s="346" t="s">
        <v>1416</v>
      </c>
      <c r="C15" s="24">
        <f ca="1">ROUND(C14*F15,0)</f>
        <v>281</v>
      </c>
      <c r="D15" s="364" t="s">
        <v>1417</v>
      </c>
      <c r="E15" s="364" t="s">
        <v>1418</v>
      </c>
      <c r="F15" s="365">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324</v>
      </c>
      <c r="K16" s="1336" t="s">
        <v>1421</v>
      </c>
      <c r="L16" s="1337"/>
      <c r="M16" s="1293"/>
    </row>
    <row r="17" spans="1:37" s="1857" customFormat="1" ht="18" customHeight="1">
      <c r="A17" s="1200" t="s">
        <v>1386</v>
      </c>
      <c r="B17" s="346" t="s">
        <v>1422</v>
      </c>
      <c r="C17" s="24">
        <f ca="1">ROUND(F17*(F43+INDIRECT("'数据-取费表'!S"&amp;$G$1))/10000,0)</f>
        <v>624</v>
      </c>
      <c r="D17" s="346" t="s">
        <v>1423</v>
      </c>
      <c r="E17" s="346" t="s">
        <v>1424</v>
      </c>
      <c r="F17" s="26">
        <f>'数据-取费表'!B35</f>
        <v>200</v>
      </c>
      <c r="G17" s="1853"/>
      <c r="H17" s="1200" t="s">
        <v>1032</v>
      </c>
      <c r="I17" s="346" t="s">
        <v>1425</v>
      </c>
      <c r="J17" s="24">
        <f ca="1">ROUND(IF(项目基本情况!B11="自然人",J5*M17,J18+J19+J20),1)</f>
        <v>117</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140</v>
      </c>
      <c r="D18" s="346" t="s">
        <v>1417</v>
      </c>
      <c r="E18" s="346" t="s">
        <v>1418</v>
      </c>
      <c r="F18" s="366">
        <f>'数据-取费表'!B36</f>
        <v>1.4999999999999999E-2</v>
      </c>
      <c r="G18" s="1853"/>
      <c r="H18" s="1200" t="s">
        <v>1031</v>
      </c>
      <c r="I18" s="346" t="s">
        <v>1429</v>
      </c>
      <c r="J18" s="24">
        <f ca="1">ROUND(J5*M18/(1+'数据-取费表'!C42),2)</f>
        <v>0</v>
      </c>
      <c r="K18" s="1797" t="s">
        <v>1430</v>
      </c>
      <c r="L18" s="346" t="s">
        <v>1418</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10399</v>
      </c>
      <c r="D19" s="139" t="s">
        <v>1432</v>
      </c>
      <c r="E19" s="1817"/>
      <c r="F19" s="26"/>
      <c r="G19" s="1850"/>
      <c r="H19" s="1200" t="s">
        <v>1033</v>
      </c>
      <c r="I19" s="346" t="s">
        <v>1433</v>
      </c>
      <c r="J19" s="24">
        <f ca="1">IF(K19="按租金收入计税",ROUND(J5*M19,2),ROUND(C29*M19*0.7,2))</f>
        <v>115.63</v>
      </c>
      <c r="K19" s="1827" t="s">
        <v>1434</v>
      </c>
      <c r="L19" s="346" t="s">
        <v>1418</v>
      </c>
      <c r="M19" s="366">
        <f>IF(K19="按租金收入计税",'数据-取费表'!B51,'数据-取费表'!B50)</f>
        <v>1.2E-2</v>
      </c>
    </row>
    <row r="20" spans="1:37" s="1857" customFormat="1" ht="18" customHeight="1">
      <c r="A20" s="1200" t="s">
        <v>1036</v>
      </c>
      <c r="B20" s="346" t="s">
        <v>1435</v>
      </c>
      <c r="C20" s="24">
        <f ca="1">ROUND(C19*F20,0)</f>
        <v>208</v>
      </c>
      <c r="D20" s="368" t="s">
        <v>1436</v>
      </c>
      <c r="E20" s="346" t="s">
        <v>1418</v>
      </c>
      <c r="F20" s="366">
        <f>'数据-取费表'!B37</f>
        <v>0.02</v>
      </c>
      <c r="G20" s="1853"/>
      <c r="H20" s="1200" t="s">
        <v>1385</v>
      </c>
      <c r="I20" s="163" t="s">
        <v>1437</v>
      </c>
      <c r="J20" s="25">
        <f ca="1">ROUND(M20*M21/10000,2)</f>
        <v>1.37</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18</v>
      </c>
      <c r="D21" s="368" t="s">
        <v>1441</v>
      </c>
      <c r="E21" s="346" t="s">
        <v>1442</v>
      </c>
      <c r="F21" s="366">
        <f>'数据-取费表'!B38</f>
        <v>0.02</v>
      </c>
      <c r="G21" s="1853"/>
      <c r="H21" s="371"/>
      <c r="I21" s="355"/>
      <c r="J21" s="29"/>
      <c r="K21" s="372"/>
      <c r="L21" s="346" t="s">
        <v>1443</v>
      </c>
      <c r="M21" s="347">
        <f ca="1">INDIRECT("'数据-取费表'!r"&amp;$G$1)</f>
        <v>9142.39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39" t="str">
        <f>IF(F23&lt;=1,"单利计息。","复利计息。")&amp;"建造成本、管理费用、销售费用产生的利息。"</f>
        <v>复利计息。建造成本、管理费用、销售费用产生的利息。</v>
      </c>
      <c r="E22" s="1817"/>
      <c r="F22" s="26"/>
      <c r="G22" s="1850"/>
      <c r="H22" s="1200" t="s">
        <v>1036</v>
      </c>
      <c r="I22" s="346" t="s">
        <v>1445</v>
      </c>
      <c r="J22" s="24">
        <f ca="1">ROUND(J14*M22,1)</f>
        <v>206.5</v>
      </c>
      <c r="K22" s="1797" t="s">
        <v>1446</v>
      </c>
      <c r="L22" s="346" t="s">
        <v>1418</v>
      </c>
      <c r="M22" s="373">
        <f ca="1">INDIRECT("'数据-取费表'!Ak"&amp;$G$1)</f>
        <v>1.4999999999999999E-2</v>
      </c>
    </row>
    <row r="23" spans="1:37" s="1857" customFormat="1" ht="18" customHeight="1">
      <c r="A23" s="1200" t="s">
        <v>1031</v>
      </c>
      <c r="B23" s="346" t="s">
        <v>1447</v>
      </c>
      <c r="C23" s="24">
        <f ca="1">IF('数据-取费表'!B22&lt;=1,ROUND(C19*F24*F23/2,0)+ROUND(C20*F24*F23/2,0),ROUND(C19*(POWER((1+F24),F23/2)-1),0)+ROUND(C20*(POWER((1+F24),F23/2)-1),0))</f>
        <v>504</v>
      </c>
      <c r="D23" s="374" t="str">
        <f>IF(F23&lt;=1,"(建造成本+管理费用)×利率×(建设周期÷2)","(建造成本+管理费用)×((1+利率)^(建设周期÷2)-1)")</f>
        <v>(建造成本+管理费用)×((1+利率)^(建设周期÷2)-1)</v>
      </c>
      <c r="E23" s="346" t="s">
        <v>1448</v>
      </c>
      <c r="F23" s="370">
        <f>'数据-取费表'!B20</f>
        <v>2</v>
      </c>
      <c r="G23" s="1853"/>
      <c r="H23" s="1200" t="s">
        <v>1072</v>
      </c>
      <c r="I23" s="346" t="s">
        <v>1449</v>
      </c>
      <c r="J23" s="24">
        <f ca="1">ROUND(J13*M23,1)</f>
        <v>0</v>
      </c>
      <c r="K23" s="1797" t="s">
        <v>1450</v>
      </c>
      <c r="L23" s="346" t="s">
        <v>1451</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6" t="s">
        <v>1457</v>
      </c>
      <c r="C25" s="24"/>
      <c r="D25" s="139" t="s">
        <v>1458</v>
      </c>
      <c r="E25" s="1817"/>
      <c r="F25" s="26"/>
      <c r="G25" s="1850"/>
      <c r="H25" s="1328" t="s">
        <v>1028</v>
      </c>
      <c r="I25" s="1343" t="s">
        <v>1459</v>
      </c>
      <c r="J25" s="354">
        <f ca="1">J5-J16</f>
        <v>-324</v>
      </c>
      <c r="K25" s="1344" t="s">
        <v>1460</v>
      </c>
      <c r="L25" s="1345"/>
      <c r="M25" s="1346"/>
    </row>
    <row r="26" spans="1:37">
      <c r="A26" s="1200" t="s">
        <v>1031</v>
      </c>
      <c r="B26" s="346" t="s">
        <v>1461</v>
      </c>
      <c r="C26" s="24">
        <f ca="1">ROUND((C19+C20)*F26,0)</f>
        <v>1591</v>
      </c>
      <c r="D26" s="368" t="s">
        <v>1462</v>
      </c>
      <c r="E26" s="357" t="s">
        <v>1463</v>
      </c>
      <c r="F26" s="356">
        <f ca="1">INDIRECT("'数据-取费表'!q"&amp;$G$1)</f>
        <v>0.15</v>
      </c>
      <c r="G26" s="1850"/>
      <c r="H26" s="343" t="s">
        <v>1029</v>
      </c>
      <c r="I26" s="344" t="s">
        <v>1464</v>
      </c>
      <c r="J26" s="345">
        <f ca="1">IF(J5&lt;&gt;0,ROUND(J25*(1-((1+M28)/(1+M26))^M27)/(M26-M28),0),0)</f>
        <v>0</v>
      </c>
      <c r="K26" s="369" t="s">
        <v>1465</v>
      </c>
      <c r="L26" s="346" t="s">
        <v>1466</v>
      </c>
      <c r="M26" s="356">
        <f ca="1">INDIRECT("'数据-取费表'!I"&amp;$G$1)</f>
        <v>5.5E-2</v>
      </c>
    </row>
    <row r="27" spans="1:37" ht="18" customHeight="1">
      <c r="A27" s="1200" t="s">
        <v>1033</v>
      </c>
      <c r="B27" s="346" t="s">
        <v>1467</v>
      </c>
      <c r="C27" s="24">
        <f ca="1">ROUND(F21*F26,4)</f>
        <v>3.0000000000000001E-3</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5.33E-2</v>
      </c>
      <c r="D28" s="368" t="s">
        <v>1472</v>
      </c>
      <c r="E28" s="346" t="s">
        <v>1418</v>
      </c>
      <c r="F28" s="366">
        <f>'数据-取费表'!B41</f>
        <v>5.6000000000000001E-2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13766</v>
      </c>
      <c r="D29" s="1341"/>
      <c r="E29" s="1339"/>
      <c r="F29" s="1342"/>
      <c r="G29" s="1853"/>
      <c r="H29" s="379" t="s">
        <v>1030</v>
      </c>
      <c r="I29" s="380" t="s">
        <v>1475</v>
      </c>
      <c r="J29" s="381">
        <f ca="1">ROUND(J26/(1+F40)^F41,0)</f>
        <v>0</v>
      </c>
      <c r="K29" s="382" t="s">
        <v>1476</v>
      </c>
      <c r="L29" s="383"/>
      <c r="M29" s="384">
        <f ca="1">INDIRECT("'数据-取费表'!k"&amp;$G$1)</f>
        <v>31181.27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1237</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ROUND(IF(项目基本情况!B11="自然人",C5*F31,C32+C33+C34),1)</f>
        <v>932.9</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IF(项目基本情况!B11="自然人","——",ROUND(C5*F32/(1+'数据-取费表'!C42),2))</f>
        <v>286.61</v>
      </c>
      <c r="D32" s="1797" t="s">
        <v>1430</v>
      </c>
      <c r="E32" s="346" t="s">
        <v>1418</v>
      </c>
      <c r="F32" s="376">
        <f>'数据-取费表'!B41</f>
        <v>5.6000000000000001E-2</v>
      </c>
      <c r="G32" s="1850"/>
      <c r="H32" s="744"/>
      <c r="I32" s="745"/>
      <c r="J32" s="746"/>
      <c r="K32" s="747"/>
      <c r="L32" s="748"/>
      <c r="M32" s="749"/>
    </row>
    <row r="33" spans="1:18" ht="18" customHeight="1">
      <c r="A33" s="1200" t="s">
        <v>1033</v>
      </c>
      <c r="B33" s="346" t="s">
        <v>1433</v>
      </c>
      <c r="C33" s="24">
        <f ca="1">IF(项目基本情况!B11="自然人","——",IF(D33="按租金收入计税",ROUND(C5*F33,2),IF(D33="按房产原值计税",ROUND(C29*F33*0.7,2),INDIRECT("'数据-取费表'!Aj"&amp;$G$1))))</f>
        <v>644.88</v>
      </c>
      <c r="D33" s="1827" t="s">
        <v>3213</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5">
        <f ca="1">IF(项目基本情况!B11="自然人","——",ROUND(F34*F35/10000,2))</f>
        <v>1.37</v>
      </c>
      <c r="D34" s="369" t="s">
        <v>1438</v>
      </c>
      <c r="E34" s="346" t="s">
        <v>1439</v>
      </c>
      <c r="F34" s="370">
        <f>'数据-取费表'!B52</f>
        <v>1.5</v>
      </c>
      <c r="G34" s="1850"/>
      <c r="H34" s="744"/>
      <c r="I34" s="1859"/>
      <c r="J34" s="1860"/>
      <c r="K34" s="1862"/>
      <c r="L34" s="1863"/>
      <c r="M34" s="1863"/>
    </row>
    <row r="35" spans="1:18" ht="18" customHeight="1">
      <c r="A35" s="1352"/>
      <c r="B35" s="1350"/>
      <c r="C35" s="29"/>
      <c r="D35" s="372"/>
      <c r="E35" s="346" t="s">
        <v>1443</v>
      </c>
      <c r="F35" s="347">
        <f ca="1">INDIRECT("'数据-取费表'!r"&amp;$G$1)</f>
        <v>9142.39</v>
      </c>
      <c r="G35" s="1850"/>
      <c r="H35" s="744"/>
      <c r="I35" s="1859"/>
      <c r="J35" s="1860"/>
      <c r="K35" s="1861"/>
      <c r="L35" s="1858"/>
      <c r="M35" s="1858"/>
    </row>
    <row r="36" spans="1:18" ht="18" customHeight="1">
      <c r="A36" s="1351" t="s">
        <v>1036</v>
      </c>
      <c r="B36" s="346" t="s">
        <v>1445</v>
      </c>
      <c r="C36" s="24">
        <f ca="1">ROUND(C29*F36,1)</f>
        <v>206.5</v>
      </c>
      <c r="D36" s="1797" t="s">
        <v>1478</v>
      </c>
      <c r="E36" s="346" t="s">
        <v>1418</v>
      </c>
      <c r="F36" s="373">
        <f ca="1">INDIRECT("'数据-取费表'!Ak"&amp;$G$1)</f>
        <v>1.4999999999999999E-2</v>
      </c>
      <c r="G36" s="1850"/>
      <c r="H36" s="1858"/>
      <c r="I36" s="1859"/>
      <c r="J36" s="1860"/>
      <c r="K36" s="750"/>
      <c r="L36" s="1858"/>
      <c r="M36" s="1858"/>
    </row>
    <row r="37" spans="1:18" ht="18" customHeight="1">
      <c r="A37" s="1200" t="s">
        <v>1072</v>
      </c>
      <c r="B37" s="346" t="s">
        <v>1449</v>
      </c>
      <c r="C37" s="24">
        <f ca="1">ROUND(C13*F37,1)</f>
        <v>16.899999999999999</v>
      </c>
      <c r="D37" s="1797" t="s">
        <v>1450</v>
      </c>
      <c r="E37" s="346" t="s">
        <v>1451</v>
      </c>
      <c r="F37" s="375">
        <f ca="1">INDIRECT("'数据-取费表'!Al"&amp;$G$1)</f>
        <v>1.5E-3</v>
      </c>
      <c r="G37" s="1850"/>
      <c r="H37" s="1858"/>
      <c r="I37" s="1859"/>
      <c r="J37" s="1860"/>
      <c r="K37" s="750"/>
      <c r="L37" s="1858"/>
      <c r="M37" s="1858"/>
    </row>
    <row r="38" spans="1:18" ht="18" customHeight="1" thickBot="1">
      <c r="A38" s="1338" t="s">
        <v>1389</v>
      </c>
      <c r="B38" s="1339" t="s">
        <v>1435</v>
      </c>
      <c r="C38" s="1340">
        <f ca="1">ROUND(C5*F38,1)</f>
        <v>80.599999999999994</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4">
        <f ca="1">C5-C30</f>
        <v>4137</v>
      </c>
      <c r="D39" s="1344" t="s">
        <v>1480</v>
      </c>
      <c r="E39" s="1345"/>
      <c r="F39" s="1346"/>
      <c r="G39" s="1850"/>
      <c r="H39" s="1858"/>
      <c r="I39" s="1859"/>
      <c r="J39" s="1860"/>
      <c r="K39" s="1864"/>
      <c r="L39" s="1858"/>
      <c r="M39" s="1858"/>
    </row>
    <row r="40" spans="1:18" ht="18" customHeight="1">
      <c r="A40" s="343" t="s">
        <v>1029</v>
      </c>
      <c r="B40" s="344" t="s">
        <v>1481</v>
      </c>
      <c r="C40" s="345">
        <f ca="1">ROUND(C39*(1-((1+F42)/(1+F40))^F41)/(F40-F42),0)</f>
        <v>77958</v>
      </c>
      <c r="D40" s="369" t="s">
        <v>1465</v>
      </c>
      <c r="E40" s="346" t="s">
        <v>1466</v>
      </c>
      <c r="F40" s="356">
        <f ca="1">INDIRECT("'数据-取费表'!I"&amp;$G$1)</f>
        <v>5.5E-2</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26.56</v>
      </c>
      <c r="G41" s="1850"/>
      <c r="H41" s="731"/>
      <c r="I41" s="1859"/>
      <c r="J41" s="1860"/>
      <c r="K41" s="750"/>
      <c r="L41" s="731"/>
      <c r="M41" s="731"/>
    </row>
    <row r="42" spans="1:18" ht="18" customHeight="1">
      <c r="A42" s="352"/>
      <c r="B42" s="353"/>
      <c r="C42" s="354"/>
      <c r="D42" s="372"/>
      <c r="E42" s="346" t="s">
        <v>1473</v>
      </c>
      <c r="F42" s="356">
        <f ca="1">INDIRECT("'数据-取费表'!v"&amp;$G$1)</f>
        <v>0.03</v>
      </c>
      <c r="G42" s="1850"/>
      <c r="H42" s="731"/>
      <c r="I42" s="1859"/>
      <c r="J42" s="1860"/>
      <c r="K42" s="750"/>
      <c r="L42" s="731"/>
      <c r="M42" s="731"/>
    </row>
    <row r="43" spans="1:18" ht="18" customHeight="1" thickBot="1">
      <c r="A43" s="379" t="s">
        <v>1030</v>
      </c>
      <c r="B43" s="380" t="s">
        <v>1483</v>
      </c>
      <c r="C43" s="381">
        <f ca="1">ROUND(C40*10000/F43,0)</f>
        <v>25002</v>
      </c>
      <c r="D43" s="382" t="s">
        <v>1484</v>
      </c>
      <c r="E43" s="383" t="s">
        <v>1485</v>
      </c>
      <c r="F43" s="384">
        <f ca="1">INDIRECT("'数据-取费表'!k"&amp;$G$1)</f>
        <v>31181.27</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1515</v>
      </c>
      <c r="P45" s="1838"/>
      <c r="Q45" s="1838"/>
      <c r="R45" s="1838"/>
    </row>
    <row r="46" spans="1:18" s="1841" customFormat="1" ht="13.5" thickBot="1">
      <c r="A46" s="1869" t="s">
        <v>1516</v>
      </c>
      <c r="C46" s="1870">
        <f ca="1">C68-C40</f>
        <v>-97010</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1"/>
      <c r="I47" s="1879" t="s">
        <v>1522</v>
      </c>
      <c r="J47" s="1880" t="s">
        <v>3214</v>
      </c>
      <c r="K47" s="1881" t="s">
        <v>1523</v>
      </c>
      <c r="L47" s="1882">
        <f ca="1">INDIRECT("'数据-取费表'!d"&amp;$G$1)</f>
        <v>40</v>
      </c>
      <c r="M47" s="1837" t="str">
        <f>IF(ISNUMBER(FIND("住宅",C1)),"住宅","非住宅")</f>
        <v>非住宅</v>
      </c>
      <c r="O47" s="1883" t="s">
        <v>1037</v>
      </c>
      <c r="P47" s="1884" t="s">
        <v>1524</v>
      </c>
      <c r="Q47" s="1885">
        <f ca="1">C40+J29</f>
        <v>77958</v>
      </c>
      <c r="R47" s="1885" t="s">
        <v>1525</v>
      </c>
    </row>
    <row r="48" spans="1:18" s="1841" customFormat="1" ht="28.5" thickBot="1">
      <c r="A48" s="1359" t="s">
        <v>1132</v>
      </c>
      <c r="B48" s="344" t="s">
        <v>1397</v>
      </c>
      <c r="C48" s="1816">
        <f ca="1">C49+C53+C55</f>
        <v>0</v>
      </c>
      <c r="D48" s="1361"/>
      <c r="E48" s="1362"/>
      <c r="F48" s="1180"/>
      <c r="G48" s="791"/>
      <c r="H48" s="792"/>
      <c r="I48" s="1886" t="s">
        <v>1526</v>
      </c>
      <c r="J48" s="1887" t="s">
        <v>3215</v>
      </c>
      <c r="K48" s="1888" t="s">
        <v>1527</v>
      </c>
      <c r="L48" s="1889">
        <f ca="1">INDIRECT("'数据-取费表'!f"&amp;$G$1)</f>
        <v>26.56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3029</v>
      </c>
      <c r="E49" s="1829" t="s">
        <v>1487</v>
      </c>
      <c r="F49" s="1280"/>
      <c r="G49" s="1890"/>
      <c r="H49" s="792"/>
      <c r="I49" s="1886" t="s">
        <v>1530</v>
      </c>
      <c r="J49" s="1891">
        <v>2008</v>
      </c>
      <c r="K49" s="1888" t="s">
        <v>1531</v>
      </c>
      <c r="L49" s="1892"/>
      <c r="O49" s="1893" t="s">
        <v>1039</v>
      </c>
      <c r="P49" s="1884" t="s">
        <v>1532</v>
      </c>
      <c r="Q49" s="1885">
        <f ca="1">C29</f>
        <v>13766</v>
      </c>
      <c r="R49" s="1885" t="s">
        <v>1525</v>
      </c>
    </row>
    <row r="50" spans="1:18" s="1841" customFormat="1" ht="13.5" thickBot="1">
      <c r="A50" s="1194"/>
      <c r="B50" s="1197"/>
      <c r="C50" s="1367"/>
      <c r="D50" s="1171"/>
      <c r="E50" s="1276" t="s">
        <v>1402</v>
      </c>
      <c r="F50" s="1277">
        <f ca="1">F7</f>
        <v>31181.27</v>
      </c>
      <c r="H50" s="792"/>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7">
        <f ca="1">F8</f>
        <v>365</v>
      </c>
      <c r="I51" s="1897" t="s">
        <v>1536</v>
      </c>
      <c r="J51" s="1898">
        <f>IF(J49="",J50,J49+J50-YEAR('数据-取费表'!B2))</f>
        <v>49</v>
      </c>
      <c r="K51" s="1899" t="s">
        <v>1537</v>
      </c>
      <c r="L51" s="1900">
        <f ca="1">ROUND(-PV(INDIRECT("'数据-取费表'!h"&amp;$G$1),L48,(C39-C13*C76),0),0)</f>
        <v>46979</v>
      </c>
      <c r="M51" s="1901"/>
      <c r="O51" s="1893" t="s">
        <v>1041</v>
      </c>
      <c r="P51" s="1884" t="s">
        <v>1538</v>
      </c>
      <c r="Q51" s="1896">
        <f>J52</f>
        <v>8.5000000000000006E-2</v>
      </c>
      <c r="R51" s="1885"/>
    </row>
    <row r="52" spans="1:18" s="1841" customFormat="1" ht="13.5" thickBot="1">
      <c r="A52" s="1195"/>
      <c r="B52" s="1197"/>
      <c r="C52" s="1198"/>
      <c r="D52" s="1171"/>
      <c r="E52" s="1199" t="s">
        <v>1404</v>
      </c>
      <c r="F52" s="1274"/>
      <c r="I52" s="1902" t="s">
        <v>1539</v>
      </c>
      <c r="J52" s="1903">
        <v>8.5000000000000006E-2</v>
      </c>
      <c r="K52" s="1902" t="s">
        <v>1540</v>
      </c>
      <c r="L52" s="1903"/>
      <c r="O52" s="1893" t="s">
        <v>1042</v>
      </c>
      <c r="P52" s="1884" t="s">
        <v>1541</v>
      </c>
      <c r="Q52" s="1885">
        <f ca="1">J53</f>
        <v>26.56</v>
      </c>
      <c r="R52" s="1885" t="s">
        <v>1542</v>
      </c>
    </row>
    <row r="53" spans="1:18" s="1841" customFormat="1" ht="24.75" thickBot="1">
      <c r="A53" s="1404" t="s">
        <v>1134</v>
      </c>
      <c r="B53" s="1830" t="s">
        <v>1405</v>
      </c>
      <c r="C53" s="360">
        <f ca="1">ROUND(IF(F53="押一",C49/12*F11,IF(F53="押二",C49/12*2*F11,IF(F53="押三",C49/12*3*F11,C54*F11))),0)</f>
        <v>0</v>
      </c>
      <c r="D53" s="1823" t="s">
        <v>3036</v>
      </c>
      <c r="E53" s="357"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26.56</v>
      </c>
      <c r="K53" s="3237" t="s">
        <v>1544</v>
      </c>
      <c r="L53" s="3238"/>
      <c r="O53" s="1883" t="s">
        <v>1043</v>
      </c>
      <c r="P53" s="1884" t="s">
        <v>1545</v>
      </c>
      <c r="Q53" s="1885">
        <f ca="1">Q47+Q48</f>
        <v>77958</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5">
        <f ca="1">C13</f>
        <v>11288</v>
      </c>
      <c r="D56" s="1913"/>
      <c r="E56" s="1914"/>
      <c r="F56" s="1906"/>
      <c r="I56" s="1915" t="s">
        <v>1550</v>
      </c>
      <c r="J56" s="1916" t="s">
        <v>3062</v>
      </c>
      <c r="K56" s="1886" t="s">
        <v>1551</v>
      </c>
      <c r="L56" s="1889" t="str">
        <f ca="1">IF(L48&lt;J51,"——",L48-J53)</f>
        <v>——</v>
      </c>
      <c r="O56" s="1883" t="s">
        <v>1037</v>
      </c>
      <c r="P56" s="1884" t="s">
        <v>1524</v>
      </c>
      <c r="Q56" s="1885">
        <f ca="1">C40+J29</f>
        <v>77958</v>
      </c>
      <c r="R56" s="1885" t="s">
        <v>1525</v>
      </c>
    </row>
    <row r="57" spans="1:18" s="1841" customFormat="1" ht="24.75" thickBot="1">
      <c r="A57" s="1917"/>
      <c r="B57" s="1168" t="s">
        <v>1474</v>
      </c>
      <c r="C57" s="281">
        <f ca="1">C29</f>
        <v>13766</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59" t="s">
        <v>1027</v>
      </c>
      <c r="B58" s="1176" t="s">
        <v>1420</v>
      </c>
      <c r="C58" s="360">
        <f ca="1">ROUND(C59+C64+C65+C66,0)</f>
        <v>1381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1157.7</v>
      </c>
      <c r="D59" s="1181" t="s">
        <v>1426</v>
      </c>
      <c r="E59" s="1182" t="s">
        <v>1427</v>
      </c>
      <c r="F59" s="367"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6">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1156.3399999999999</v>
      </c>
      <c r="D61" s="1827" t="s">
        <v>1434</v>
      </c>
      <c r="E61" s="1168" t="s">
        <v>1490</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1.37</v>
      </c>
      <c r="D62" s="1183" t="s">
        <v>1493</v>
      </c>
      <c r="E62" s="1168" t="s">
        <v>1494</v>
      </c>
      <c r="F62" s="370">
        <f t="shared" si="0"/>
        <v>1.5</v>
      </c>
      <c r="I62" s="1928" t="s">
        <v>1566</v>
      </c>
      <c r="J62" s="1929" t="s">
        <v>1567</v>
      </c>
      <c r="K62" s="1929" t="s">
        <v>1568</v>
      </c>
      <c r="L62" s="1929" t="s">
        <v>1569</v>
      </c>
      <c r="M62" s="1930" t="s">
        <v>1570</v>
      </c>
      <c r="O62" s="1883" t="s">
        <v>1043</v>
      </c>
      <c r="P62" s="1884" t="s">
        <v>1571</v>
      </c>
      <c r="Q62" s="1885">
        <f ca="1">Q56+Q57</f>
        <v>77958</v>
      </c>
      <c r="R62" s="1885" t="s">
        <v>1044</v>
      </c>
    </row>
    <row r="63" spans="1:18" s="1841" customFormat="1" ht="13.5" thickBot="1">
      <c r="A63" s="371"/>
      <c r="B63" s="1174"/>
      <c r="C63" s="29"/>
      <c r="D63" s="1184"/>
      <c r="E63" s="1168" t="s">
        <v>1495</v>
      </c>
      <c r="F63" s="347">
        <f t="shared" ca="1" si="0"/>
        <v>9142.39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206.5</v>
      </c>
      <c r="D64" s="1182" t="s">
        <v>1498</v>
      </c>
      <c r="E64" s="1168" t="s">
        <v>1490</v>
      </c>
      <c r="F64" s="373">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16.899999999999999</v>
      </c>
      <c r="D65" s="1182" t="s">
        <v>1450</v>
      </c>
      <c r="E65" s="1168" t="s">
        <v>1451</v>
      </c>
      <c r="F65" s="375">
        <f t="shared" ca="1" si="0"/>
        <v>1.5E-3</v>
      </c>
      <c r="I65" s="1928" t="s">
        <v>1575</v>
      </c>
      <c r="J65" s="1929">
        <v>40</v>
      </c>
      <c r="K65" s="1929">
        <v>30</v>
      </c>
      <c r="L65" s="1929">
        <v>50</v>
      </c>
      <c r="M65" s="1931">
        <v>0.02</v>
      </c>
      <c r="O65" s="1883" t="s">
        <v>1037</v>
      </c>
      <c r="P65" s="1884" t="s">
        <v>1576</v>
      </c>
      <c r="Q65" s="1885">
        <f ca="1">C40+J29</f>
        <v>77958</v>
      </c>
      <c r="R65" s="1885" t="s">
        <v>1525</v>
      </c>
    </row>
    <row r="66" spans="1:18" s="1841" customFormat="1" ht="16.5" thickBot="1">
      <c r="A66" s="1200" t="s">
        <v>1500</v>
      </c>
      <c r="B66" s="1168" t="s">
        <v>1435</v>
      </c>
      <c r="C66" s="24">
        <f ca="1">ROUND(C48*F66,1)</f>
        <v>0</v>
      </c>
      <c r="D66" s="1182" t="s">
        <v>1501</v>
      </c>
      <c r="E66" s="1168" t="s">
        <v>1418</v>
      </c>
      <c r="F66" s="356">
        <f t="shared" ca="1" si="0"/>
        <v>1.4999999999999999E-2</v>
      </c>
      <c r="O66" s="1883" t="s">
        <v>1038</v>
      </c>
      <c r="P66" s="1884" t="s">
        <v>1554</v>
      </c>
      <c r="Q66" s="1885">
        <f ca="1">L60</f>
        <v>0</v>
      </c>
      <c r="R66" s="1885" t="s">
        <v>1577</v>
      </c>
    </row>
    <row r="67" spans="1:18" s="1841" customFormat="1" ht="16.5" thickBot="1">
      <c r="A67" s="1175" t="s">
        <v>1028</v>
      </c>
      <c r="B67" s="1185" t="s">
        <v>1459</v>
      </c>
      <c r="C67" s="360">
        <f ca="1">C48-C58</f>
        <v>-1381</v>
      </c>
      <c r="D67" s="1181" t="s">
        <v>1460</v>
      </c>
      <c r="E67" s="1186"/>
      <c r="F67" s="1187"/>
      <c r="O67" s="1893" t="s">
        <v>1039</v>
      </c>
      <c r="P67" s="1884" t="s">
        <v>1558</v>
      </c>
      <c r="Q67" s="1932">
        <f ca="1">L51</f>
        <v>46979</v>
      </c>
      <c r="R67" s="1885" t="s">
        <v>1578</v>
      </c>
    </row>
    <row r="68" spans="1:18" s="1841" customFormat="1" ht="16.5" thickBot="1">
      <c r="A68" s="1165" t="s">
        <v>1029</v>
      </c>
      <c r="B68" s="1166" t="s">
        <v>1481</v>
      </c>
      <c r="C68" s="345">
        <f ca="1">ROUND(C67*(1-((1+F70)/(1+F68))^F69)/(F68-F70),0)</f>
        <v>-19052</v>
      </c>
      <c r="D68" s="1183" t="s">
        <v>1465</v>
      </c>
      <c r="E68" s="1168" t="s">
        <v>1466</v>
      </c>
      <c r="F68" s="356">
        <f ca="1">F40</f>
        <v>5.5E-2</v>
      </c>
      <c r="O68" s="1893" t="s">
        <v>1040</v>
      </c>
      <c r="P68" s="1933" t="s">
        <v>1579</v>
      </c>
      <c r="Q68" s="1885">
        <f ca="1">ROUND(Q69-Q70*Q71,0)</f>
        <v>3234</v>
      </c>
      <c r="R68" s="1885" t="s">
        <v>1048</v>
      </c>
    </row>
    <row r="69" spans="1:18" s="1841" customFormat="1" ht="13.5" thickBot="1">
      <c r="A69" s="1169"/>
      <c r="B69" s="1170"/>
      <c r="C69" s="350"/>
      <c r="D69" s="1188" t="s">
        <v>1469</v>
      </c>
      <c r="E69" s="1168" t="s">
        <v>1470</v>
      </c>
      <c r="F69" s="378">
        <f ca="1">F41</f>
        <v>26.56</v>
      </c>
      <c r="O69" s="1893" t="s">
        <v>1045</v>
      </c>
      <c r="P69" s="1933" t="s">
        <v>1580</v>
      </c>
      <c r="Q69" s="1885">
        <f ca="1">C39</f>
        <v>4137</v>
      </c>
      <c r="R69" s="1885" t="s">
        <v>1525</v>
      </c>
    </row>
    <row r="70" spans="1:18" s="1841" customFormat="1" ht="13.5" thickBot="1">
      <c r="A70" s="1172"/>
      <c r="B70" s="1173"/>
      <c r="C70" s="354"/>
      <c r="D70" s="1184"/>
      <c r="E70" s="1168" t="s">
        <v>1473</v>
      </c>
      <c r="F70" s="1274"/>
      <c r="O70" s="1893" t="s">
        <v>1046</v>
      </c>
      <c r="P70" s="1933" t="s">
        <v>1581</v>
      </c>
      <c r="Q70" s="1885">
        <f ca="1">C13</f>
        <v>11288</v>
      </c>
      <c r="R70" s="1885" t="s">
        <v>1525</v>
      </c>
    </row>
    <row r="71" spans="1:18" s="1841" customFormat="1" ht="13.5" thickBot="1">
      <c r="A71" s="1189" t="s">
        <v>1030</v>
      </c>
      <c r="B71" s="1190" t="s">
        <v>1483</v>
      </c>
      <c r="C71" s="381">
        <f ca="1">ROUND(C68*10000/F71,0)</f>
        <v>-6110</v>
      </c>
      <c r="D71" s="1191" t="s">
        <v>1484</v>
      </c>
      <c r="E71" s="1192" t="s">
        <v>1485</v>
      </c>
      <c r="F71" s="384">
        <f ca="1">F43</f>
        <v>31181.27</v>
      </c>
      <c r="O71" s="1893" t="s">
        <v>1047</v>
      </c>
      <c r="P71" s="1933" t="s">
        <v>1582</v>
      </c>
      <c r="Q71" s="1896">
        <f ca="1">C76</f>
        <v>0.08</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903</v>
      </c>
      <c r="D75" s="1841"/>
      <c r="E75" s="1841"/>
      <c r="F75" s="1841"/>
      <c r="K75" s="1867"/>
      <c r="L75" s="1841"/>
      <c r="O75" s="1883" t="s">
        <v>1043</v>
      </c>
      <c r="P75" s="1884" t="s">
        <v>1545</v>
      </c>
      <c r="Q75" s="1885">
        <f ca="1">Q65+Q66</f>
        <v>77958</v>
      </c>
      <c r="R75" s="1885" t="s">
        <v>1044</v>
      </c>
    </row>
    <row r="76" spans="1:18">
      <c r="B76" s="387" t="s">
        <v>1503</v>
      </c>
      <c r="C76" s="388">
        <f ca="1">INDIRECT("'数据-取费表'!j"&amp;$G$1)</f>
        <v>0.08</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0.78200000000000003</v>
      </c>
    </row>
    <row r="80" spans="1:18">
      <c r="B80" s="385" t="s">
        <v>1507</v>
      </c>
      <c r="C80" s="317">
        <f ca="1">ROUND(C75/C39,3)</f>
        <v>0.218</v>
      </c>
    </row>
    <row r="81" spans="2:3">
      <c r="B81" s="313" t="s">
        <v>1508</v>
      </c>
      <c r="C81" s="281"/>
    </row>
    <row r="82" spans="2:3">
      <c r="B82" s="316" t="s">
        <v>1509</v>
      </c>
      <c r="C82" s="318">
        <f ca="1">1-C83</f>
        <v>0.85499999999999998</v>
      </c>
    </row>
    <row r="83" spans="2:3">
      <c r="B83" s="316" t="s">
        <v>1510</v>
      </c>
      <c r="C83" s="317">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E52" sqref="E5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2" t="s">
        <v>2639</v>
      </c>
      <c r="C1" s="1633" t="s">
        <v>2527</v>
      </c>
      <c r="D1" s="1620" t="s">
        <v>1373</v>
      </c>
      <c r="E1" s="2657"/>
      <c r="F1" s="2584" t="s">
        <v>3221</v>
      </c>
      <c r="G1" s="1630" t="s">
        <v>2640</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2324</v>
      </c>
      <c r="B2" s="1417">
        <f>IF(C2="——",ROUND(C49*D3/10000,0),ROUND(C49*D3/10000,0)-D2)</f>
        <v>151762</v>
      </c>
      <c r="C2" s="2586" t="s">
        <v>70</v>
      </c>
      <c r="D2" s="1364" t="e">
        <f ca="1">SUMIF(INDIRECT("'"&amp;F2&amp;"'"&amp;"!A:A"),"承租人权益价值",INDIRECT("'"&amp;F2&amp;"'"&amp;"!c:c"))</f>
        <v>#REF!</v>
      </c>
      <c r="E2" s="2587" t="s">
        <v>2325</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2326</v>
      </c>
      <c r="B3" s="608">
        <f>IF(C2="——",C49,ROUND(B2*10000/D3,0))</f>
        <v>48671</v>
      </c>
      <c r="C3" s="399" t="s">
        <v>2641</v>
      </c>
      <c r="D3" s="398">
        <f>IF(D1="",'数据-汇总表'!E3,SUMIF('数据-汇总表'!$C19:$C33,D1,'数据-汇总表'!$E19:$E33))</f>
        <v>31181.27</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2642</v>
      </c>
      <c r="B4" s="401"/>
      <c r="C4" s="3262" t="s">
        <v>2643</v>
      </c>
      <c r="D4" s="3263"/>
      <c r="E4" s="3264" t="s">
        <v>2644</v>
      </c>
      <c r="F4" s="3265"/>
      <c r="G4" s="3262" t="s">
        <v>2645</v>
      </c>
      <c r="H4" s="3263"/>
      <c r="I4" s="3262" t="s">
        <v>2646</v>
      </c>
      <c r="J4" s="3263"/>
      <c r="K4" s="609" t="s">
        <v>2647</v>
      </c>
      <c r="L4" s="1129"/>
      <c r="M4" s="1130"/>
      <c r="N4" s="1130"/>
      <c r="O4" s="1130"/>
      <c r="P4" s="3266" t="s">
        <v>2648</v>
      </c>
      <c r="Q4" s="3267"/>
      <c r="R4" s="3248" t="s">
        <v>2644</v>
      </c>
      <c r="S4" s="3249"/>
      <c r="T4" s="3248" t="s">
        <v>2645</v>
      </c>
      <c r="U4" s="3249"/>
      <c r="V4" s="3245" t="s">
        <v>2646</v>
      </c>
      <c r="W4" s="3245"/>
      <c r="X4" s="1812"/>
      <c r="Y4" s="3248" t="s">
        <v>2648</v>
      </c>
      <c r="Z4" s="3249"/>
      <c r="AA4" s="3242" t="s">
        <v>2644</v>
      </c>
      <c r="AB4" s="3245" t="s">
        <v>2645</v>
      </c>
      <c r="AC4" s="3242" t="s">
        <v>2646</v>
      </c>
    </row>
    <row r="5" spans="1:29" ht="15">
      <c r="A5" s="403"/>
      <c r="B5" s="404"/>
      <c r="C5" s="3254" t="s">
        <v>2539</v>
      </c>
      <c r="D5" s="3255"/>
      <c r="E5" s="3252" t="s">
        <v>3271</v>
      </c>
      <c r="F5" s="3253"/>
      <c r="G5" s="3258" t="s">
        <v>3273</v>
      </c>
      <c r="H5" s="3255"/>
      <c r="I5" s="3258" t="s">
        <v>3272</v>
      </c>
      <c r="J5" s="3255"/>
      <c r="K5" s="609"/>
      <c r="L5" s="1129"/>
      <c r="M5" s="1130"/>
      <c r="N5" s="1130"/>
      <c r="O5" s="1130"/>
      <c r="P5" s="3268"/>
      <c r="Q5" s="3269"/>
      <c r="R5" s="3250"/>
      <c r="S5" s="3251"/>
      <c r="T5" s="3250"/>
      <c r="U5" s="3251"/>
      <c r="V5" s="3245"/>
      <c r="W5" s="3245"/>
      <c r="X5" s="1812"/>
      <c r="Y5" s="3250"/>
      <c r="Z5" s="3251"/>
      <c r="AA5" s="3243"/>
      <c r="AB5" s="3245"/>
      <c r="AC5" s="3243"/>
    </row>
    <row r="6" spans="1:29" ht="15.75" thickBot="1">
      <c r="A6" s="405"/>
      <c r="B6" s="406"/>
      <c r="C6" s="3256" t="s">
        <v>2543</v>
      </c>
      <c r="D6" s="3257"/>
      <c r="E6" s="3259" t="s">
        <v>2543</v>
      </c>
      <c r="F6" s="3260"/>
      <c r="G6" s="3259" t="s">
        <v>2543</v>
      </c>
      <c r="H6" s="3260"/>
      <c r="I6" s="3256" t="s">
        <v>2543</v>
      </c>
      <c r="J6" s="3257"/>
      <c r="K6" s="609" t="s">
        <v>2544</v>
      </c>
      <c r="L6" s="1129"/>
      <c r="M6" s="1130"/>
      <c r="N6" s="1130"/>
      <c r="O6" s="1130"/>
      <c r="P6" s="3270"/>
      <c r="Q6" s="3271"/>
      <c r="R6" s="3250"/>
      <c r="S6" s="3251"/>
      <c r="T6" s="3272"/>
      <c r="U6" s="3273"/>
      <c r="V6" s="3245"/>
      <c r="W6" s="3245"/>
      <c r="X6" s="1812"/>
      <c r="Y6" s="3272"/>
      <c r="Z6" s="3273"/>
      <c r="AA6" s="3244"/>
      <c r="AB6" s="3245"/>
      <c r="AC6" s="3244"/>
    </row>
    <row r="7" spans="1:29" s="116" customFormat="1" ht="15.75" thickBot="1">
      <c r="A7" s="407" t="s">
        <v>2545</v>
      </c>
      <c r="B7" s="408"/>
      <c r="C7" s="409">
        <f>'数据-取费表'!B2</f>
        <v>43634</v>
      </c>
      <c r="D7" s="410">
        <v>100</v>
      </c>
      <c r="E7" s="411">
        <v>43634</v>
      </c>
      <c r="F7" s="412">
        <f>SUMIF(58:58,YEAR(E7)&amp;"-"&amp;MONTH(E7),59:59)</f>
        <v>100</v>
      </c>
      <c r="G7" s="411">
        <v>43634</v>
      </c>
      <c r="H7" s="410">
        <f>SUMIF(58:58,YEAR(G7)&amp;"-"&amp;MONTH(G7),59:59)</f>
        <v>100</v>
      </c>
      <c r="I7" s="411">
        <v>43634</v>
      </c>
      <c r="J7" s="410">
        <f>SUMIF(58:58,YEAR(I7)&amp;"-"&amp;MONTH(I7),59:59)</f>
        <v>100</v>
      </c>
      <c r="K7" s="610"/>
      <c r="L7" s="1131"/>
      <c r="M7" s="1132"/>
      <c r="N7" s="1132"/>
      <c r="O7" s="1132"/>
      <c r="P7" s="3246" t="s">
        <v>2546</v>
      </c>
      <c r="Q7" s="3274"/>
      <c r="R7" s="769" t="s">
        <v>17</v>
      </c>
      <c r="S7" s="770">
        <f t="shared" ref="S7:S15" si="0">F7</f>
        <v>100</v>
      </c>
      <c r="T7" s="769" t="s">
        <v>17</v>
      </c>
      <c r="U7" s="770">
        <f t="shared" ref="U7:U15" si="1">H7</f>
        <v>100</v>
      </c>
      <c r="V7" s="769" t="s">
        <v>17</v>
      </c>
      <c r="W7" s="770">
        <f t="shared" ref="W7:W15" si="2">J7</f>
        <v>100</v>
      </c>
      <c r="X7" s="771"/>
      <c r="Y7" s="3246" t="s">
        <v>2546</v>
      </c>
      <c r="Z7" s="3247"/>
      <c r="AA7" s="772">
        <f>D7/F7</f>
        <v>1</v>
      </c>
      <c r="AB7" s="772">
        <f>D7/H7</f>
        <v>1</v>
      </c>
      <c r="AC7" s="772">
        <f>D7/J7</f>
        <v>1</v>
      </c>
    </row>
    <row r="8" spans="1:29" s="116" customFormat="1" ht="15.75" thickBot="1">
      <c r="A8" s="407" t="s">
        <v>2547</v>
      </c>
      <c r="B8" s="408"/>
      <c r="C8" s="413" t="s">
        <v>2649</v>
      </c>
      <c r="D8" s="410">
        <v>100</v>
      </c>
      <c r="E8" s="413" t="s">
        <v>2649</v>
      </c>
      <c r="F8" s="412">
        <f>SUMIF(61:61,E8,62:62)-SUMIF(61:61,C8,62:62)+100</f>
        <v>100</v>
      </c>
      <c r="G8" s="413" t="s">
        <v>3226</v>
      </c>
      <c r="H8" s="410">
        <f>SUMIF(61:61,G8,62:62)-SUMIF(61:61,C8,62:62)+100</f>
        <v>100</v>
      </c>
      <c r="I8" s="413" t="s">
        <v>2649</v>
      </c>
      <c r="J8" s="410">
        <f>SUMIF(61:61,I8,62:62)-SUMIF(61:61,C8,62:62)+100</f>
        <v>100</v>
      </c>
      <c r="K8" s="610"/>
      <c r="L8" s="1131"/>
      <c r="M8" s="1132"/>
      <c r="N8" s="1132"/>
      <c r="O8" s="1132"/>
      <c r="P8" s="3246" t="s">
        <v>2549</v>
      </c>
      <c r="Q8" s="3247"/>
      <c r="R8" s="769" t="s">
        <v>17</v>
      </c>
      <c r="S8" s="770">
        <f t="shared" si="0"/>
        <v>100</v>
      </c>
      <c r="T8" s="769" t="s">
        <v>17</v>
      </c>
      <c r="U8" s="770">
        <f t="shared" si="1"/>
        <v>100</v>
      </c>
      <c r="V8" s="769" t="s">
        <v>17</v>
      </c>
      <c r="W8" s="770">
        <f t="shared" si="2"/>
        <v>100</v>
      </c>
      <c r="X8" s="771"/>
      <c r="Y8" s="3246" t="s">
        <v>2549</v>
      </c>
      <c r="Z8" s="3247"/>
      <c r="AA8" s="772">
        <f t="shared" ref="AA8:AA46" si="3">D8/F8</f>
        <v>1</v>
      </c>
      <c r="AB8" s="772">
        <f t="shared" ref="AB8:AB46" si="4">D8/H8</f>
        <v>1</v>
      </c>
      <c r="AC8" s="772">
        <f t="shared" ref="AC8:AC46" si="5">D8/J8</f>
        <v>1</v>
      </c>
    </row>
    <row r="9" spans="1:29" s="116" customFormat="1">
      <c r="A9" s="414" t="s">
        <v>2550</v>
      </c>
      <c r="B9" s="71" t="s">
        <v>2551</v>
      </c>
      <c r="C9" s="3039" t="s">
        <v>3235</v>
      </c>
      <c r="D9" s="134">
        <v>100</v>
      </c>
      <c r="E9" s="416" t="s">
        <v>1373</v>
      </c>
      <c r="F9" s="417">
        <f>SUMIF(63:63,E9,64:64)-SUMIF(63:63,C9,64:64)+100</f>
        <v>100</v>
      </c>
      <c r="G9" s="416" t="s">
        <v>1373</v>
      </c>
      <c r="H9" s="134">
        <f>SUMIF(63:63,G9,64:64)-SUMIF(63:63,C9,64:64)+100</f>
        <v>100</v>
      </c>
      <c r="I9" s="416" t="s">
        <v>1373</v>
      </c>
      <c r="J9" s="134">
        <f>SUMIF(63:63,I9,64:64)-SUMIF(63:63,C9,64:64)+100</f>
        <v>100</v>
      </c>
      <c r="K9" s="610"/>
      <c r="L9" s="1131"/>
      <c r="M9" s="1132"/>
      <c r="N9" s="1132"/>
      <c r="O9" s="1132"/>
      <c r="P9" s="3261" t="s">
        <v>2552</v>
      </c>
      <c r="Q9" s="1794" t="str">
        <f t="shared" ref="Q9:Q15" si="6">B9</f>
        <v>用途</v>
      </c>
      <c r="R9" s="769" t="s">
        <v>17</v>
      </c>
      <c r="S9" s="770">
        <f t="shared" si="0"/>
        <v>100</v>
      </c>
      <c r="T9" s="769" t="s">
        <v>17</v>
      </c>
      <c r="U9" s="770">
        <f t="shared" si="1"/>
        <v>100</v>
      </c>
      <c r="V9" s="769" t="s">
        <v>17</v>
      </c>
      <c r="W9" s="770">
        <f t="shared" si="2"/>
        <v>100</v>
      </c>
      <c r="X9" s="771"/>
      <c r="Y9" s="3114" t="s">
        <v>2553</v>
      </c>
      <c r="Z9" s="55" t="str">
        <f t="shared" ref="Z9:Z15" si="7">Q9</f>
        <v>用途</v>
      </c>
      <c r="AA9" s="772">
        <f t="shared" si="3"/>
        <v>1</v>
      </c>
      <c r="AB9" s="772">
        <f t="shared" si="4"/>
        <v>1</v>
      </c>
      <c r="AC9" s="772">
        <f t="shared" si="5"/>
        <v>1</v>
      </c>
    </row>
    <row r="10" spans="1:29" s="426" customFormat="1" ht="27.75" thickBot="1">
      <c r="A10" s="420"/>
      <c r="B10" s="421" t="s">
        <v>2554</v>
      </c>
      <c r="C10" s="422" t="s">
        <v>3236</v>
      </c>
      <c r="D10" s="135">
        <v>100</v>
      </c>
      <c r="E10" s="422" t="s">
        <v>3236</v>
      </c>
      <c r="F10" s="424">
        <f>SUMIF(65:65,E10,66:66)-SUMIF(65:65,C10,66:66)+100</f>
        <v>100</v>
      </c>
      <c r="G10" s="422" t="s">
        <v>3274</v>
      </c>
      <c r="H10" s="135">
        <f>SUMIF(65:65,G10,66:66)-SUMIF(65:65,C10,66:66)+100</f>
        <v>98</v>
      </c>
      <c r="I10" s="422" t="s">
        <v>3236</v>
      </c>
      <c r="J10" s="135">
        <f>SUMIF(65:65,I10,66:66)-SUMIF(65:65,C10,66:66)+100</f>
        <v>100</v>
      </c>
      <c r="K10" s="611">
        <v>2</v>
      </c>
      <c r="L10" s="1134"/>
      <c r="M10" s="1135"/>
      <c r="N10" s="1135"/>
      <c r="O10" s="1135"/>
      <c r="P10" s="3261"/>
      <c r="Q10" s="1794" t="str">
        <f t="shared" si="6"/>
        <v>土地使用年限（年）</v>
      </c>
      <c r="R10" s="769" t="s">
        <v>17</v>
      </c>
      <c r="S10" s="770">
        <f t="shared" si="0"/>
        <v>100</v>
      </c>
      <c r="T10" s="769" t="s">
        <v>17</v>
      </c>
      <c r="U10" s="770">
        <f t="shared" si="1"/>
        <v>98</v>
      </c>
      <c r="V10" s="769" t="s">
        <v>17</v>
      </c>
      <c r="W10" s="770">
        <f t="shared" si="2"/>
        <v>100</v>
      </c>
      <c r="X10" s="771"/>
      <c r="Y10" s="3114"/>
      <c r="Z10" s="55" t="str">
        <f t="shared" si="7"/>
        <v>土地使用年限（年）</v>
      </c>
      <c r="AA10" s="772">
        <f t="shared" si="3"/>
        <v>1</v>
      </c>
      <c r="AB10" s="772">
        <f t="shared" si="4"/>
        <v>1.0204081632653061</v>
      </c>
      <c r="AC10" s="772">
        <f t="shared" si="5"/>
        <v>1</v>
      </c>
    </row>
    <row r="11" spans="1:29" ht="15" hidden="1">
      <c r="A11" s="427"/>
      <c r="B11" s="421" t="s">
        <v>2555</v>
      </c>
      <c r="C11" s="428">
        <f>'数据-汇总表'!I6</f>
        <v>3.06</v>
      </c>
      <c r="D11" s="135">
        <v>100</v>
      </c>
      <c r="E11" s="429">
        <v>3</v>
      </c>
      <c r="F11" s="424">
        <f>LOOKUP(E11,68:68,69:69)-LOOKUP(C11,68:68,69:69)+100</f>
        <v>100</v>
      </c>
      <c r="G11" s="428">
        <v>3</v>
      </c>
      <c r="H11" s="135">
        <f>LOOKUP(G11,68:68,69:69)-LOOKUP(C11,68:68,69:69)+100</f>
        <v>100</v>
      </c>
      <c r="I11" s="428">
        <v>3</v>
      </c>
      <c r="J11" s="135">
        <f>LOOKUP(I11,68:68,69:69)-LOOKUP(C11,68:68,69:69)+100</f>
        <v>100</v>
      </c>
      <c r="K11" s="611">
        <v>0</v>
      </c>
      <c r="L11" s="1137"/>
      <c r="M11" s="1130"/>
      <c r="N11" s="1130"/>
      <c r="O11" s="1130"/>
      <c r="P11" s="3261"/>
      <c r="Q11" s="1794" t="str">
        <f t="shared" si="6"/>
        <v>容积率</v>
      </c>
      <c r="R11" s="769" t="s">
        <v>17</v>
      </c>
      <c r="S11" s="770">
        <f t="shared" si="0"/>
        <v>100</v>
      </c>
      <c r="T11" s="769" t="s">
        <v>17</v>
      </c>
      <c r="U11" s="770">
        <f t="shared" si="1"/>
        <v>100</v>
      </c>
      <c r="V11" s="769" t="s">
        <v>17</v>
      </c>
      <c r="W11" s="770">
        <f t="shared" si="2"/>
        <v>100</v>
      </c>
      <c r="X11" s="771"/>
      <c r="Y11" s="3114"/>
      <c r="Z11" s="55" t="str">
        <f t="shared" si="7"/>
        <v>容积率</v>
      </c>
      <c r="AA11" s="772">
        <f t="shared" si="3"/>
        <v>1</v>
      </c>
      <c r="AB11" s="772">
        <f t="shared" si="4"/>
        <v>1</v>
      </c>
      <c r="AC11" s="772">
        <f t="shared" si="5"/>
        <v>1</v>
      </c>
    </row>
    <row r="12" spans="1:29" s="116" customFormat="1" ht="15" hidden="1">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61"/>
      <c r="Q12" s="1794">
        <f t="shared" si="6"/>
        <v>111</v>
      </c>
      <c r="R12" s="769" t="s">
        <v>17</v>
      </c>
      <c r="S12" s="770">
        <f t="shared" si="0"/>
        <v>100</v>
      </c>
      <c r="T12" s="769" t="s">
        <v>17</v>
      </c>
      <c r="U12" s="770">
        <f t="shared" si="1"/>
        <v>100</v>
      </c>
      <c r="V12" s="769" t="s">
        <v>17</v>
      </c>
      <c r="W12" s="770">
        <f t="shared" si="2"/>
        <v>100</v>
      </c>
      <c r="X12" s="771"/>
      <c r="Y12" s="3114"/>
      <c r="Z12" s="55">
        <f t="shared" si="7"/>
        <v>111</v>
      </c>
      <c r="AA12" s="772">
        <f>D12/F12</f>
        <v>1</v>
      </c>
      <c r="AB12" s="772">
        <f>D12/H12</f>
        <v>1</v>
      </c>
      <c r="AC12" s="772">
        <f>D12/J12</f>
        <v>1</v>
      </c>
    </row>
    <row r="13" spans="1:29" ht="15" hidden="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61"/>
      <c r="Q13" s="1794">
        <f t="shared" si="6"/>
        <v>111</v>
      </c>
      <c r="R13" s="769" t="s">
        <v>17</v>
      </c>
      <c r="S13" s="770">
        <f t="shared" si="0"/>
        <v>100</v>
      </c>
      <c r="T13" s="769" t="s">
        <v>17</v>
      </c>
      <c r="U13" s="770">
        <f t="shared" si="1"/>
        <v>100</v>
      </c>
      <c r="V13" s="769" t="s">
        <v>17</v>
      </c>
      <c r="W13" s="770">
        <f t="shared" si="2"/>
        <v>100</v>
      </c>
      <c r="X13" s="771"/>
      <c r="Y13" s="3114"/>
      <c r="Z13" s="55">
        <f t="shared" si="7"/>
        <v>111</v>
      </c>
      <c r="AA13" s="772">
        <f t="shared" si="3"/>
        <v>1</v>
      </c>
      <c r="AB13" s="772">
        <f t="shared" si="4"/>
        <v>1</v>
      </c>
      <c r="AC13" s="772">
        <f t="shared" si="5"/>
        <v>1</v>
      </c>
    </row>
    <row r="14" spans="1:29" ht="15.75" hidden="1"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61"/>
      <c r="Q14" s="1794">
        <f t="shared" si="6"/>
        <v>111</v>
      </c>
      <c r="R14" s="769" t="s">
        <v>17</v>
      </c>
      <c r="S14" s="770">
        <f t="shared" si="0"/>
        <v>100</v>
      </c>
      <c r="T14" s="769" t="s">
        <v>17</v>
      </c>
      <c r="U14" s="770">
        <f t="shared" si="1"/>
        <v>100</v>
      </c>
      <c r="V14" s="769" t="s">
        <v>17</v>
      </c>
      <c r="W14" s="770">
        <f t="shared" si="2"/>
        <v>100</v>
      </c>
      <c r="X14" s="771"/>
      <c r="Y14" s="3114"/>
      <c r="Z14" s="55">
        <f t="shared" si="7"/>
        <v>111</v>
      </c>
      <c r="AA14" s="772">
        <f t="shared" si="3"/>
        <v>1</v>
      </c>
      <c r="AB14" s="772">
        <f t="shared" si="4"/>
        <v>1</v>
      </c>
      <c r="AC14" s="772">
        <f t="shared" si="5"/>
        <v>1</v>
      </c>
    </row>
    <row r="15" spans="1:29" ht="15">
      <c r="A15" s="439" t="s">
        <v>2556</v>
      </c>
      <c r="B15" s="69" t="s">
        <v>2650</v>
      </c>
      <c r="C15" s="2603" t="str">
        <f>估价对象房地状况!C4</f>
        <v>较好</v>
      </c>
      <c r="D15" s="440">
        <v>100</v>
      </c>
      <c r="E15" s="441"/>
      <c r="F15" s="442">
        <f>SUMIF(76:76,E16,77:77)-SUMIF(76:76,C16,77:77)+100</f>
        <v>98</v>
      </c>
      <c r="G15" s="443"/>
      <c r="H15" s="440">
        <f>SUMIF(76:76,G16,77:77)-SUMIF(76:76,C16,77:77)+100</f>
        <v>100</v>
      </c>
      <c r="I15" s="441"/>
      <c r="J15" s="440">
        <f>SUMIF(76:76,I16,77:77)-SUMIF(76:76,C16,77:77)+100</f>
        <v>100</v>
      </c>
      <c r="K15" s="613">
        <v>2</v>
      </c>
      <c r="L15" s="1139"/>
      <c r="M15" s="1130"/>
      <c r="N15" s="1130"/>
      <c r="O15" s="1130"/>
      <c r="P15" s="3275" t="s">
        <v>2557</v>
      </c>
      <c r="Q15" s="1809" t="str">
        <f t="shared" si="6"/>
        <v>商业繁华度</v>
      </c>
      <c r="R15" s="773" t="s">
        <v>17</v>
      </c>
      <c r="S15" s="774">
        <f t="shared" si="0"/>
        <v>98</v>
      </c>
      <c r="T15" s="773" t="s">
        <v>17</v>
      </c>
      <c r="U15" s="774">
        <f t="shared" si="1"/>
        <v>100</v>
      </c>
      <c r="V15" s="773" t="s">
        <v>17</v>
      </c>
      <c r="W15" s="774">
        <f t="shared" si="2"/>
        <v>100</v>
      </c>
      <c r="X15" s="1812"/>
      <c r="Y15" s="3277" t="s">
        <v>2557</v>
      </c>
      <c r="Z15" s="1813" t="str">
        <f t="shared" si="7"/>
        <v>商业繁华度</v>
      </c>
      <c r="AA15" s="1810">
        <f t="shared" si="3"/>
        <v>1.0204081632653061</v>
      </c>
      <c r="AB15" s="1810">
        <f t="shared" si="4"/>
        <v>1</v>
      </c>
      <c r="AC15" s="1810">
        <f t="shared" si="5"/>
        <v>1</v>
      </c>
    </row>
    <row r="16" spans="1:29" ht="15">
      <c r="A16" s="427"/>
      <c r="B16" s="445"/>
      <c r="C16" s="446" t="s">
        <v>3229</v>
      </c>
      <c r="D16" s="447"/>
      <c r="E16" s="446" t="s">
        <v>3239</v>
      </c>
      <c r="F16" s="448"/>
      <c r="G16" s="446" t="s">
        <v>3229</v>
      </c>
      <c r="H16" s="449"/>
      <c r="I16" s="446" t="s">
        <v>3229</v>
      </c>
      <c r="J16" s="447"/>
      <c r="K16" s="614"/>
      <c r="L16" s="1139"/>
      <c r="M16" s="1130"/>
      <c r="N16" s="1130"/>
      <c r="O16" s="1130"/>
      <c r="P16" s="3276"/>
      <c r="Q16" s="1809"/>
      <c r="R16" s="773"/>
      <c r="S16" s="774"/>
      <c r="T16" s="773"/>
      <c r="U16" s="774"/>
      <c r="V16" s="773"/>
      <c r="W16" s="774"/>
      <c r="X16" s="1812"/>
      <c r="Y16" s="3278"/>
      <c r="Z16" s="1813"/>
      <c r="AA16" s="1810">
        <v>1</v>
      </c>
      <c r="AB16" s="1810">
        <v>1</v>
      </c>
      <c r="AC16" s="1810">
        <v>1</v>
      </c>
    </row>
    <row r="17" spans="1:29" ht="15">
      <c r="A17" s="427"/>
      <c r="B17" s="450" t="s">
        <v>2094</v>
      </c>
      <c r="C17" s="2607" t="str">
        <f>估价对象房地状况!C6</f>
        <v>较好</v>
      </c>
      <c r="D17" s="449">
        <v>100</v>
      </c>
      <c r="E17" s="451"/>
      <c r="F17" s="452">
        <f>SUMIF(78:78,E18,79:79)-SUMIF(78:78,C18,79:79)+100</f>
        <v>98</v>
      </c>
      <c r="G17" s="453"/>
      <c r="H17" s="454">
        <f>SUMIF(78:78,G18,79:79)-SUMIF(78:78,C18,79:79)+100</f>
        <v>100</v>
      </c>
      <c r="I17" s="451"/>
      <c r="J17" s="454">
        <f>SUMIF(78:78,I18,79:79)-SUMIF(78:78,C18,79:79)+100</f>
        <v>100</v>
      </c>
      <c r="K17" s="613">
        <v>2</v>
      </c>
      <c r="L17" s="1139"/>
      <c r="M17" s="1130"/>
      <c r="N17" s="1130"/>
      <c r="O17" s="1130"/>
      <c r="P17" s="3276"/>
      <c r="Q17" s="1809" t="str">
        <f>B17</f>
        <v>交通便捷度</v>
      </c>
      <c r="R17" s="773" t="s">
        <v>17</v>
      </c>
      <c r="S17" s="774">
        <f>F17</f>
        <v>98</v>
      </c>
      <c r="T17" s="773" t="s">
        <v>17</v>
      </c>
      <c r="U17" s="774">
        <f>H17</f>
        <v>100</v>
      </c>
      <c r="V17" s="773" t="s">
        <v>17</v>
      </c>
      <c r="W17" s="774">
        <f>J17</f>
        <v>100</v>
      </c>
      <c r="X17" s="1812"/>
      <c r="Y17" s="3278"/>
      <c r="Z17" s="1813" t="str">
        <f>Q17</f>
        <v>交通便捷度</v>
      </c>
      <c r="AA17" s="1810">
        <f t="shared" si="3"/>
        <v>1.0204081632653061</v>
      </c>
      <c r="AB17" s="1810">
        <f t="shared" si="4"/>
        <v>1</v>
      </c>
      <c r="AC17" s="1810">
        <f t="shared" si="5"/>
        <v>1</v>
      </c>
    </row>
    <row r="18" spans="1:29" ht="15">
      <c r="A18" s="427"/>
      <c r="B18" s="455"/>
      <c r="C18" s="2608" t="s">
        <v>3229</v>
      </c>
      <c r="D18" s="449"/>
      <c r="E18" s="2610" t="s">
        <v>3239</v>
      </c>
      <c r="F18" s="452"/>
      <c r="G18" s="2609" t="s">
        <v>3229</v>
      </c>
      <c r="H18" s="447"/>
      <c r="I18" s="2610" t="s">
        <v>3229</v>
      </c>
      <c r="J18" s="447"/>
      <c r="K18" s="614"/>
      <c r="L18" s="1139"/>
      <c r="M18" s="1130"/>
      <c r="N18" s="1130"/>
      <c r="O18" s="1130"/>
      <c r="P18" s="3276"/>
      <c r="Q18" s="1809"/>
      <c r="R18" s="773"/>
      <c r="S18" s="774"/>
      <c r="T18" s="773"/>
      <c r="U18" s="774"/>
      <c r="V18" s="773"/>
      <c r="W18" s="774"/>
      <c r="X18" s="1812"/>
      <c r="Y18" s="3278"/>
      <c r="Z18" s="1813"/>
      <c r="AA18" s="1810">
        <v>1</v>
      </c>
      <c r="AB18" s="1810">
        <v>1</v>
      </c>
      <c r="AC18" s="1810">
        <v>1</v>
      </c>
    </row>
    <row r="19" spans="1:29" ht="15">
      <c r="A19" s="427"/>
      <c r="B19" s="450" t="s">
        <v>2651</v>
      </c>
      <c r="C19" s="2607"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v>2</v>
      </c>
      <c r="L19" s="1139"/>
      <c r="M19" s="1130"/>
      <c r="N19" s="1130"/>
      <c r="O19" s="1130"/>
      <c r="P19" s="3276"/>
      <c r="Q19" s="1809" t="str">
        <f>B19</f>
        <v>公共配套设施</v>
      </c>
      <c r="R19" s="773" t="s">
        <v>17</v>
      </c>
      <c r="S19" s="774">
        <f>F19</f>
        <v>100</v>
      </c>
      <c r="T19" s="773" t="s">
        <v>17</v>
      </c>
      <c r="U19" s="774">
        <f>H19</f>
        <v>100</v>
      </c>
      <c r="V19" s="773" t="s">
        <v>17</v>
      </c>
      <c r="W19" s="774">
        <f>J19</f>
        <v>100</v>
      </c>
      <c r="X19" s="1812"/>
      <c r="Y19" s="3278"/>
      <c r="Z19" s="1813" t="str">
        <f>Q19</f>
        <v>公共配套设施</v>
      </c>
      <c r="AA19" s="1810">
        <f t="shared" si="3"/>
        <v>1</v>
      </c>
      <c r="AB19" s="1810">
        <f t="shared" si="4"/>
        <v>1</v>
      </c>
      <c r="AC19" s="1810">
        <f t="shared" si="5"/>
        <v>1</v>
      </c>
    </row>
    <row r="20" spans="1:29" ht="15">
      <c r="A20" s="427"/>
      <c r="B20" s="455"/>
      <c r="C20" s="446" t="s">
        <v>3229</v>
      </c>
      <c r="D20" s="447"/>
      <c r="E20" s="2605" t="s">
        <v>3229</v>
      </c>
      <c r="F20" s="448"/>
      <c r="G20" s="2604" t="s">
        <v>3229</v>
      </c>
      <c r="H20" s="447"/>
      <c r="I20" s="2604" t="s">
        <v>3229</v>
      </c>
      <c r="J20" s="447"/>
      <c r="K20" s="614"/>
      <c r="L20" s="1139"/>
      <c r="M20" s="1130"/>
      <c r="N20" s="1130"/>
      <c r="O20" s="1130"/>
      <c r="P20" s="3276"/>
      <c r="Q20" s="1809"/>
      <c r="R20" s="773"/>
      <c r="S20" s="774"/>
      <c r="T20" s="773"/>
      <c r="U20" s="774"/>
      <c r="V20" s="773"/>
      <c r="W20" s="774"/>
      <c r="X20" s="1812"/>
      <c r="Y20" s="3278"/>
      <c r="Z20" s="1813"/>
      <c r="AA20" s="1810">
        <v>1</v>
      </c>
      <c r="AB20" s="1810">
        <v>1</v>
      </c>
      <c r="AC20" s="1810">
        <v>1</v>
      </c>
    </row>
    <row r="21" spans="1:29" ht="15">
      <c r="A21" s="427"/>
      <c r="B21" s="1383" t="s">
        <v>2652</v>
      </c>
      <c r="C21" s="2607"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276"/>
      <c r="Q21" s="1809" t="str">
        <f>B21</f>
        <v>基础设施水平</v>
      </c>
      <c r="R21" s="773" t="s">
        <v>17</v>
      </c>
      <c r="S21" s="774">
        <f>F21</f>
        <v>100</v>
      </c>
      <c r="T21" s="773" t="s">
        <v>17</v>
      </c>
      <c r="U21" s="774">
        <f>H21</f>
        <v>100</v>
      </c>
      <c r="V21" s="773" t="s">
        <v>17</v>
      </c>
      <c r="W21" s="774">
        <f>J21</f>
        <v>100</v>
      </c>
      <c r="X21" s="1812"/>
      <c r="Y21" s="3278"/>
      <c r="Z21" s="1813" t="str">
        <f>Q21</f>
        <v>基础设施水平</v>
      </c>
      <c r="AA21" s="1810">
        <f t="shared" ref="AA21" si="8">D21/F21</f>
        <v>1</v>
      </c>
      <c r="AB21" s="1810">
        <f t="shared" ref="AB21" si="9">D21/H21</f>
        <v>1</v>
      </c>
      <c r="AC21" s="1810">
        <f t="shared" ref="AC21" si="10">D21/J21</f>
        <v>1</v>
      </c>
    </row>
    <row r="22" spans="1:29" ht="15">
      <c r="A22" s="427"/>
      <c r="B22" s="1383"/>
      <c r="C22" s="2608" t="s">
        <v>3230</v>
      </c>
      <c r="D22" s="447"/>
      <c r="E22" s="446" t="s">
        <v>3230</v>
      </c>
      <c r="F22" s="448"/>
      <c r="G22" s="446" t="s">
        <v>3230</v>
      </c>
      <c r="H22" s="447"/>
      <c r="I22" s="446" t="s">
        <v>3230</v>
      </c>
      <c r="J22" s="447"/>
      <c r="K22" s="1382"/>
      <c r="L22" s="1139"/>
      <c r="M22" s="1130"/>
      <c r="N22" s="1130"/>
      <c r="O22" s="1130"/>
      <c r="P22" s="3276"/>
      <c r="Q22" s="1809"/>
      <c r="R22" s="773"/>
      <c r="S22" s="774"/>
      <c r="T22" s="773"/>
      <c r="U22" s="774"/>
      <c r="V22" s="773"/>
      <c r="W22" s="774"/>
      <c r="X22" s="1812"/>
      <c r="Y22" s="3278"/>
      <c r="Z22" s="1813"/>
      <c r="AA22" s="1810">
        <v>1</v>
      </c>
      <c r="AB22" s="1810">
        <v>1</v>
      </c>
      <c r="AC22" s="1810">
        <v>1</v>
      </c>
    </row>
    <row r="23" spans="1:29" ht="15">
      <c r="A23" s="427"/>
      <c r="B23" s="450" t="s">
        <v>2099</v>
      </c>
      <c r="C23" s="2664" t="str">
        <f>估价对象房地状况!C9</f>
        <v>一般</v>
      </c>
      <c r="D23" s="449">
        <v>100</v>
      </c>
      <c r="E23" s="451"/>
      <c r="F23" s="452">
        <f>SUMIF(84:84,E24,85:85)-SUMIF(84:84,C24,85:85)+100</f>
        <v>100</v>
      </c>
      <c r="G23" s="453"/>
      <c r="H23" s="449">
        <f>SUMIF(84:84,G24,85:85)-SUMIF(84:84,C24,85:85)+100</f>
        <v>100</v>
      </c>
      <c r="I23" s="451"/>
      <c r="J23" s="449">
        <f>SUMIF(84:84,I24,85:85)-SUMIF(84:84,C24,85:85)+100</f>
        <v>100</v>
      </c>
      <c r="K23" s="613">
        <v>2</v>
      </c>
      <c r="L23" s="1139"/>
      <c r="M23" s="1130"/>
      <c r="N23" s="1130"/>
      <c r="O23" s="1130"/>
      <c r="P23" s="3276"/>
      <c r="Q23" s="1809" t="str">
        <f>B23</f>
        <v>自然及人文环境</v>
      </c>
      <c r="R23" s="773" t="s">
        <v>17</v>
      </c>
      <c r="S23" s="774">
        <f>F23</f>
        <v>100</v>
      </c>
      <c r="T23" s="773" t="s">
        <v>17</v>
      </c>
      <c r="U23" s="774">
        <f>H23</f>
        <v>100</v>
      </c>
      <c r="V23" s="773" t="s">
        <v>17</v>
      </c>
      <c r="W23" s="774">
        <f>J23</f>
        <v>100</v>
      </c>
      <c r="X23" s="1812"/>
      <c r="Y23" s="3278"/>
      <c r="Z23" s="1813" t="str">
        <f>Q23</f>
        <v>自然及人文环境</v>
      </c>
      <c r="AA23" s="1810">
        <f t="shared" si="3"/>
        <v>1</v>
      </c>
      <c r="AB23" s="1810">
        <f t="shared" si="4"/>
        <v>1</v>
      </c>
      <c r="AC23" s="1810">
        <f t="shared" si="5"/>
        <v>1</v>
      </c>
    </row>
    <row r="24" spans="1:29" ht="15">
      <c r="A24" s="427"/>
      <c r="B24" s="455"/>
      <c r="C24" s="446" t="s">
        <v>3239</v>
      </c>
      <c r="D24" s="447"/>
      <c r="E24" s="446" t="s">
        <v>3239</v>
      </c>
      <c r="F24" s="448"/>
      <c r="G24" s="446" t="s">
        <v>3239</v>
      </c>
      <c r="H24" s="447"/>
      <c r="I24" s="446" t="s">
        <v>3239</v>
      </c>
      <c r="J24" s="447"/>
      <c r="K24" s="614"/>
      <c r="L24" s="1139"/>
      <c r="M24" s="1130"/>
      <c r="N24" s="1130"/>
      <c r="O24" s="1130"/>
      <c r="P24" s="3276"/>
      <c r="Q24" s="1809"/>
      <c r="R24" s="773"/>
      <c r="S24" s="774"/>
      <c r="T24" s="773"/>
      <c r="U24" s="774"/>
      <c r="V24" s="773"/>
      <c r="W24" s="774"/>
      <c r="X24" s="1812"/>
      <c r="Y24" s="3278"/>
      <c r="Z24" s="1813"/>
      <c r="AA24" s="1810">
        <v>1</v>
      </c>
      <c r="AB24" s="1810">
        <v>1</v>
      </c>
      <c r="AC24" s="1810">
        <v>1</v>
      </c>
    </row>
    <row r="25" spans="1:29" ht="15">
      <c r="A25" s="427"/>
      <c r="B25" s="421" t="s">
        <v>2653</v>
      </c>
      <c r="C25" s="615" t="s">
        <v>3233</v>
      </c>
      <c r="D25" s="434">
        <v>100</v>
      </c>
      <c r="E25" s="615" t="s">
        <v>3233</v>
      </c>
      <c r="F25" s="460">
        <f>SUMIF(86:86,E25,87:87)-SUMIF(86:86,C25,87:87)+100</f>
        <v>100</v>
      </c>
      <c r="G25" s="615" t="s">
        <v>3233</v>
      </c>
      <c r="H25" s="434">
        <f>SUMIF(86:86,G25,87:87)-SUMIF(86:86,C25,87:87)+100</f>
        <v>100</v>
      </c>
      <c r="I25" s="615" t="s">
        <v>3233</v>
      </c>
      <c r="J25" s="434">
        <f>SUMIF(86:86,I25,87:87)-SUMIF(86:86,C25,87:87)+100</f>
        <v>100</v>
      </c>
      <c r="K25" s="611">
        <v>2</v>
      </c>
      <c r="L25" s="1139"/>
      <c r="M25" s="1130"/>
      <c r="N25" s="1130"/>
      <c r="O25" s="1130"/>
      <c r="P25" s="3276"/>
      <c r="Q25" s="1809" t="str">
        <f t="shared" ref="Q25:Q46" si="11">B25</f>
        <v>临街状况</v>
      </c>
      <c r="R25" s="773" t="s">
        <v>17</v>
      </c>
      <c r="S25" s="774">
        <f>F25</f>
        <v>100</v>
      </c>
      <c r="T25" s="773" t="s">
        <v>17</v>
      </c>
      <c r="U25" s="774">
        <f>H25</f>
        <v>100</v>
      </c>
      <c r="V25" s="773" t="s">
        <v>17</v>
      </c>
      <c r="W25" s="774">
        <f>J25</f>
        <v>100</v>
      </c>
      <c r="X25" s="1812"/>
      <c r="Y25" s="3278"/>
      <c r="Z25" s="1813" t="str">
        <f>Q25</f>
        <v>临街状况</v>
      </c>
      <c r="AA25" s="1810">
        <f t="shared" si="3"/>
        <v>1</v>
      </c>
      <c r="AB25" s="1810">
        <f t="shared" si="4"/>
        <v>1</v>
      </c>
      <c r="AC25" s="1810">
        <f t="shared" si="5"/>
        <v>1</v>
      </c>
    </row>
    <row r="26" spans="1:29" ht="15">
      <c r="A26" s="427"/>
      <c r="B26" s="1385" t="s">
        <v>2654</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76"/>
      <c r="Q26" s="1809" t="str">
        <f t="shared" si="11"/>
        <v>平面位置/可视性</v>
      </c>
      <c r="R26" s="773" t="s">
        <v>17</v>
      </c>
      <c r="S26" s="774">
        <f>F26</f>
        <v>100</v>
      </c>
      <c r="T26" s="773" t="s">
        <v>17</v>
      </c>
      <c r="U26" s="774">
        <f>H26</f>
        <v>100</v>
      </c>
      <c r="V26" s="773" t="s">
        <v>17</v>
      </c>
      <c r="W26" s="774">
        <f>J26</f>
        <v>100</v>
      </c>
      <c r="X26" s="1812"/>
      <c r="Y26" s="3278"/>
      <c r="Z26" s="1813" t="str">
        <f>Q26</f>
        <v>平面位置/可视性</v>
      </c>
      <c r="AA26" s="1810">
        <f t="shared" si="3"/>
        <v>1</v>
      </c>
      <c r="AB26" s="1810">
        <f t="shared" si="4"/>
        <v>1</v>
      </c>
      <c r="AC26" s="1810">
        <f t="shared" si="5"/>
        <v>1</v>
      </c>
    </row>
    <row r="27" spans="1:29" s="116" customFormat="1" ht="15">
      <c r="A27" s="430"/>
      <c r="B27" s="450" t="s">
        <v>2655</v>
      </c>
      <c r="C27" s="2665" t="s">
        <v>3238</v>
      </c>
      <c r="D27" s="461">
        <v>100</v>
      </c>
      <c r="E27" s="2665" t="s">
        <v>3239</v>
      </c>
      <c r="F27" s="463">
        <f>SUMIF(90:90,E27,91:91)-SUMIF(90:90,C27,91:91)+100</f>
        <v>98</v>
      </c>
      <c r="G27" s="2665" t="s">
        <v>3238</v>
      </c>
      <c r="H27" s="461">
        <f>SUMIF(90:90,G27,91:91)-SUMIF(90:90,C27,91:91)+100</f>
        <v>100</v>
      </c>
      <c r="I27" s="2665" t="s">
        <v>3238</v>
      </c>
      <c r="J27" s="461">
        <f>SUMIF(90:90,I27,91:91)-SUMIF(90:90,C27,91:91)+100</f>
        <v>100</v>
      </c>
      <c r="K27" s="611">
        <v>2</v>
      </c>
      <c r="L27" s="1131"/>
      <c r="M27" s="1132"/>
      <c r="N27" s="1132"/>
      <c r="O27" s="1132"/>
      <c r="P27" s="3276"/>
      <c r="Q27" s="1794" t="str">
        <f t="shared" si="11"/>
        <v>人流量</v>
      </c>
      <c r="R27" s="769" t="s">
        <v>17</v>
      </c>
      <c r="S27" s="770">
        <f>F27</f>
        <v>98</v>
      </c>
      <c r="T27" s="769" t="s">
        <v>17</v>
      </c>
      <c r="U27" s="770">
        <f>H27</f>
        <v>100</v>
      </c>
      <c r="V27" s="769" t="s">
        <v>17</v>
      </c>
      <c r="W27" s="770">
        <f>J27</f>
        <v>100</v>
      </c>
      <c r="X27" s="771"/>
      <c r="Y27" s="3278"/>
      <c r="Z27" s="55" t="str">
        <f>Q27</f>
        <v>人流量</v>
      </c>
      <c r="AA27" s="1810">
        <f>D27/F27</f>
        <v>1.0204081632653061</v>
      </c>
      <c r="AB27" s="1810">
        <f>D27/H27</f>
        <v>1</v>
      </c>
      <c r="AC27" s="1810">
        <f>D27/J27</f>
        <v>1</v>
      </c>
    </row>
    <row r="28" spans="1:29" ht="15.75" thickBot="1">
      <c r="A28" s="427"/>
      <c r="B28" s="421" t="s">
        <v>2656</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9"/>
      <c r="M28" s="1130"/>
      <c r="N28" s="1130"/>
      <c r="O28" s="1130"/>
      <c r="P28" s="3276"/>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78"/>
      <c r="Z28" s="1813" t="str">
        <f t="shared" ref="Z28:Z46" si="15">Q28</f>
        <v>楼层</v>
      </c>
      <c r="AA28" s="1810">
        <f t="shared" si="3"/>
        <v>1</v>
      </c>
      <c r="AB28" s="1810">
        <f t="shared" si="4"/>
        <v>1</v>
      </c>
      <c r="AC28" s="1810">
        <f t="shared" si="5"/>
        <v>1</v>
      </c>
    </row>
    <row r="29" spans="1:29" ht="15" hidden="1">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76"/>
      <c r="Q29" s="1809">
        <f t="shared" si="11"/>
        <v>111</v>
      </c>
      <c r="R29" s="773" t="s">
        <v>17</v>
      </c>
      <c r="S29" s="774">
        <f t="shared" si="12"/>
        <v>100</v>
      </c>
      <c r="T29" s="773" t="s">
        <v>17</v>
      </c>
      <c r="U29" s="774">
        <f t="shared" si="13"/>
        <v>100</v>
      </c>
      <c r="V29" s="773" t="s">
        <v>17</v>
      </c>
      <c r="W29" s="774">
        <f t="shared" si="14"/>
        <v>100</v>
      </c>
      <c r="X29" s="1812"/>
      <c r="Y29" s="3278"/>
      <c r="Z29" s="1813">
        <f t="shared" si="15"/>
        <v>111</v>
      </c>
      <c r="AA29" s="1810">
        <f t="shared" si="3"/>
        <v>1</v>
      </c>
      <c r="AB29" s="1810">
        <f t="shared" si="4"/>
        <v>1</v>
      </c>
      <c r="AC29" s="1810">
        <f t="shared" si="5"/>
        <v>1</v>
      </c>
    </row>
    <row r="30" spans="1:29" ht="15" hidden="1">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76"/>
      <c r="Q30" s="1809">
        <f t="shared" si="11"/>
        <v>111</v>
      </c>
      <c r="R30" s="773" t="s">
        <v>17</v>
      </c>
      <c r="S30" s="774">
        <f t="shared" si="12"/>
        <v>100</v>
      </c>
      <c r="T30" s="773" t="s">
        <v>17</v>
      </c>
      <c r="U30" s="774">
        <f t="shared" si="13"/>
        <v>100</v>
      </c>
      <c r="V30" s="773" t="s">
        <v>17</v>
      </c>
      <c r="W30" s="774">
        <f t="shared" si="14"/>
        <v>100</v>
      </c>
      <c r="X30" s="1812"/>
      <c r="Y30" s="3278"/>
      <c r="Z30" s="1813">
        <f t="shared" si="15"/>
        <v>111</v>
      </c>
      <c r="AA30" s="1810">
        <f t="shared" si="3"/>
        <v>1</v>
      </c>
      <c r="AB30" s="1810">
        <f t="shared" si="4"/>
        <v>1</v>
      </c>
      <c r="AC30" s="1810">
        <f t="shared" si="5"/>
        <v>1</v>
      </c>
    </row>
    <row r="31" spans="1:29" ht="15.75" hidden="1"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76"/>
      <c r="Q31" s="1809">
        <f t="shared" si="11"/>
        <v>111</v>
      </c>
      <c r="R31" s="773" t="s">
        <v>17</v>
      </c>
      <c r="S31" s="774">
        <f t="shared" si="12"/>
        <v>100</v>
      </c>
      <c r="T31" s="773" t="s">
        <v>17</v>
      </c>
      <c r="U31" s="774">
        <f t="shared" si="13"/>
        <v>100</v>
      </c>
      <c r="V31" s="773" t="s">
        <v>17</v>
      </c>
      <c r="W31" s="774">
        <f t="shared" si="14"/>
        <v>100</v>
      </c>
      <c r="X31" s="1812"/>
      <c r="Y31" s="3278"/>
      <c r="Z31" s="1813">
        <f t="shared" si="15"/>
        <v>111</v>
      </c>
      <c r="AA31" s="1810">
        <f t="shared" si="3"/>
        <v>1</v>
      </c>
      <c r="AB31" s="1810">
        <f t="shared" si="4"/>
        <v>1</v>
      </c>
      <c r="AC31" s="1810">
        <f t="shared" si="5"/>
        <v>1</v>
      </c>
    </row>
    <row r="32" spans="1:29" ht="15">
      <c r="A32" s="439" t="s">
        <v>2560</v>
      </c>
      <c r="B32" s="3417" t="s">
        <v>2657</v>
      </c>
      <c r="C32" s="2617" t="s">
        <v>3260</v>
      </c>
      <c r="D32" s="466">
        <v>100</v>
      </c>
      <c r="E32" s="2617" t="s">
        <v>3290</v>
      </c>
      <c r="F32" s="460">
        <f>SUMIF(100:100,E32,101:101)-SUMIF(100:100,C32,101:101)+100</f>
        <v>94</v>
      </c>
      <c r="G32" s="2617" t="s">
        <v>3290</v>
      </c>
      <c r="H32" s="434">
        <f>SUMIF(100:100,G32,101:101)-SUMIF(100:100,C32,101:101)+100</f>
        <v>94</v>
      </c>
      <c r="I32" s="2617" t="s">
        <v>3290</v>
      </c>
      <c r="J32" s="466">
        <f>SUMIF(100:100,I32,101:101)-SUMIF(100:100,C32,101:101)+100</f>
        <v>94</v>
      </c>
      <c r="K32" s="611">
        <v>3</v>
      </c>
      <c r="L32" s="1139"/>
      <c r="M32" s="1130"/>
      <c r="N32" s="1130"/>
      <c r="O32" s="1130"/>
      <c r="P32" s="3279" t="s">
        <v>2562</v>
      </c>
      <c r="Q32" s="1809" t="str">
        <f t="shared" si="11"/>
        <v>商业类型</v>
      </c>
      <c r="R32" s="773" t="s">
        <v>17</v>
      </c>
      <c r="S32" s="774">
        <f t="shared" si="12"/>
        <v>94</v>
      </c>
      <c r="T32" s="773" t="s">
        <v>17</v>
      </c>
      <c r="U32" s="774">
        <f t="shared" si="13"/>
        <v>94</v>
      </c>
      <c r="V32" s="773" t="s">
        <v>17</v>
      </c>
      <c r="W32" s="774">
        <f t="shared" si="14"/>
        <v>94</v>
      </c>
      <c r="X32" s="1812"/>
      <c r="Y32" s="3282" t="s">
        <v>2562</v>
      </c>
      <c r="Z32" s="1813" t="str">
        <f t="shared" si="15"/>
        <v>商业类型</v>
      </c>
      <c r="AA32" s="1810">
        <f t="shared" si="3"/>
        <v>1.0638297872340425</v>
      </c>
      <c r="AB32" s="1810">
        <f t="shared" si="4"/>
        <v>1.0638297872340425</v>
      </c>
      <c r="AC32" s="1810">
        <f t="shared" si="5"/>
        <v>1.0638297872340425</v>
      </c>
    </row>
    <row r="33" spans="1:29" s="470" customFormat="1" ht="15">
      <c r="A33" s="467"/>
      <c r="B33" s="421" t="s">
        <v>2563</v>
      </c>
      <c r="C33" s="468">
        <f>Sheet1!E6</f>
        <v>5971.11</v>
      </c>
      <c r="D33" s="135">
        <v>100</v>
      </c>
      <c r="E33" s="429">
        <v>54</v>
      </c>
      <c r="F33" s="424">
        <f>LOOKUP(E33,103:103,104:104)-LOOKUP(C33,103:103,104:104)+100</f>
        <v>110</v>
      </c>
      <c r="G33" s="428">
        <v>110</v>
      </c>
      <c r="H33" s="135">
        <f>LOOKUP(G33,103:103,104:104)-LOOKUP(C33,103:103,104:104)+100</f>
        <v>110</v>
      </c>
      <c r="I33" s="428">
        <v>99</v>
      </c>
      <c r="J33" s="135">
        <f>LOOKUP(I33,103:103,104:104)-LOOKUP(C33,103:103,104:104)+100</f>
        <v>110</v>
      </c>
      <c r="K33" s="612"/>
      <c r="L33" s="1137"/>
      <c r="M33" s="1140"/>
      <c r="N33" s="1140"/>
      <c r="O33" s="1140"/>
      <c r="P33" s="3280"/>
      <c r="Q33" s="775" t="str">
        <f t="shared" si="11"/>
        <v>项目建筑规模</v>
      </c>
      <c r="R33" s="776" t="s">
        <v>17</v>
      </c>
      <c r="S33" s="777">
        <f t="shared" si="12"/>
        <v>110</v>
      </c>
      <c r="T33" s="776" t="s">
        <v>17</v>
      </c>
      <c r="U33" s="777">
        <f t="shared" si="13"/>
        <v>110</v>
      </c>
      <c r="V33" s="776" t="s">
        <v>17</v>
      </c>
      <c r="W33" s="777">
        <f t="shared" si="14"/>
        <v>110</v>
      </c>
      <c r="X33" s="778"/>
      <c r="Y33" s="3282"/>
      <c r="Z33" s="779" t="str">
        <f t="shared" si="15"/>
        <v>项目建筑规模</v>
      </c>
      <c r="AA33" s="1810">
        <f t="shared" si="3"/>
        <v>0.90909090909090906</v>
      </c>
      <c r="AB33" s="1810">
        <f t="shared" si="4"/>
        <v>0.90909090909090906</v>
      </c>
      <c r="AC33" s="1810">
        <f t="shared" si="5"/>
        <v>0.90909090909090906</v>
      </c>
    </row>
    <row r="34" spans="1:29" ht="15">
      <c r="A34" s="471"/>
      <c r="B34" s="421" t="s">
        <v>2564</v>
      </c>
      <c r="C34" s="2619" t="s">
        <v>3214</v>
      </c>
      <c r="D34" s="434">
        <v>100</v>
      </c>
      <c r="E34" s="2619" t="s">
        <v>3214</v>
      </c>
      <c r="F34" s="460">
        <f>SUMIF(105:105,E34,106:106)-SUMIF(105:105,C34,106:106)+100</f>
        <v>100</v>
      </c>
      <c r="G34" s="2619" t="s">
        <v>3214</v>
      </c>
      <c r="H34" s="434">
        <f>SUMIF(105:105,G34,106:106)-SUMIF(105:105,C34,106:106)+100</f>
        <v>100</v>
      </c>
      <c r="I34" s="2619" t="s">
        <v>3214</v>
      </c>
      <c r="J34" s="434">
        <f>SUMIF(105:105,I34,106:106)-SUMIF(105:105,C34,106:106)+100</f>
        <v>100</v>
      </c>
      <c r="K34" s="611">
        <v>2</v>
      </c>
      <c r="L34" s="1139"/>
      <c r="M34" s="1130"/>
      <c r="N34" s="1130"/>
      <c r="O34" s="1130"/>
      <c r="P34" s="3280"/>
      <c r="Q34" s="1809" t="str">
        <f t="shared" si="11"/>
        <v>建筑结构</v>
      </c>
      <c r="R34" s="773" t="s">
        <v>17</v>
      </c>
      <c r="S34" s="774">
        <f t="shared" si="12"/>
        <v>100</v>
      </c>
      <c r="T34" s="773" t="s">
        <v>17</v>
      </c>
      <c r="U34" s="774">
        <f t="shared" si="13"/>
        <v>100</v>
      </c>
      <c r="V34" s="773" t="s">
        <v>17</v>
      </c>
      <c r="W34" s="774">
        <f t="shared" si="14"/>
        <v>100</v>
      </c>
      <c r="X34" s="1812"/>
      <c r="Y34" s="3282"/>
      <c r="Z34" s="1813" t="str">
        <f t="shared" si="15"/>
        <v>建筑结构</v>
      </c>
      <c r="AA34" s="1810">
        <f t="shared" si="3"/>
        <v>1</v>
      </c>
      <c r="AB34" s="1810">
        <f t="shared" si="4"/>
        <v>1</v>
      </c>
      <c r="AC34" s="1810">
        <f t="shared" si="5"/>
        <v>1</v>
      </c>
    </row>
    <row r="35" spans="1:29" ht="15">
      <c r="A35" s="471"/>
      <c r="B35" s="421" t="s">
        <v>2658</v>
      </c>
      <c r="C35" s="2613" t="s">
        <v>3255</v>
      </c>
      <c r="D35" s="434">
        <v>100</v>
      </c>
      <c r="E35" s="2613" t="s">
        <v>3255</v>
      </c>
      <c r="F35" s="460">
        <f>SUMIF(107:107,E35,108:108)-SUMIF(107:107,C35,108:108)+100</f>
        <v>100</v>
      </c>
      <c r="G35" s="2613" t="s">
        <v>3255</v>
      </c>
      <c r="H35" s="434">
        <f>SUMIF(107:107,G35,108:108)-SUMIF(107:107,C35,108:108)+100</f>
        <v>100</v>
      </c>
      <c r="I35" s="2613" t="s">
        <v>3255</v>
      </c>
      <c r="J35" s="434">
        <f>SUMIF(107:107,I35,108:108)-SUMIF(107:107,C35,108:108)+100</f>
        <v>100</v>
      </c>
      <c r="K35" s="611">
        <v>2</v>
      </c>
      <c r="L35" s="1139"/>
      <c r="M35" s="1130"/>
      <c r="N35" s="1130"/>
      <c r="O35" s="1130"/>
      <c r="P35" s="3280"/>
      <c r="Q35" s="1809" t="str">
        <f t="shared" si="11"/>
        <v>公共部分装修</v>
      </c>
      <c r="R35" s="773" t="s">
        <v>17</v>
      </c>
      <c r="S35" s="774">
        <f t="shared" si="12"/>
        <v>100</v>
      </c>
      <c r="T35" s="773" t="s">
        <v>17</v>
      </c>
      <c r="U35" s="774">
        <f t="shared" si="13"/>
        <v>100</v>
      </c>
      <c r="V35" s="773" t="s">
        <v>17</v>
      </c>
      <c r="W35" s="774">
        <f t="shared" si="14"/>
        <v>100</v>
      </c>
      <c r="X35" s="1812"/>
      <c r="Y35" s="3282"/>
      <c r="Z35" s="1813" t="str">
        <f t="shared" si="15"/>
        <v>公共部分装修</v>
      </c>
      <c r="AA35" s="1810">
        <f t="shared" si="3"/>
        <v>1</v>
      </c>
      <c r="AB35" s="1810">
        <f t="shared" si="4"/>
        <v>1</v>
      </c>
      <c r="AC35" s="1810">
        <f t="shared" si="5"/>
        <v>1</v>
      </c>
    </row>
    <row r="36" spans="1:29" ht="15">
      <c r="A36" s="471"/>
      <c r="B36" s="421" t="s">
        <v>2659</v>
      </c>
      <c r="C36" s="473">
        <f>'数据-取费表'!Y6</f>
        <v>0.82</v>
      </c>
      <c r="D36" s="434">
        <v>100</v>
      </c>
      <c r="E36" s="473">
        <f>1-(2019-2010)/60</f>
        <v>0.85</v>
      </c>
      <c r="F36" s="460">
        <f>LOOKUP(E36,110:110,111:111)-LOOKUP(C36,110:110,111:111)+100</f>
        <v>100</v>
      </c>
      <c r="G36" s="473">
        <f>1-(2019-1999)/60</f>
        <v>0.66666666666666674</v>
      </c>
      <c r="H36" s="460">
        <f>LOOKUP(G36,110:110,111:111)-LOOKUP(C36,110:110,111:111)+100</f>
        <v>96</v>
      </c>
      <c r="I36" s="473">
        <f>1-(2019-2013)/60</f>
        <v>0.9</v>
      </c>
      <c r="J36" s="434">
        <f>LOOKUP(I36,110:110,111:111)-LOOKUP(C36,110:110,111:111)+100</f>
        <v>102</v>
      </c>
      <c r="K36" s="611">
        <v>2</v>
      </c>
      <c r="L36" s="1139"/>
      <c r="M36" s="1130"/>
      <c r="N36" s="1130"/>
      <c r="O36" s="1130"/>
      <c r="P36" s="3280"/>
      <c r="Q36" s="1809" t="str">
        <f t="shared" si="11"/>
        <v>成新度</v>
      </c>
      <c r="R36" s="773" t="s">
        <v>17</v>
      </c>
      <c r="S36" s="774">
        <f t="shared" si="12"/>
        <v>100</v>
      </c>
      <c r="T36" s="773" t="s">
        <v>17</v>
      </c>
      <c r="U36" s="774">
        <f t="shared" si="13"/>
        <v>96</v>
      </c>
      <c r="V36" s="773" t="s">
        <v>17</v>
      </c>
      <c r="W36" s="774">
        <f t="shared" si="14"/>
        <v>102</v>
      </c>
      <c r="X36" s="1812"/>
      <c r="Y36" s="3282"/>
      <c r="Z36" s="1813" t="str">
        <f t="shared" si="15"/>
        <v>成新度</v>
      </c>
      <c r="AA36" s="1810">
        <f t="shared" si="3"/>
        <v>1</v>
      </c>
      <c r="AB36" s="1810">
        <f t="shared" si="4"/>
        <v>1.0416666666666667</v>
      </c>
      <c r="AC36" s="1810">
        <f t="shared" si="5"/>
        <v>0.98039215686274506</v>
      </c>
    </row>
    <row r="37" spans="1:29" s="116" customFormat="1" ht="15">
      <c r="A37" s="472"/>
      <c r="B37" s="421" t="s">
        <v>2660</v>
      </c>
      <c r="C37" s="2613" t="s">
        <v>3230</v>
      </c>
      <c r="D37" s="135">
        <v>100</v>
      </c>
      <c r="E37" s="2613" t="s">
        <v>3230</v>
      </c>
      <c r="F37" s="460">
        <f>SUMIF(112:112,E37,113:113)-SUMIF(112:112,C37,113:113)+100</f>
        <v>100</v>
      </c>
      <c r="G37" s="2613" t="s">
        <v>3230</v>
      </c>
      <c r="H37" s="434">
        <f>SUMIF(112:112,G37,113:113)-SUMIF(112:112,C37,113:113)+100</f>
        <v>100</v>
      </c>
      <c r="I37" s="2613" t="s">
        <v>3230</v>
      </c>
      <c r="J37" s="434">
        <f>SUMIF(112:112,I37,113:113)-SUMIF(112:112,C37,113:113)+100</f>
        <v>100</v>
      </c>
      <c r="K37" s="611">
        <v>1</v>
      </c>
      <c r="L37" s="1131"/>
      <c r="M37" s="1132"/>
      <c r="N37" s="1132"/>
      <c r="O37" s="1132"/>
      <c r="P37" s="3280"/>
      <c r="Q37" s="1794" t="str">
        <f t="shared" si="11"/>
        <v>市政基础设施</v>
      </c>
      <c r="R37" s="769" t="s">
        <v>17</v>
      </c>
      <c r="S37" s="770">
        <f t="shared" si="12"/>
        <v>100</v>
      </c>
      <c r="T37" s="769" t="s">
        <v>17</v>
      </c>
      <c r="U37" s="770">
        <f t="shared" si="13"/>
        <v>100</v>
      </c>
      <c r="V37" s="769" t="s">
        <v>17</v>
      </c>
      <c r="W37" s="770">
        <f t="shared" si="14"/>
        <v>100</v>
      </c>
      <c r="X37" s="771"/>
      <c r="Y37" s="3282"/>
      <c r="Z37" s="55" t="str">
        <f t="shared" si="15"/>
        <v>市政基础设施</v>
      </c>
      <c r="AA37" s="772">
        <f t="shared" si="3"/>
        <v>1</v>
      </c>
      <c r="AB37" s="772">
        <f t="shared" si="4"/>
        <v>1</v>
      </c>
      <c r="AC37" s="772">
        <f t="shared" si="5"/>
        <v>1</v>
      </c>
    </row>
    <row r="38" spans="1:29" ht="15">
      <c r="A38" s="471"/>
      <c r="B38" s="3383" t="s">
        <v>2661</v>
      </c>
      <c r="C38" s="2613" t="s">
        <v>3265</v>
      </c>
      <c r="D38" s="434">
        <v>100</v>
      </c>
      <c r="E38" s="2613" t="s">
        <v>3265</v>
      </c>
      <c r="F38" s="460">
        <f>SUMIF(114:114,E38,115:115)-SUMIF(114:114,C38,115:115)+100</f>
        <v>100</v>
      </c>
      <c r="G38" s="2613" t="s">
        <v>3265</v>
      </c>
      <c r="H38" s="434">
        <f>SUMIF(114:114,G38,115:115)-SUMIF(114:114,C38,115:115)+100</f>
        <v>100</v>
      </c>
      <c r="I38" s="2613" t="s">
        <v>3265</v>
      </c>
      <c r="J38" s="434">
        <f>SUMIF(114:114,I38,115:115)-SUMIF(114:114,C38,115:115)+100</f>
        <v>100</v>
      </c>
      <c r="K38" s="611">
        <v>3</v>
      </c>
      <c r="L38" s="1139"/>
      <c r="M38" s="1130"/>
      <c r="N38" s="1130"/>
      <c r="O38" s="1130"/>
      <c r="P38" s="3280" t="s">
        <v>2562</v>
      </c>
      <c r="Q38" s="1809" t="str">
        <f t="shared" si="11"/>
        <v>业态</v>
      </c>
      <c r="R38" s="773" t="s">
        <v>17</v>
      </c>
      <c r="S38" s="774">
        <f t="shared" si="12"/>
        <v>100</v>
      </c>
      <c r="T38" s="773" t="s">
        <v>17</v>
      </c>
      <c r="U38" s="774">
        <f t="shared" si="13"/>
        <v>100</v>
      </c>
      <c r="V38" s="773" t="s">
        <v>17</v>
      </c>
      <c r="W38" s="774">
        <f t="shared" si="14"/>
        <v>100</v>
      </c>
      <c r="X38" s="1812"/>
      <c r="Y38" s="3282" t="s">
        <v>2562</v>
      </c>
      <c r="Z38" s="1813" t="str">
        <f t="shared" si="15"/>
        <v>业态</v>
      </c>
      <c r="AA38" s="1810">
        <f t="shared" si="3"/>
        <v>1</v>
      </c>
      <c r="AB38" s="1810">
        <f t="shared" si="4"/>
        <v>1</v>
      </c>
      <c r="AC38" s="1810">
        <f t="shared" si="5"/>
        <v>1</v>
      </c>
    </row>
    <row r="39" spans="1:29" ht="15">
      <c r="A39" s="471"/>
      <c r="B39" s="421" t="s">
        <v>2662</v>
      </c>
      <c r="C39" s="2613" t="s">
        <v>3269</v>
      </c>
      <c r="D39" s="434">
        <v>100</v>
      </c>
      <c r="E39" s="2613" t="s">
        <v>3269</v>
      </c>
      <c r="F39" s="460">
        <f>SUMIF(116:116,E39,117:117)-SUMIF(116:116,C39,117:117)+100</f>
        <v>100</v>
      </c>
      <c r="G39" s="2613" t="s">
        <v>3269</v>
      </c>
      <c r="H39" s="434">
        <f>SUMIF(116:116,G39,117:117)-SUMIF(116:116,C39,117:117)+100</f>
        <v>100</v>
      </c>
      <c r="I39" s="2613" t="s">
        <v>3269</v>
      </c>
      <c r="J39" s="434">
        <f>SUMIF(116:116,I39,117:117)-SUMIF(116:116,C39,117:117)+100</f>
        <v>100</v>
      </c>
      <c r="K39" s="611">
        <v>5</v>
      </c>
      <c r="L39" s="1139"/>
      <c r="M39" s="1130"/>
      <c r="N39" s="1130"/>
      <c r="O39" s="1130"/>
      <c r="P39" s="3280"/>
      <c r="Q39" s="1809" t="str">
        <f t="shared" si="11"/>
        <v>层高</v>
      </c>
      <c r="R39" s="773" t="s">
        <v>17</v>
      </c>
      <c r="S39" s="774">
        <f t="shared" si="12"/>
        <v>100</v>
      </c>
      <c r="T39" s="773" t="s">
        <v>17</v>
      </c>
      <c r="U39" s="774">
        <f t="shared" si="13"/>
        <v>100</v>
      </c>
      <c r="V39" s="773" t="s">
        <v>17</v>
      </c>
      <c r="W39" s="774">
        <f t="shared" si="14"/>
        <v>100</v>
      </c>
      <c r="X39" s="1812"/>
      <c r="Y39" s="3282"/>
      <c r="Z39" s="1813" t="str">
        <f t="shared" si="15"/>
        <v>层高</v>
      </c>
      <c r="AA39" s="1810">
        <f t="shared" si="3"/>
        <v>1</v>
      </c>
      <c r="AB39" s="1810">
        <f t="shared" si="4"/>
        <v>1</v>
      </c>
      <c r="AC39" s="1810">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80"/>
      <c r="Q40" s="1809" t="str">
        <f t="shared" si="11"/>
        <v>单套建筑面积</v>
      </c>
      <c r="R40" s="773" t="s">
        <v>17</v>
      </c>
      <c r="S40" s="774">
        <f t="shared" si="12"/>
        <v>100</v>
      </c>
      <c r="T40" s="773" t="s">
        <v>17</v>
      </c>
      <c r="U40" s="774">
        <f t="shared" si="13"/>
        <v>100</v>
      </c>
      <c r="V40" s="773" t="s">
        <v>17</v>
      </c>
      <c r="W40" s="774">
        <f t="shared" si="14"/>
        <v>100</v>
      </c>
      <c r="X40" s="1812"/>
      <c r="Y40" s="3282"/>
      <c r="Z40" s="1813" t="str">
        <f t="shared" si="15"/>
        <v>单套建筑面积</v>
      </c>
      <c r="AA40" s="1810">
        <f t="shared" si="3"/>
        <v>1</v>
      </c>
      <c r="AB40" s="1810">
        <f t="shared" si="4"/>
        <v>1</v>
      </c>
      <c r="AC40" s="1810">
        <f t="shared" si="5"/>
        <v>1</v>
      </c>
    </row>
    <row r="41" spans="1:29" s="470" customFormat="1" ht="15">
      <c r="A41" s="467"/>
      <c r="B41" s="1811"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80"/>
      <c r="Q41" s="775" t="str">
        <f t="shared" si="11"/>
        <v>进深比</v>
      </c>
      <c r="R41" s="776" t="s">
        <v>17</v>
      </c>
      <c r="S41" s="777">
        <f t="shared" si="12"/>
        <v>100</v>
      </c>
      <c r="T41" s="776" t="s">
        <v>17</v>
      </c>
      <c r="U41" s="777">
        <f t="shared" si="13"/>
        <v>100</v>
      </c>
      <c r="V41" s="776" t="s">
        <v>17</v>
      </c>
      <c r="W41" s="777">
        <f t="shared" si="14"/>
        <v>100</v>
      </c>
      <c r="X41" s="778"/>
      <c r="Y41" s="3282"/>
      <c r="Z41" s="779" t="str">
        <f t="shared" si="15"/>
        <v>进深比</v>
      </c>
      <c r="AA41" s="1810">
        <f t="shared" si="3"/>
        <v>1</v>
      </c>
      <c r="AB41" s="1810">
        <f t="shared" si="4"/>
        <v>1</v>
      </c>
      <c r="AC41" s="1810">
        <f t="shared" si="5"/>
        <v>1</v>
      </c>
    </row>
    <row r="42" spans="1:29" ht="15">
      <c r="A42" s="471"/>
      <c r="B42" s="421" t="s">
        <v>2665</v>
      </c>
      <c r="C42" s="2613" t="s">
        <v>3255</v>
      </c>
      <c r="D42" s="434">
        <v>100</v>
      </c>
      <c r="E42" s="2613" t="s">
        <v>3255</v>
      </c>
      <c r="F42" s="460">
        <f>SUMIF(122:122,E42,123:123)-SUMIF(122:122,C42,123:123)+100</f>
        <v>100</v>
      </c>
      <c r="G42" s="2613" t="s">
        <v>3255</v>
      </c>
      <c r="H42" s="434">
        <f>SUMIF(122:122,G42,123:123)-SUMIF(122:122,C42,123:123)+100</f>
        <v>100</v>
      </c>
      <c r="I42" s="2613" t="s">
        <v>3255</v>
      </c>
      <c r="J42" s="434">
        <f>SUMIF(122:122,I42,123:123)-SUMIF(122:122,C42,123:123)+100</f>
        <v>100</v>
      </c>
      <c r="K42" s="611">
        <v>2</v>
      </c>
      <c r="L42" s="1139"/>
      <c r="M42" s="1130"/>
      <c r="N42" s="1130"/>
      <c r="O42" s="1130"/>
      <c r="P42" s="3280"/>
      <c r="Q42" s="1809" t="str">
        <f t="shared" si="11"/>
        <v>内部装修</v>
      </c>
      <c r="R42" s="773" t="s">
        <v>17</v>
      </c>
      <c r="S42" s="774">
        <f t="shared" si="12"/>
        <v>100</v>
      </c>
      <c r="T42" s="773" t="s">
        <v>17</v>
      </c>
      <c r="U42" s="774">
        <f t="shared" si="13"/>
        <v>100</v>
      </c>
      <c r="V42" s="773" t="s">
        <v>17</v>
      </c>
      <c r="W42" s="774">
        <f t="shared" si="14"/>
        <v>100</v>
      </c>
      <c r="X42" s="1812"/>
      <c r="Y42" s="3282"/>
      <c r="Z42" s="1813" t="str">
        <f t="shared" si="15"/>
        <v>内部装修</v>
      </c>
      <c r="AA42" s="1810">
        <f t="shared" si="3"/>
        <v>1</v>
      </c>
      <c r="AB42" s="1810">
        <f t="shared" si="4"/>
        <v>1</v>
      </c>
      <c r="AC42" s="1810">
        <f t="shared" si="5"/>
        <v>1</v>
      </c>
    </row>
    <row r="43" spans="1:29" ht="15">
      <c r="A43" s="471"/>
      <c r="B43" s="421" t="s">
        <v>2573</v>
      </c>
      <c r="C43" s="2613" t="s">
        <v>3229</v>
      </c>
      <c r="D43" s="434">
        <v>100</v>
      </c>
      <c r="E43" s="2613" t="s">
        <v>3229</v>
      </c>
      <c r="F43" s="460">
        <f>SUMIF(124:124,E43,125:125)-SUMIF(124:124,C43,125:125)+100</f>
        <v>100</v>
      </c>
      <c r="G43" s="2613" t="s">
        <v>3229</v>
      </c>
      <c r="H43" s="434">
        <f>SUMIF(124:124,G43,125:125)-SUMIF(124:124,C43,125:125)+100</f>
        <v>100</v>
      </c>
      <c r="I43" s="2613" t="s">
        <v>3229</v>
      </c>
      <c r="J43" s="434">
        <f>SUMIF(124:124,I43,125:125)-SUMIF(124:124,C43,125:125)+100</f>
        <v>100</v>
      </c>
      <c r="K43" s="611">
        <v>2</v>
      </c>
      <c r="L43" s="1139"/>
      <c r="M43" s="1130"/>
      <c r="N43" s="1130"/>
      <c r="O43" s="1130"/>
      <c r="P43" s="3280"/>
      <c r="Q43" s="1809" t="str">
        <f t="shared" si="11"/>
        <v>内部装修维护情况</v>
      </c>
      <c r="R43" s="773" t="s">
        <v>17</v>
      </c>
      <c r="S43" s="774">
        <f t="shared" si="12"/>
        <v>100</v>
      </c>
      <c r="T43" s="773" t="s">
        <v>17</v>
      </c>
      <c r="U43" s="774">
        <f t="shared" si="13"/>
        <v>100</v>
      </c>
      <c r="V43" s="773" t="s">
        <v>17</v>
      </c>
      <c r="W43" s="774">
        <f t="shared" si="14"/>
        <v>100</v>
      </c>
      <c r="X43" s="1812"/>
      <c r="Y43" s="3282"/>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80"/>
      <c r="Q44" s="1794">
        <f t="shared" si="11"/>
        <v>111</v>
      </c>
      <c r="R44" s="769" t="s">
        <v>17</v>
      </c>
      <c r="S44" s="770">
        <f t="shared" si="12"/>
        <v>100</v>
      </c>
      <c r="T44" s="769" t="s">
        <v>17</v>
      </c>
      <c r="U44" s="770">
        <f t="shared" si="13"/>
        <v>100</v>
      </c>
      <c r="V44" s="769" t="s">
        <v>17</v>
      </c>
      <c r="W44" s="770">
        <f t="shared" si="14"/>
        <v>100</v>
      </c>
      <c r="X44" s="771"/>
      <c r="Y44" s="3282"/>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80"/>
      <c r="Q45" s="1809">
        <f t="shared" si="11"/>
        <v>111</v>
      </c>
      <c r="R45" s="773" t="s">
        <v>17</v>
      </c>
      <c r="S45" s="774">
        <f t="shared" si="12"/>
        <v>100</v>
      </c>
      <c r="T45" s="773" t="s">
        <v>17</v>
      </c>
      <c r="U45" s="774">
        <f t="shared" si="13"/>
        <v>100</v>
      </c>
      <c r="V45" s="773" t="s">
        <v>17</v>
      </c>
      <c r="W45" s="774">
        <f t="shared" si="14"/>
        <v>100</v>
      </c>
      <c r="X45" s="1812"/>
      <c r="Y45" s="3282"/>
      <c r="Z45" s="1813">
        <f t="shared" si="15"/>
        <v>111</v>
      </c>
      <c r="AA45" s="1810">
        <f t="shared" si="3"/>
        <v>1</v>
      </c>
      <c r="AB45" s="1810">
        <f t="shared" si="4"/>
        <v>1</v>
      </c>
      <c r="AC45" s="1810">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81"/>
      <c r="Q46" s="1809">
        <f t="shared" si="11"/>
        <v>111</v>
      </c>
      <c r="R46" s="773" t="s">
        <v>17</v>
      </c>
      <c r="S46" s="774">
        <f t="shared" si="12"/>
        <v>100</v>
      </c>
      <c r="T46" s="773" t="s">
        <v>17</v>
      </c>
      <c r="U46" s="774">
        <f t="shared" si="13"/>
        <v>100</v>
      </c>
      <c r="V46" s="773" t="s">
        <v>17</v>
      </c>
      <c r="W46" s="774">
        <f t="shared" si="14"/>
        <v>100</v>
      </c>
      <c r="X46" s="1812"/>
      <c r="Y46" s="3283"/>
      <c r="Z46" s="1813">
        <f t="shared" si="15"/>
        <v>111</v>
      </c>
      <c r="AA46" s="1810">
        <f t="shared" si="3"/>
        <v>1</v>
      </c>
      <c r="AB46" s="1810">
        <f t="shared" si="4"/>
        <v>1</v>
      </c>
      <c r="AC46" s="1810">
        <f t="shared" si="5"/>
        <v>1</v>
      </c>
    </row>
    <row r="47" spans="1:29" ht="15">
      <c r="A47" s="478" t="s">
        <v>2574</v>
      </c>
      <c r="B47" s="479"/>
      <c r="C47" s="1406" t="s">
        <v>1</v>
      </c>
      <c r="D47" s="1407"/>
      <c r="E47" s="1408">
        <f>ROUND(51852*K50,0)</f>
        <v>51852</v>
      </c>
      <c r="F47" s="1409"/>
      <c r="G47" s="1410">
        <f>ROUND(44091*K50,0)</f>
        <v>44091</v>
      </c>
      <c r="H47" s="1411"/>
      <c r="I47" s="1408">
        <f>ROUND(50000*K50,0)</f>
        <v>50000</v>
      </c>
      <c r="J47" s="1411"/>
      <c r="K47" s="782"/>
      <c r="L47" s="1142"/>
      <c r="M47" s="1143"/>
      <c r="N47" s="1130"/>
      <c r="O47" s="1143"/>
      <c r="P47" s="3284" t="str">
        <f>A47</f>
        <v>成交单价（元/平方米）</v>
      </c>
      <c r="Q47" s="3284"/>
      <c r="R47" s="3245">
        <f>E47</f>
        <v>51852</v>
      </c>
      <c r="S47" s="3245"/>
      <c r="T47" s="3245">
        <f>G47</f>
        <v>44091</v>
      </c>
      <c r="U47" s="3245"/>
      <c r="V47" s="3245">
        <f>I47</f>
        <v>50000</v>
      </c>
      <c r="W47" s="3245"/>
      <c r="X47" s="758"/>
      <c r="Y47" s="780"/>
      <c r="Z47" s="758"/>
      <c r="AA47" s="758"/>
      <c r="AB47" s="758"/>
      <c r="AC47" s="758"/>
    </row>
    <row r="48" spans="1:29" ht="15.75" thickBot="1">
      <c r="A48" s="485" t="s">
        <v>2666</v>
      </c>
      <c r="B48" s="486"/>
      <c r="C48" s="1412">
        <f>R49</f>
        <v>48671</v>
      </c>
      <c r="D48" s="1413"/>
      <c r="E48" s="1414">
        <f>R48</f>
        <v>53280</v>
      </c>
      <c r="F48" s="1414"/>
      <c r="G48" s="1412">
        <f>T48</f>
        <v>45324</v>
      </c>
      <c r="H48" s="1413"/>
      <c r="I48" s="1414">
        <f>V48</f>
        <v>47408</v>
      </c>
      <c r="J48" s="1413"/>
      <c r="K48" s="783"/>
      <c r="L48" s="1142"/>
      <c r="M48" s="1143"/>
      <c r="N48" s="1130"/>
      <c r="O48" s="1143"/>
      <c r="P48" s="3284" t="str">
        <f>A48</f>
        <v>比较价值（元/平方米）</v>
      </c>
      <c r="Q48" s="3284"/>
      <c r="R48" s="3285">
        <f>IF(F1="售价",ROUND(PRODUCT(R47,AA7:AA46),0),ROUND(PRODUCT(R47,AA7:AA46),1))</f>
        <v>53280</v>
      </c>
      <c r="S48" s="3285"/>
      <c r="T48" s="3285">
        <f>IF(F1="售价",ROUND(PRODUCT(T47,AB7:AB46),0),ROUND(PRODUCT(T47,AB7:AB46),1))</f>
        <v>45324</v>
      </c>
      <c r="U48" s="3285"/>
      <c r="V48" s="3285">
        <f>IF(F1="售价",ROUND(PRODUCT(V47,AC7:AC46),0),ROUND(PRODUCT(V47,AC7:AC46),1))</f>
        <v>47408</v>
      </c>
      <c r="W48" s="3285"/>
      <c r="X48" s="758"/>
      <c r="Y48" s="758"/>
      <c r="Z48" s="758"/>
      <c r="AA48" s="758"/>
      <c r="AB48" s="758"/>
      <c r="AC48" s="758"/>
    </row>
    <row r="49" spans="1:29" ht="15.75" thickBot="1">
      <c r="A49" s="491" t="s">
        <v>2667</v>
      </c>
      <c r="B49" s="492"/>
      <c r="C49" s="1416">
        <f>R49</f>
        <v>48671</v>
      </c>
      <c r="D49" s="1416"/>
      <c r="E49" s="1416"/>
      <c r="F49" s="1416"/>
      <c r="G49" s="1416"/>
      <c r="H49" s="1416"/>
      <c r="I49" s="1416"/>
      <c r="J49" s="1416"/>
      <c r="K49" s="784"/>
      <c r="L49" s="1142"/>
      <c r="M49" s="1143"/>
      <c r="N49" s="1130"/>
      <c r="O49" s="1143"/>
      <c r="P49" s="3286" t="str">
        <f>A49</f>
        <v>估价对象XX用房的比较价值（楼面单价，元/平方米）</v>
      </c>
      <c r="Q49" s="3287"/>
      <c r="R49" s="3288">
        <f>IF(F1="售价",ROUND(AVERAGE(R48:V48),0),ROUND(AVERAGE(R48:V48),1))</f>
        <v>48671</v>
      </c>
      <c r="S49" s="3288"/>
      <c r="T49" s="3288"/>
      <c r="U49" s="3288"/>
      <c r="V49" s="3288"/>
      <c r="W49" s="3288"/>
      <c r="X49" s="758"/>
      <c r="Y49" s="758"/>
      <c r="Z49" s="758"/>
      <c r="AA49" s="758"/>
      <c r="AB49" s="758"/>
      <c r="AC49" s="758"/>
    </row>
    <row r="50" spans="1:29">
      <c r="A50" s="1143"/>
      <c r="B50" s="1143"/>
      <c r="C50" s="1143"/>
      <c r="D50" s="1143"/>
      <c r="E50" s="1143">
        <v>2010</v>
      </c>
      <c r="F50" s="1143"/>
      <c r="G50" s="3045">
        <v>1999</v>
      </c>
      <c r="H50" s="1143"/>
      <c r="I50" s="1143">
        <v>2013</v>
      </c>
      <c r="J50" s="1143"/>
      <c r="K50" s="1104">
        <v>1</v>
      </c>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2668</v>
      </c>
      <c r="D52" s="497"/>
      <c r="E52" s="498">
        <f>IF(E47&lt;E48,E48/E47-1,E47/E48-1)</f>
        <v>2.753992131451044E-2</v>
      </c>
      <c r="F52" s="499" t="str">
        <f>IF(OR(E52&gt;=0.3,E52&lt;=-0.3),"超过30%","")</f>
        <v/>
      </c>
      <c r="G52" s="498">
        <f>IF(G47&lt;G48,G48/G47-1,G47/G48-1)</f>
        <v>2.7964890794039521E-2</v>
      </c>
      <c r="H52" s="499" t="str">
        <f>IF(OR(G52&gt;=0.3,G52&lt;=-0.3),"超过30%","")</f>
        <v/>
      </c>
      <c r="I52" s="498">
        <f>IF(I47&lt;I48,I48/I47-1,I47/I48-1)</f>
        <v>5.4674316571042825E-2</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2669</v>
      </c>
      <c r="D53" s="500"/>
      <c r="E53" s="498">
        <f>IF(E48&lt;G48,G48/E48-1,E48/G48-1)</f>
        <v>0.17553613979348692</v>
      </c>
      <c r="F53" s="499" t="str">
        <f>IF(OR(E53&gt;=0.2,E53&lt;=-0.2),"超过20%","")</f>
        <v/>
      </c>
      <c r="G53" s="498">
        <f>IF(G48&lt;I48,I48/G48-1,G48/I48-1)</f>
        <v>4.5980054717147611E-2</v>
      </c>
      <c r="H53" s="499" t="str">
        <f>IF(OR(G53&gt;=0.2,G53&lt;=-0.2),"超过20%","")</f>
        <v/>
      </c>
      <c r="I53" s="498">
        <f>IF(I48&lt;E48,E48/I48-1,I48/E48-1)</f>
        <v>0.1238609517381033</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2670</v>
      </c>
      <c r="D54" s="500"/>
      <c r="E54" s="498">
        <f>IF(E47&lt;G47,G47/E47-1,E47/G47-1)</f>
        <v>0.17602231747975772</v>
      </c>
      <c r="F54" s="499" t="str">
        <f>IF(OR(E54&gt;=0.3,E54&lt;=-0.3),"超过30%","")</f>
        <v/>
      </c>
      <c r="G54" s="498">
        <f>IF(G47&lt;I47,I47/G47-1,G47/I47-1)</f>
        <v>0.13401828037467967</v>
      </c>
      <c r="H54" s="499" t="str">
        <f>IF(OR(G54&gt;=0.3,G54&lt;=-0.3),"超过30%","")</f>
        <v/>
      </c>
      <c r="I54" s="498">
        <f>IF(I47&lt;E47,E47/I47-1,I47/E47-1)</f>
        <v>3.7039999999999962E-2</v>
      </c>
      <c r="J54" s="499" t="str">
        <f>IF(OR(I54&gt;=0.3,I54&lt;=-0.3),"超过30%","")</f>
        <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2545</v>
      </c>
      <c r="B58" s="505"/>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6" customFormat="1" ht="15">
      <c r="A59" s="508"/>
      <c r="B59" s="509"/>
      <c r="C59" s="1572">
        <v>100</v>
      </c>
      <c r="D59" s="511">
        <f>C59-$C$60</f>
        <v>99</v>
      </c>
      <c r="E59" s="511">
        <f t="shared" ref="E59:L59" si="17">D59-$C$60</f>
        <v>98</v>
      </c>
      <c r="F59" s="511">
        <f t="shared" si="17"/>
        <v>97</v>
      </c>
      <c r="G59" s="511">
        <f t="shared" si="17"/>
        <v>96</v>
      </c>
      <c r="H59" s="511">
        <f t="shared" si="17"/>
        <v>95</v>
      </c>
      <c r="I59" s="511">
        <f t="shared" si="17"/>
        <v>94</v>
      </c>
      <c r="J59" s="511">
        <f t="shared" si="17"/>
        <v>93</v>
      </c>
      <c r="K59" s="511">
        <f t="shared" si="17"/>
        <v>92</v>
      </c>
      <c r="L59" s="511">
        <f t="shared" si="17"/>
        <v>91</v>
      </c>
      <c r="M59" s="512"/>
      <c r="N59" s="511"/>
      <c r="O59" s="512"/>
      <c r="P59" s="2628"/>
    </row>
    <row r="60" spans="1:29" s="116" customFormat="1" ht="15.75" thickBot="1">
      <c r="A60" s="514" t="s">
        <v>2582</v>
      </c>
      <c r="B60" s="515"/>
      <c r="C60" s="516">
        <v>1</v>
      </c>
      <c r="D60" s="517"/>
      <c r="E60" s="517"/>
      <c r="F60" s="517"/>
      <c r="G60" s="517"/>
      <c r="H60" s="517"/>
      <c r="I60" s="517"/>
      <c r="J60" s="517"/>
      <c r="K60" s="517"/>
      <c r="L60" s="517"/>
      <c r="M60" s="518"/>
      <c r="N60" s="517"/>
      <c r="O60" s="518"/>
      <c r="P60" s="2628"/>
      <c r="Q60" s="503"/>
    </row>
    <row r="61" spans="1:29" s="116" customFormat="1" ht="15">
      <c r="A61" s="520" t="s">
        <v>2547</v>
      </c>
      <c r="B61" s="509"/>
      <c r="C61" s="521" t="s">
        <v>2649</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2585</v>
      </c>
      <c r="B63" s="527" t="s">
        <v>2551</v>
      </c>
      <c r="C63" s="528" t="str">
        <f>C9</f>
        <v>商业</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30"/>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30"/>
      <c r="Q66" s="503"/>
    </row>
    <row r="67" spans="1:17" ht="15.75" thickTop="1">
      <c r="A67" s="533"/>
      <c r="B67" s="545" t="s">
        <v>2555</v>
      </c>
      <c r="C67" s="546" t="str">
        <f>C68&amp;"（含）"&amp;"-"&amp;D68</f>
        <v>1（含）-2</v>
      </c>
      <c r="D67" s="546" t="str">
        <f t="shared" ref="D67:L67" si="18">D68&amp;"（含）"&amp;"-"&amp;E68</f>
        <v>2（含）-3</v>
      </c>
      <c r="E67" s="546" t="str">
        <f t="shared" si="18"/>
        <v>3（含）-4</v>
      </c>
      <c r="F67" s="546" t="str">
        <f t="shared" si="18"/>
        <v>4（含）-5</v>
      </c>
      <c r="G67" s="546" t="str">
        <f t="shared" si="18"/>
        <v>5（含）-</v>
      </c>
      <c r="H67" s="546" t="str">
        <f t="shared" si="18"/>
        <v>（含）-</v>
      </c>
      <c r="I67" s="546" t="str">
        <f t="shared" si="18"/>
        <v>（含）-</v>
      </c>
      <c r="J67" s="546" t="str">
        <f t="shared" si="18"/>
        <v>（含）-</v>
      </c>
      <c r="K67" s="546" t="str">
        <f t="shared" si="18"/>
        <v>（含）-</v>
      </c>
      <c r="L67" s="546" t="str">
        <f t="shared" si="18"/>
        <v>（含）-</v>
      </c>
      <c r="M67" s="447" t="str">
        <f>M68&amp;"（含）"&amp;"-"&amp;P68</f>
        <v>（含）-</v>
      </c>
      <c r="N67" s="1152"/>
      <c r="O67" s="1152"/>
      <c r="P67" s="2630"/>
      <c r="Q67" s="503"/>
    </row>
    <row r="68" spans="1:17" ht="15">
      <c r="A68" s="533"/>
      <c r="B68" s="547"/>
      <c r="C68" s="548">
        <v>1</v>
      </c>
      <c r="D68" s="548">
        <v>2</v>
      </c>
      <c r="E68" s="548">
        <v>3</v>
      </c>
      <c r="F68" s="548">
        <v>4</v>
      </c>
      <c r="G68" s="548">
        <v>5</v>
      </c>
      <c r="H68" s="548"/>
      <c r="I68" s="548"/>
      <c r="J68" s="548"/>
      <c r="K68" s="549"/>
      <c r="L68" s="550"/>
      <c r="M68" s="551"/>
      <c r="N68" s="1151"/>
      <c r="O68" s="1151"/>
      <c r="P68" s="2630"/>
      <c r="Q68" s="503"/>
    </row>
    <row r="69" spans="1:17" ht="15.75"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30"/>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30"/>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30"/>
      <c r="Q81" s="503"/>
    </row>
    <row r="82" spans="1:17" ht="15.75" thickTop="1">
      <c r="A82" s="533"/>
      <c r="B82" s="545" t="s">
        <v>2652</v>
      </c>
      <c r="C82" s="659" t="s">
        <v>2672</v>
      </c>
      <c r="D82" s="659" t="s">
        <v>2673</v>
      </c>
      <c r="E82" s="659" t="s">
        <v>2674</v>
      </c>
      <c r="F82" s="659" t="s">
        <v>2675</v>
      </c>
      <c r="G82" s="659" t="s">
        <v>2676</v>
      </c>
      <c r="H82" s="538"/>
      <c r="I82" s="538"/>
      <c r="J82" s="538"/>
      <c r="K82" s="538"/>
      <c r="L82" s="538"/>
      <c r="M82" s="1381"/>
      <c r="N82" s="1152"/>
      <c r="O82" s="1152"/>
      <c r="P82" s="2630"/>
      <c r="Q82" s="503"/>
    </row>
    <row r="83" spans="1:17" ht="15.75" thickBot="1">
      <c r="A83" s="533"/>
      <c r="B83" s="545"/>
      <c r="C83" s="543">
        <v>100</v>
      </c>
      <c r="D83" s="543">
        <f>C83-$K21</f>
        <v>99</v>
      </c>
      <c r="E83" s="543">
        <f t="shared" ref="E83:G83" si="20">D83-$K21</f>
        <v>98</v>
      </c>
      <c r="F83" s="543">
        <f t="shared" si="20"/>
        <v>97</v>
      </c>
      <c r="G83" s="543">
        <f t="shared" si="20"/>
        <v>96</v>
      </c>
      <c r="H83" s="659"/>
      <c r="I83" s="659"/>
      <c r="J83" s="659"/>
      <c r="K83" s="659"/>
      <c r="L83" s="659"/>
      <c r="M83" s="449"/>
      <c r="N83" s="1152"/>
      <c r="O83" s="1152"/>
      <c r="P83" s="2630"/>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30"/>
      <c r="Q85" s="503"/>
    </row>
    <row r="86" spans="1:17" s="116" customFormat="1" ht="15.75" thickTop="1">
      <c r="A86" s="578"/>
      <c r="B86" s="537" t="s">
        <v>2677</v>
      </c>
      <c r="C86" s="3041" t="s">
        <v>3231</v>
      </c>
      <c r="D86" s="3041" t="s">
        <v>3232</v>
      </c>
      <c r="E86" s="3041" t="s">
        <v>3233</v>
      </c>
      <c r="F86" s="3041" t="s">
        <v>3234</v>
      </c>
      <c r="G86" s="553"/>
      <c r="H86" s="553"/>
      <c r="I86" s="553"/>
      <c r="J86" s="553"/>
      <c r="K86" s="553"/>
      <c r="L86" s="579"/>
      <c r="M86" s="580"/>
      <c r="N86" s="1150"/>
      <c r="O86" s="1150"/>
      <c r="P86" s="2630"/>
      <c r="Q86" s="503"/>
    </row>
    <row r="87" spans="1:17" s="116" customFormat="1" ht="15.75" thickBot="1">
      <c r="A87" s="578"/>
      <c r="B87" s="542"/>
      <c r="C87" s="581">
        <v>100</v>
      </c>
      <c r="D87" s="543">
        <f t="shared" ref="D87:M87" si="21">C87-$K25</f>
        <v>98</v>
      </c>
      <c r="E87" s="543">
        <f t="shared" si="21"/>
        <v>96</v>
      </c>
      <c r="F87" s="543">
        <f t="shared" si="21"/>
        <v>94</v>
      </c>
      <c r="G87" s="543">
        <f t="shared" si="21"/>
        <v>92</v>
      </c>
      <c r="H87" s="543">
        <f t="shared" si="21"/>
        <v>90</v>
      </c>
      <c r="I87" s="543">
        <f t="shared" si="21"/>
        <v>88</v>
      </c>
      <c r="J87" s="543">
        <f t="shared" si="21"/>
        <v>86</v>
      </c>
      <c r="K87" s="543">
        <f t="shared" si="21"/>
        <v>84</v>
      </c>
      <c r="L87" s="543">
        <f t="shared" si="21"/>
        <v>82</v>
      </c>
      <c r="M87" s="543">
        <f t="shared" si="21"/>
        <v>80</v>
      </c>
      <c r="N87" s="1152"/>
      <c r="O87" s="1152"/>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0"/>
      <c r="O88" s="1150"/>
      <c r="P88" s="2630"/>
      <c r="Q88" s="503"/>
    </row>
    <row r="89" spans="1:17" s="116" customFormat="1" ht="15.75" thickBot="1">
      <c r="A89" s="578"/>
      <c r="B89" s="542"/>
      <c r="C89" s="559"/>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3041" t="s">
        <v>3237</v>
      </c>
      <c r="D90" s="3041" t="s">
        <v>3238</v>
      </c>
      <c r="E90" s="3041" t="s">
        <v>3239</v>
      </c>
      <c r="F90" s="3041" t="s">
        <v>3240</v>
      </c>
      <c r="G90" s="3041" t="s">
        <v>3241</v>
      </c>
      <c r="H90" s="554"/>
      <c r="I90" s="554"/>
      <c r="J90" s="554"/>
      <c r="K90" s="554"/>
      <c r="L90" s="555"/>
      <c r="M90" s="556"/>
      <c r="N90" s="1153"/>
      <c r="O90" s="1153"/>
      <c r="P90" s="2631"/>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53"/>
      <c r="O91" s="1153"/>
      <c r="P91" s="2631"/>
      <c r="Q91" s="558"/>
    </row>
    <row r="92" spans="1:17" ht="15.75" thickTop="1">
      <c r="A92" s="533"/>
      <c r="B92" s="537" t="str">
        <f>B28</f>
        <v>楼层</v>
      </c>
      <c r="C92" s="553">
        <v>1</v>
      </c>
      <c r="D92" s="553"/>
      <c r="E92" s="553"/>
      <c r="F92" s="553"/>
      <c r="G92" s="553"/>
      <c r="H92" s="553"/>
      <c r="I92" s="553"/>
      <c r="J92" s="553"/>
      <c r="K92" s="553"/>
      <c r="L92" s="579"/>
      <c r="M92" s="580"/>
      <c r="N92" s="1151"/>
      <c r="O92" s="1151"/>
      <c r="P92" s="2630"/>
      <c r="Q92" s="503"/>
    </row>
    <row r="93" spans="1:17" ht="15.75" thickBot="1">
      <c r="A93" s="533"/>
      <c r="B93" s="542"/>
      <c r="C93" s="535">
        <v>100</v>
      </c>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2560</v>
      </c>
      <c r="B100" s="527" t="s">
        <v>2678</v>
      </c>
      <c r="C100" s="3042" t="s">
        <v>3287</v>
      </c>
      <c r="D100" s="3042" t="s">
        <v>3288</v>
      </c>
      <c r="E100" s="3042" t="s">
        <v>3289</v>
      </c>
      <c r="F100" s="3042" t="s">
        <v>3291</v>
      </c>
      <c r="G100" s="3042"/>
      <c r="H100" s="529"/>
      <c r="I100" s="529"/>
      <c r="J100" s="529"/>
      <c r="K100" s="530"/>
      <c r="L100" s="531"/>
      <c r="M100" s="532"/>
      <c r="N100" s="1151"/>
      <c r="O100" s="1151"/>
      <c r="P100" s="2630"/>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52"/>
      <c r="O101" s="1152"/>
      <c r="P101" s="2630"/>
      <c r="Q101" s="503"/>
    </row>
    <row r="102" spans="1:17" ht="29.25" thickTop="1">
      <c r="A102" s="533"/>
      <c r="B102" s="537" t="s">
        <v>2610</v>
      </c>
      <c r="C102" s="577" t="str">
        <f>C103&amp;"(含)"&amp;"-"&amp;D103</f>
        <v>0(含)-300</v>
      </c>
      <c r="D102" s="577" t="str">
        <f t="shared" ref="D102:L102" si="24">D103&amp;"(含)"&amp;"-"&amp;E103</f>
        <v>300(含)-800</v>
      </c>
      <c r="E102" s="577" t="str">
        <f t="shared" si="24"/>
        <v>800(含)-1500</v>
      </c>
      <c r="F102" s="577" t="str">
        <f t="shared" si="24"/>
        <v>1500(含)-2500</v>
      </c>
      <c r="G102" s="577" t="str">
        <f t="shared" si="24"/>
        <v>2500(含)-4000</v>
      </c>
      <c r="H102" s="577" t="str">
        <f t="shared" si="24"/>
        <v>4000(含)-6000</v>
      </c>
      <c r="I102" s="577" t="str">
        <f t="shared" si="24"/>
        <v>6000(含)-8000</v>
      </c>
      <c r="J102" s="577" t="str">
        <f t="shared" si="24"/>
        <v>8000(含)-</v>
      </c>
      <c r="K102" s="577" t="str">
        <f t="shared" si="24"/>
        <v>(含)-</v>
      </c>
      <c r="L102" s="577" t="str">
        <f t="shared" si="24"/>
        <v>(含)-</v>
      </c>
      <c r="M102" s="621" t="str">
        <f>M103&amp;"(含)"&amp;"-"&amp;P103</f>
        <v>(含)-</v>
      </c>
      <c r="N102" s="1150"/>
      <c r="O102" s="1150"/>
      <c r="P102" s="2630"/>
      <c r="Q102" s="503"/>
    </row>
    <row r="103" spans="1:17" s="470" customFormat="1">
      <c r="A103" s="592"/>
      <c r="B103" s="593"/>
      <c r="C103" s="594">
        <v>0</v>
      </c>
      <c r="D103" s="594">
        <v>300</v>
      </c>
      <c r="E103" s="594">
        <v>800</v>
      </c>
      <c r="F103" s="594">
        <v>1500</v>
      </c>
      <c r="G103" s="594">
        <v>2500</v>
      </c>
      <c r="H103" s="594">
        <v>4000</v>
      </c>
      <c r="I103" s="594">
        <v>6000</v>
      </c>
      <c r="J103" s="595">
        <v>8000</v>
      </c>
      <c r="K103" s="595"/>
      <c r="L103" s="596"/>
      <c r="M103" s="597"/>
      <c r="N103" s="1153"/>
      <c r="O103" s="1153"/>
      <c r="P103" s="2631"/>
      <c r="Q103" s="558"/>
    </row>
    <row r="104" spans="1:17" s="470" customFormat="1" ht="15.75" thickBot="1">
      <c r="A104" s="552"/>
      <c r="B104" s="542"/>
      <c r="C104" s="559">
        <v>100</v>
      </c>
      <c r="D104" s="535">
        <v>98</v>
      </c>
      <c r="E104" s="535">
        <v>96</v>
      </c>
      <c r="F104" s="535">
        <v>94</v>
      </c>
      <c r="G104" s="535">
        <v>92</v>
      </c>
      <c r="H104" s="535">
        <v>90</v>
      </c>
      <c r="I104" s="535">
        <v>88</v>
      </c>
      <c r="J104" s="535">
        <v>86</v>
      </c>
      <c r="K104" s="535"/>
      <c r="L104" s="535"/>
      <c r="M104" s="536"/>
      <c r="N104" s="1152"/>
      <c r="O104" s="1152"/>
      <c r="P104" s="2631"/>
      <c r="Q104" s="558"/>
    </row>
    <row r="105" spans="1:17" ht="15" thickTop="1">
      <c r="A105" s="598"/>
      <c r="B105" s="537" t="s">
        <v>2611</v>
      </c>
      <c r="C105" s="3041" t="s">
        <v>3261</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5">C106-$K34</f>
        <v>98</v>
      </c>
      <c r="E106" s="543">
        <f t="shared" si="25"/>
        <v>96</v>
      </c>
      <c r="F106" s="543">
        <f t="shared" si="25"/>
        <v>94</v>
      </c>
      <c r="G106" s="543">
        <f t="shared" si="25"/>
        <v>92</v>
      </c>
      <c r="H106" s="543">
        <f t="shared" si="25"/>
        <v>90</v>
      </c>
      <c r="I106" s="543">
        <f t="shared" si="25"/>
        <v>88</v>
      </c>
      <c r="J106" s="543">
        <f t="shared" si="25"/>
        <v>86</v>
      </c>
      <c r="K106" s="543">
        <f t="shared" si="25"/>
        <v>84</v>
      </c>
      <c r="L106" s="543">
        <f t="shared" si="25"/>
        <v>82</v>
      </c>
      <c r="M106" s="544">
        <f t="shared" si="25"/>
        <v>80</v>
      </c>
      <c r="N106" s="1152"/>
      <c r="O106" s="1152"/>
      <c r="P106" s="2630"/>
      <c r="Q106" s="503"/>
    </row>
    <row r="107" spans="1:17" ht="15" thickTop="1">
      <c r="A107" s="598"/>
      <c r="B107" s="537" t="s">
        <v>2613</v>
      </c>
      <c r="C107" s="3043" t="s">
        <v>3253</v>
      </c>
      <c r="D107" s="3043" t="s">
        <v>3254</v>
      </c>
      <c r="E107" s="3043" t="s">
        <v>3255</v>
      </c>
      <c r="F107" s="3044" t="s">
        <v>3256</v>
      </c>
      <c r="G107" s="582"/>
      <c r="H107" s="582"/>
      <c r="I107" s="582"/>
      <c r="J107" s="582"/>
      <c r="K107" s="583"/>
      <c r="L107" s="584"/>
      <c r="M107" s="585"/>
      <c r="N107" s="1151"/>
      <c r="O107" s="1151"/>
      <c r="P107" s="2630"/>
      <c r="Q107" s="503"/>
    </row>
    <row r="108" spans="1:17" ht="15.75" thickBot="1">
      <c r="A108" s="533"/>
      <c r="B108" s="542"/>
      <c r="C108" s="543">
        <v>100</v>
      </c>
      <c r="D108" s="543">
        <f t="shared" ref="D108:M108" si="26">C108-$K35</f>
        <v>98</v>
      </c>
      <c r="E108" s="543">
        <f t="shared" si="26"/>
        <v>96</v>
      </c>
      <c r="F108" s="543">
        <f t="shared" si="26"/>
        <v>94</v>
      </c>
      <c r="G108" s="543">
        <f t="shared" si="26"/>
        <v>92</v>
      </c>
      <c r="H108" s="543">
        <f t="shared" si="26"/>
        <v>90</v>
      </c>
      <c r="I108" s="543">
        <f t="shared" si="26"/>
        <v>88</v>
      </c>
      <c r="J108" s="543">
        <f t="shared" si="26"/>
        <v>86</v>
      </c>
      <c r="K108" s="543">
        <f t="shared" si="26"/>
        <v>84</v>
      </c>
      <c r="L108" s="543">
        <f t="shared" si="26"/>
        <v>82</v>
      </c>
      <c r="M108" s="544">
        <f t="shared" si="26"/>
        <v>80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102</v>
      </c>
      <c r="E111" s="543">
        <f t="shared" ref="E111:M111" si="27">D111+$K36</f>
        <v>104</v>
      </c>
      <c r="F111" s="543">
        <f t="shared" si="27"/>
        <v>106</v>
      </c>
      <c r="G111" s="543">
        <f t="shared" si="27"/>
        <v>108</v>
      </c>
      <c r="H111" s="543">
        <f t="shared" si="27"/>
        <v>110</v>
      </c>
      <c r="I111" s="543">
        <f t="shared" si="27"/>
        <v>112</v>
      </c>
      <c r="J111" s="543">
        <f t="shared" si="27"/>
        <v>114</v>
      </c>
      <c r="K111" s="543">
        <f t="shared" si="27"/>
        <v>116</v>
      </c>
      <c r="L111" s="543">
        <f t="shared" si="27"/>
        <v>118</v>
      </c>
      <c r="M111" s="543">
        <f t="shared" si="27"/>
        <v>120</v>
      </c>
      <c r="N111" s="1152"/>
      <c r="O111" s="1152"/>
      <c r="P111" s="2630"/>
      <c r="Q111" s="503"/>
    </row>
    <row r="112" spans="1:17" s="470" customFormat="1" ht="15" thickTop="1">
      <c r="A112" s="592"/>
      <c r="B112" s="537" t="s">
        <v>2615</v>
      </c>
      <c r="C112" s="3041" t="s">
        <v>3262</v>
      </c>
      <c r="D112" s="3041" t="s">
        <v>3263</v>
      </c>
      <c r="E112" s="3041" t="s">
        <v>3264</v>
      </c>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99</v>
      </c>
      <c r="E113" s="543">
        <f t="shared" ref="E113:M113" si="28">D113-$K37</f>
        <v>98</v>
      </c>
      <c r="F113" s="543">
        <f t="shared" si="28"/>
        <v>97</v>
      </c>
      <c r="G113" s="543">
        <f t="shared" si="28"/>
        <v>96</v>
      </c>
      <c r="H113" s="543">
        <f t="shared" si="28"/>
        <v>95</v>
      </c>
      <c r="I113" s="543">
        <f t="shared" si="28"/>
        <v>94</v>
      </c>
      <c r="J113" s="543">
        <f t="shared" si="28"/>
        <v>93</v>
      </c>
      <c r="K113" s="543">
        <f t="shared" si="28"/>
        <v>92</v>
      </c>
      <c r="L113" s="543">
        <f t="shared" si="28"/>
        <v>91</v>
      </c>
      <c r="M113" s="543">
        <f t="shared" si="28"/>
        <v>90</v>
      </c>
      <c r="N113" s="1153"/>
      <c r="O113" s="1153"/>
      <c r="P113" s="2631"/>
      <c r="Q113" s="558"/>
    </row>
    <row r="114" spans="1:17" ht="15" thickTop="1">
      <c r="A114" s="598"/>
      <c r="B114" s="537" t="s">
        <v>2679</v>
      </c>
      <c r="C114" s="3041" t="s">
        <v>3266</v>
      </c>
      <c r="D114" s="3041" t="s">
        <v>3267</v>
      </c>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9">C115-$K38</f>
        <v>97</v>
      </c>
      <c r="E115" s="543">
        <f t="shared" si="29"/>
        <v>94</v>
      </c>
      <c r="F115" s="543">
        <f t="shared" si="29"/>
        <v>91</v>
      </c>
      <c r="G115" s="543">
        <f t="shared" si="29"/>
        <v>88</v>
      </c>
      <c r="H115" s="543">
        <f t="shared" si="29"/>
        <v>85</v>
      </c>
      <c r="I115" s="543">
        <f t="shared" si="29"/>
        <v>82</v>
      </c>
      <c r="J115" s="543">
        <f t="shared" si="29"/>
        <v>79</v>
      </c>
      <c r="K115" s="543">
        <f t="shared" si="29"/>
        <v>76</v>
      </c>
      <c r="L115" s="543">
        <f t="shared" si="29"/>
        <v>73</v>
      </c>
      <c r="M115" s="544">
        <f t="shared" si="29"/>
        <v>70</v>
      </c>
      <c r="N115" s="1152"/>
      <c r="O115" s="1152"/>
      <c r="P115" s="2630"/>
      <c r="Q115" s="503"/>
    </row>
    <row r="116" spans="1:17" ht="15" thickTop="1">
      <c r="A116" s="598"/>
      <c r="B116" s="537" t="s">
        <v>2680</v>
      </c>
      <c r="C116" s="3041" t="s">
        <v>3268</v>
      </c>
      <c r="D116" s="3041" t="s">
        <v>3270</v>
      </c>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2"/>
      <c r="O117" s="1152"/>
      <c r="P117" s="2630"/>
      <c r="Q117" s="503"/>
    </row>
    <row r="118" spans="1:17" ht="15" thickTop="1">
      <c r="A118" s="598"/>
      <c r="B118" s="537" t="s">
        <v>2681</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2682</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100</v>
      </c>
      <c r="E121" s="543">
        <f t="shared" ref="E121:M121" si="30">D121-$K41</f>
        <v>100</v>
      </c>
      <c r="F121" s="543">
        <f t="shared" si="30"/>
        <v>100</v>
      </c>
      <c r="G121" s="543">
        <f t="shared" si="30"/>
        <v>100</v>
      </c>
      <c r="H121" s="543">
        <f t="shared" si="30"/>
        <v>100</v>
      </c>
      <c r="I121" s="543">
        <f t="shared" si="30"/>
        <v>100</v>
      </c>
      <c r="J121" s="543">
        <f t="shared" si="30"/>
        <v>100</v>
      </c>
      <c r="K121" s="543">
        <f t="shared" si="30"/>
        <v>100</v>
      </c>
      <c r="L121" s="543">
        <f t="shared" si="30"/>
        <v>100</v>
      </c>
      <c r="M121" s="544">
        <f t="shared" si="30"/>
        <v>100</v>
      </c>
      <c r="N121" s="1153"/>
      <c r="O121" s="1153"/>
      <c r="P121" s="2631"/>
      <c r="Q121" s="558"/>
    </row>
    <row r="122" spans="1:17" ht="15" thickTop="1">
      <c r="A122" s="598"/>
      <c r="B122" s="537" t="s">
        <v>2617</v>
      </c>
      <c r="C122" s="3043" t="s">
        <v>3253</v>
      </c>
      <c r="D122" s="3043" t="s">
        <v>3254</v>
      </c>
      <c r="E122" s="3043" t="s">
        <v>3255</v>
      </c>
      <c r="F122" s="3044" t="s">
        <v>3256</v>
      </c>
      <c r="G122" s="582"/>
      <c r="H122" s="582"/>
      <c r="I122" s="582"/>
      <c r="J122" s="582"/>
      <c r="K122" s="583"/>
      <c r="L122" s="584"/>
      <c r="M122" s="585"/>
      <c r="N122" s="1151"/>
      <c r="O122" s="1151"/>
      <c r="P122" s="2630"/>
      <c r="Q122" s="503"/>
    </row>
    <row r="123" spans="1:17" ht="15.75" thickBot="1">
      <c r="A123" s="533"/>
      <c r="B123" s="542"/>
      <c r="C123" s="543">
        <v>100</v>
      </c>
      <c r="D123" s="543">
        <f t="shared" ref="D123:M123" si="31">C123-$K42</f>
        <v>98</v>
      </c>
      <c r="E123" s="543">
        <f t="shared" si="31"/>
        <v>96</v>
      </c>
      <c r="F123" s="543">
        <f t="shared" si="31"/>
        <v>94</v>
      </c>
      <c r="G123" s="543">
        <f t="shared" si="31"/>
        <v>92</v>
      </c>
      <c r="H123" s="543">
        <f t="shared" si="31"/>
        <v>90</v>
      </c>
      <c r="I123" s="543">
        <f t="shared" si="31"/>
        <v>88</v>
      </c>
      <c r="J123" s="543">
        <f t="shared" si="31"/>
        <v>86</v>
      </c>
      <c r="K123" s="543">
        <f t="shared" si="31"/>
        <v>84</v>
      </c>
      <c r="L123" s="543">
        <f t="shared" si="31"/>
        <v>82</v>
      </c>
      <c r="M123" s="544">
        <f t="shared" si="31"/>
        <v>80</v>
      </c>
      <c r="N123" s="1152"/>
      <c r="O123" s="1152"/>
      <c r="P123" s="2630"/>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3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18" sqref="F18"/>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7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290" t="s">
        <v>3003</v>
      </c>
      <c r="D1" s="3291"/>
      <c r="E1" s="3291"/>
      <c r="F1" s="3291"/>
      <c r="G1" s="3291"/>
      <c r="H1" s="3291"/>
      <c r="I1" s="3291"/>
      <c r="J1" s="3291"/>
      <c r="K1" s="3291"/>
      <c r="L1" s="3291"/>
      <c r="M1" s="3291"/>
      <c r="N1" s="3291"/>
      <c r="O1" s="3291"/>
      <c r="P1" s="3291"/>
      <c r="Q1" s="3291"/>
      <c r="R1" s="3291"/>
      <c r="S1" s="3292"/>
      <c r="T1" s="1203" t="s">
        <v>3004</v>
      </c>
    </row>
    <row r="2" spans="1:45" s="706" customFormat="1" ht="38.25">
      <c r="A2" s="1204"/>
      <c r="B2" s="702" t="s">
        <v>3005</v>
      </c>
      <c r="C2" s="703" t="str">
        <f t="shared" ref="C2:L2" si="0">C3&amp;"(含)"&amp;"-"&amp;D3</f>
        <v>0(含)-300</v>
      </c>
      <c r="D2" s="704" t="str">
        <f t="shared" si="0"/>
        <v>300(含)-800</v>
      </c>
      <c r="E2" s="704" t="str">
        <f t="shared" si="0"/>
        <v>800(含)-1500</v>
      </c>
      <c r="F2" s="704" t="str">
        <f t="shared" si="0"/>
        <v>1500(含)-2500</v>
      </c>
      <c r="G2" s="704" t="str">
        <f t="shared" si="0"/>
        <v>2500(含)-4000</v>
      </c>
      <c r="H2" s="704" t="str">
        <f t="shared" si="0"/>
        <v>4000(含)-6000</v>
      </c>
      <c r="I2" s="704" t="str">
        <f t="shared" si="0"/>
        <v>6000(含)-8000</v>
      </c>
      <c r="J2" s="704" t="str">
        <f t="shared" si="0"/>
        <v>8000(含)-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ht="14.25">
      <c r="A3" s="1206"/>
      <c r="B3" s="707"/>
      <c r="C3" s="594">
        <v>0</v>
      </c>
      <c r="D3" s="594">
        <v>300</v>
      </c>
      <c r="E3" s="594">
        <v>800</v>
      </c>
      <c r="F3" s="594">
        <v>1500</v>
      </c>
      <c r="G3" s="594">
        <v>2500</v>
      </c>
      <c r="H3" s="594">
        <v>4000</v>
      </c>
      <c r="I3" s="594">
        <v>6000</v>
      </c>
      <c r="J3" s="595">
        <v>8000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5" thickBot="1">
      <c r="A4" s="1207"/>
      <c r="B4" s="1208"/>
      <c r="C4" s="559">
        <v>100</v>
      </c>
      <c r="D4" s="535">
        <v>98</v>
      </c>
      <c r="E4" s="535">
        <v>96</v>
      </c>
      <c r="F4" s="535">
        <v>94</v>
      </c>
      <c r="G4" s="535">
        <v>92</v>
      </c>
      <c r="H4" s="535">
        <v>90</v>
      </c>
      <c r="I4" s="535">
        <v>88</v>
      </c>
      <c r="J4" s="535">
        <v>86</v>
      </c>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t="13.5" thickTop="1">
      <c r="A5" s="1214"/>
      <c r="B5" s="1768"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3012</v>
      </c>
      <c r="B17" s="2909" t="s">
        <v>3013</v>
      </c>
      <c r="C17" s="1230">
        <v>1</v>
      </c>
      <c r="D17" s="1231">
        <v>2</v>
      </c>
      <c r="E17" s="1231">
        <v>3</v>
      </c>
      <c r="F17" s="1231">
        <v>4</v>
      </c>
      <c r="G17" s="3046" t="s">
        <v>3275</v>
      </c>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v>100</v>
      </c>
      <c r="D18" s="1243">
        <v>70</v>
      </c>
      <c r="E18" s="1243">
        <v>60</v>
      </c>
      <c r="F18" s="1243">
        <v>50</v>
      </c>
      <c r="G18" s="1243">
        <v>50</v>
      </c>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3014</v>
      </c>
      <c r="E19" s="1791"/>
      <c r="F19" s="1791"/>
      <c r="G19" s="1791"/>
      <c r="H19" s="1279"/>
      <c r="I19" s="167"/>
      <c r="J19" s="167"/>
      <c r="K19" s="167"/>
      <c r="L19" s="167"/>
      <c r="M19" s="167"/>
      <c r="N19" s="167"/>
      <c r="O19" s="167"/>
      <c r="P19" s="167"/>
      <c r="Q19" s="167"/>
      <c r="R19" s="787"/>
      <c r="S19" s="137"/>
    </row>
    <row r="20" spans="1:45" ht="16.5" thickBot="1">
      <c r="A20" s="714" t="s">
        <v>3015</v>
      </c>
      <c r="B20" s="337">
        <f>IF(D20="——",S22,S22-F20)</f>
        <v>98386</v>
      </c>
      <c r="C20" s="167"/>
      <c r="D20" s="2911" t="s">
        <v>70</v>
      </c>
      <c r="E20" s="1792"/>
      <c r="F20" s="1203" t="e">
        <f ca="1">SUMIF(INDIRECT("'"&amp;H20&amp;"'"&amp;"!A:A"),"承租人权益价值",INDIRECT("'"&amp;H20&amp;"'"&amp;"!c:c"))</f>
        <v>#REF!</v>
      </c>
      <c r="G20" s="1203" t="s">
        <v>3016</v>
      </c>
      <c r="H20" s="2912"/>
      <c r="I20" s="167"/>
      <c r="J20" s="167"/>
      <c r="K20" s="167"/>
      <c r="L20" s="167"/>
      <c r="M20" s="167"/>
      <c r="N20" s="167"/>
      <c r="O20" s="167"/>
      <c r="P20" s="167"/>
      <c r="Q20" s="167"/>
      <c r="R20" s="787"/>
      <c r="S20" s="137"/>
    </row>
    <row r="21" spans="1:45" ht="15.75">
      <c r="A21" s="714" t="s">
        <v>3017</v>
      </c>
      <c r="B21" s="337">
        <f>R22</f>
        <v>31553</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31181.27</v>
      </c>
      <c r="C22" s="3149" t="s">
        <v>33</v>
      </c>
      <c r="D22" s="3150"/>
      <c r="E22" s="3150"/>
      <c r="F22" s="3150"/>
      <c r="G22" s="3150"/>
      <c r="H22" s="3150"/>
      <c r="I22" s="3150"/>
      <c r="J22" s="3150"/>
      <c r="K22" s="3150"/>
      <c r="L22" s="3150"/>
      <c r="M22" s="3150"/>
      <c r="N22" s="3150"/>
      <c r="O22" s="3150"/>
      <c r="P22" s="3150"/>
      <c r="Q22" s="3289"/>
      <c r="R22" s="715">
        <f>ROUND(S22*10000/B22,0)</f>
        <v>31553</v>
      </c>
      <c r="S22" s="24">
        <f>SUM(S24:S10000)</f>
        <v>98386</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f>Sheet1!E6</f>
        <v>5971.11</v>
      </c>
      <c r="C24" s="718">
        <v>1</v>
      </c>
      <c r="D24" s="719"/>
      <c r="E24" s="718">
        <v>1</v>
      </c>
      <c r="F24" s="719"/>
      <c r="G24" s="718">
        <v>1</v>
      </c>
      <c r="H24" s="719"/>
      <c r="I24" s="718">
        <v>1</v>
      </c>
      <c r="J24" s="719"/>
      <c r="K24" s="718">
        <v>1</v>
      </c>
      <c r="L24" s="719"/>
      <c r="M24" s="718">
        <v>1</v>
      </c>
      <c r="N24" s="719"/>
      <c r="O24" s="718">
        <v>1</v>
      </c>
      <c r="P24" s="719">
        <v>1</v>
      </c>
      <c r="Q24" s="718">
        <v>1</v>
      </c>
      <c r="R24" s="720">
        <f>'比较法-商业'!B3</f>
        <v>48671</v>
      </c>
      <c r="S24" s="718">
        <f t="shared" ref="S24:S54" si="11">ROUND(R24*B24/10000,0)</f>
        <v>29062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Sheet1!E7</f>
        <v>5964.67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0.7</v>
      </c>
      <c r="R25" s="715">
        <f>IF(B25="",0,ROUND($R$24*C25*E25*G25*I25*K25*M25*O25*Q25,0))</f>
        <v>34070</v>
      </c>
      <c r="S25" s="360">
        <f t="shared" si="11"/>
        <v>20322</v>
      </c>
    </row>
    <row r="26" spans="1:45">
      <c r="A26" s="158"/>
      <c r="B26" s="717">
        <f>Sheet1!E8</f>
        <v>6506.73</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3</v>
      </c>
      <c r="Q26" s="24">
        <f t="shared" ref="Q26:Q89" si="19">(SUMIF($17:$17,P26,$18:$18)-SUMIF($17:$17,$P$24,$18:$18)+100)/100</f>
        <v>0.6</v>
      </c>
      <c r="R26" s="715">
        <f t="shared" ref="R26:R89" si="20">IF(B26="",0,ROUND($R$24*C26*E26*G26*I26*K26*M26*O26*Q26,0))</f>
        <v>28619</v>
      </c>
      <c r="S26" s="360">
        <f t="shared" si="11"/>
        <v>18622</v>
      </c>
    </row>
    <row r="27" spans="1:45">
      <c r="A27" s="158"/>
      <c r="B27" s="717">
        <f>Sheet1!E9</f>
        <v>6522.04</v>
      </c>
      <c r="C27" s="24">
        <f t="shared" si="12"/>
        <v>0.98</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4</v>
      </c>
      <c r="Q27" s="24">
        <f t="shared" si="19"/>
        <v>0.5</v>
      </c>
      <c r="R27" s="715">
        <f t="shared" si="20"/>
        <v>23849</v>
      </c>
      <c r="S27" s="360">
        <f t="shared" si="11"/>
        <v>15554</v>
      </c>
    </row>
    <row r="28" spans="1:45">
      <c r="A28" s="158"/>
      <c r="B28" s="717">
        <f>Sheet1!E10</f>
        <v>6216.72</v>
      </c>
      <c r="C28" s="24">
        <f t="shared" si="12"/>
        <v>0.98</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3276</v>
      </c>
      <c r="Q28" s="24">
        <f t="shared" si="19"/>
        <v>0.5</v>
      </c>
      <c r="R28" s="715">
        <f t="shared" si="20"/>
        <v>23849</v>
      </c>
      <c r="S28" s="360">
        <f t="shared" si="11"/>
        <v>14826</v>
      </c>
    </row>
    <row r="29" spans="1:45">
      <c r="A29" s="158"/>
      <c r="B29" s="717"/>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717"/>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717"/>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2114</v>
      </c>
      <c r="B1" s="2416"/>
      <c r="C1" s="2417" t="s">
        <v>3069</v>
      </c>
      <c r="D1" s="2416"/>
      <c r="E1" s="2416"/>
      <c r="F1" s="2418" t="s">
        <v>2115</v>
      </c>
      <c r="G1" s="2068" t="s">
        <v>3216</v>
      </c>
      <c r="H1" s="2419" t="str">
        <f>IF(G1="现房","——","估价对象范围")</f>
        <v>——</v>
      </c>
      <c r="I1" s="2420"/>
    </row>
    <row r="2" spans="1:12" ht="21.75" customHeight="1" thickBot="1">
      <c r="A2" s="3213" t="str">
        <f>项目基本情况!S2</f>
        <v>北京市朝阳区北苑路28号院1号楼房地产</v>
      </c>
      <c r="B2" s="3214"/>
      <c r="C2" s="3214"/>
      <c r="D2" s="3214"/>
      <c r="E2" s="3214"/>
      <c r="F2" s="3214"/>
      <c r="G2" s="3214"/>
      <c r="H2" s="3214"/>
      <c r="I2" s="3215"/>
    </row>
    <row r="3" spans="1:12" ht="12.75">
      <c r="A3" s="3216" t="s">
        <v>2116</v>
      </c>
      <c r="B3" s="3217"/>
      <c r="C3" s="3217"/>
      <c r="D3" s="3217"/>
      <c r="E3" s="3217"/>
      <c r="F3" s="3217"/>
      <c r="G3" s="3217"/>
      <c r="H3" s="3217"/>
      <c r="I3" s="3217"/>
    </row>
    <row r="4" spans="1:12" ht="14.25">
      <c r="A4" s="2423" t="s">
        <v>2117</v>
      </c>
      <c r="B4" s="2424" t="s">
        <v>2118</v>
      </c>
      <c r="C4" s="2425" t="s">
        <v>3211</v>
      </c>
      <c r="D4" s="2425" t="s">
        <v>3219</v>
      </c>
      <c r="E4" s="3197" t="s">
        <v>2119</v>
      </c>
      <c r="F4" s="3210"/>
      <c r="G4" s="3210"/>
      <c r="H4" s="3210"/>
      <c r="I4" s="3198"/>
      <c r="K4" s="2426" t="str">
        <f>IF(ISNUMBER(FIND("比较法",'结果表 (2)'!C4)),"比较法",IF(ISNUMBER(FIND("成本法",'结果表 (2)'!C4)),"成本法",IF(ISNUMBER(FIND("假设开发法",'结果表 (2)'!C4)),"假设开发法",IF(ISNUMBER(FIND("收益法",'结果表 (2)'!C4)),"收益法","基准地价系数修正法"))))</f>
        <v>收益法</v>
      </c>
      <c r="L4" s="2426"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2.75">
      <c r="A5" s="3188" t="s">
        <v>2120</v>
      </c>
      <c r="B5" s="3114">
        <v>25</v>
      </c>
      <c r="C5" s="3218"/>
      <c r="D5" s="3206"/>
      <c r="E5" s="139" t="s">
        <v>2121</v>
      </c>
      <c r="F5" s="2427"/>
      <c r="G5" s="2427"/>
      <c r="H5" s="2427"/>
      <c r="I5" s="1830"/>
    </row>
    <row r="6" spans="1:12" ht="12.75">
      <c r="A6" s="3188"/>
      <c r="B6" s="3114"/>
      <c r="C6" s="3220"/>
      <c r="D6" s="3206"/>
      <c r="E6" s="139" t="s">
        <v>2122</v>
      </c>
      <c r="F6" s="2427"/>
      <c r="G6" s="2427"/>
      <c r="H6" s="2427"/>
      <c r="I6" s="1830"/>
    </row>
    <row r="7" spans="1:12" ht="12.75">
      <c r="A7" s="3188"/>
      <c r="B7" s="3114"/>
      <c r="C7" s="3219"/>
      <c r="D7" s="3206"/>
      <c r="E7" s="139" t="s">
        <v>2123</v>
      </c>
      <c r="F7" s="2427"/>
      <c r="G7" s="2427"/>
      <c r="H7" s="2427"/>
      <c r="I7" s="1830"/>
    </row>
    <row r="8" spans="1:12" ht="12.75">
      <c r="A8" s="3188" t="s">
        <v>2124</v>
      </c>
      <c r="B8" s="3114">
        <v>15</v>
      </c>
      <c r="C8" s="3218"/>
      <c r="D8" s="3206"/>
      <c r="E8" s="139" t="s">
        <v>2125</v>
      </c>
      <c r="F8" s="2427"/>
      <c r="G8" s="2427"/>
      <c r="H8" s="2427"/>
      <c r="I8" s="1830"/>
    </row>
    <row r="9" spans="1:12" ht="12.75">
      <c r="A9" s="3188"/>
      <c r="B9" s="3114"/>
      <c r="C9" s="3219"/>
      <c r="D9" s="3206"/>
      <c r="E9" s="139" t="s">
        <v>2126</v>
      </c>
      <c r="F9" s="2427"/>
      <c r="G9" s="2427"/>
      <c r="H9" s="2427"/>
      <c r="I9" s="1830"/>
    </row>
    <row r="10" spans="1:12" ht="12.75">
      <c r="A10" s="3188" t="s">
        <v>2127</v>
      </c>
      <c r="B10" s="3114">
        <v>15</v>
      </c>
      <c r="C10" s="3218"/>
      <c r="D10" s="3206"/>
      <c r="E10" s="139" t="s">
        <v>2128</v>
      </c>
      <c r="F10" s="2427"/>
      <c r="G10" s="2427"/>
      <c r="H10" s="2427"/>
      <c r="I10" s="1830"/>
    </row>
    <row r="11" spans="1:12" ht="12.75">
      <c r="A11" s="3188"/>
      <c r="B11" s="3114"/>
      <c r="C11" s="3219"/>
      <c r="D11" s="3206"/>
      <c r="E11" s="139" t="s">
        <v>2129</v>
      </c>
      <c r="F11" s="2427"/>
      <c r="G11" s="2427"/>
      <c r="H11" s="2427"/>
      <c r="I11" s="1830"/>
    </row>
    <row r="12" spans="1:12" ht="12.75">
      <c r="A12" s="3188" t="s">
        <v>2130</v>
      </c>
      <c r="B12" s="3114">
        <v>15</v>
      </c>
      <c r="C12" s="3218"/>
      <c r="D12" s="3206"/>
      <c r="E12" s="139" t="s">
        <v>2131</v>
      </c>
      <c r="F12" s="2427"/>
      <c r="G12" s="2427"/>
      <c r="H12" s="2427"/>
      <c r="I12" s="1830"/>
    </row>
    <row r="13" spans="1:12" ht="12.75">
      <c r="A13" s="3188"/>
      <c r="B13" s="3114"/>
      <c r="C13" s="3219"/>
      <c r="D13" s="3206"/>
      <c r="E13" s="139" t="s">
        <v>2132</v>
      </c>
      <c r="F13" s="2427"/>
      <c r="G13" s="2427"/>
      <c r="H13" s="2427"/>
      <c r="I13" s="1830"/>
    </row>
    <row r="14" spans="1:12" ht="12.75">
      <c r="A14" s="3188" t="s">
        <v>2133</v>
      </c>
      <c r="B14" s="3114">
        <v>30</v>
      </c>
      <c r="C14" s="3218">
        <v>4</v>
      </c>
      <c r="D14" s="3206">
        <v>6</v>
      </c>
      <c r="E14" s="139" t="s">
        <v>2134</v>
      </c>
      <c r="F14" s="2427"/>
      <c r="G14" s="2427"/>
      <c r="H14" s="2427"/>
      <c r="I14" s="1830"/>
    </row>
    <row r="15" spans="1:12" ht="12.75">
      <c r="A15" s="3188"/>
      <c r="B15" s="3114"/>
      <c r="C15" s="3220"/>
      <c r="D15" s="3206"/>
      <c r="E15" s="139" t="s">
        <v>2135</v>
      </c>
      <c r="F15" s="2427"/>
      <c r="G15" s="2427"/>
      <c r="H15" s="2427"/>
      <c r="I15" s="1830"/>
    </row>
    <row r="16" spans="1:12" ht="12.75">
      <c r="A16" s="3188"/>
      <c r="B16" s="3114"/>
      <c r="C16" s="3219"/>
      <c r="D16" s="3206"/>
      <c r="E16" s="139" t="s">
        <v>2136</v>
      </c>
      <c r="F16" s="2427"/>
      <c r="G16" s="2427"/>
      <c r="H16" s="2427"/>
      <c r="I16" s="1830"/>
    </row>
    <row r="17" spans="1:35" ht="15">
      <c r="A17" s="2428" t="s">
        <v>2137</v>
      </c>
      <c r="B17" s="64"/>
      <c r="C17" s="140">
        <f>SUM(C5:C16)</f>
        <v>4</v>
      </c>
      <c r="D17" s="140">
        <f>SUM(D5:D16)</f>
        <v>6</v>
      </c>
      <c r="E17" s="137"/>
      <c r="F17" s="137"/>
      <c r="G17" s="137"/>
      <c r="H17" s="137"/>
      <c r="I17" s="137"/>
      <c r="K17" s="2426"/>
      <c r="L17" s="2429" t="s">
        <v>2138</v>
      </c>
      <c r="M17" s="2429" t="s">
        <v>2139</v>
      </c>
    </row>
    <row r="18" spans="1:35" ht="15.75" thickBot="1">
      <c r="A18" s="2430" t="s">
        <v>2140</v>
      </c>
      <c r="B18" s="2431"/>
      <c r="C18" s="141">
        <f>ROUND(C17/SUM(C17:D17),2)</f>
        <v>0.4</v>
      </c>
      <c r="D18" s="141">
        <f>1-C18</f>
        <v>0.6</v>
      </c>
      <c r="E18" s="137"/>
      <c r="F18" s="137"/>
      <c r="G18" s="137"/>
      <c r="H18" s="137"/>
      <c r="I18" s="137"/>
      <c r="K18" s="2426" t="s">
        <v>2141</v>
      </c>
      <c r="L18" s="2426">
        <f>IF(C1="",'数据-汇总表'!E3,SUMIF(项目类型,C1,'数据-汇总表'!E17:E26)+SUMIF(项目类型,C1,'数据-汇总表'!I17:I26))</f>
        <v>3559.58</v>
      </c>
      <c r="M18" s="2426">
        <f>IF(C1="",'数据-汇总表'!E3,SUMIF(项目类型,C1,'数据-汇总表'!E17:E26))</f>
        <v>3559.58</v>
      </c>
    </row>
    <row r="19" spans="1:35" ht="15">
      <c r="A19" s="2432" t="s">
        <v>2142</v>
      </c>
      <c r="B19" s="2433" t="s">
        <v>2143</v>
      </c>
      <c r="C19" s="142">
        <f ca="1">SUMIF(INDIRECT("'"&amp;C4&amp;"'"&amp;"!A:A"),'结果表 (2)'!B19,INDIRECT("'"&amp;C4&amp;"'"&amp;"!B:B"))</f>
        <v>733</v>
      </c>
      <c r="D19" s="143">
        <f ca="1">SUMIF(INDIRECT("'"&amp;D4&amp;"'"&amp;"!A:A"),'结果表 (2)'!B19,INDIRECT("'"&amp;D4&amp;"'"&amp;"!B:B"))</f>
        <v>3327</v>
      </c>
      <c r="E19" s="2432" t="s">
        <v>2144</v>
      </c>
      <c r="F19" s="2433" t="s">
        <v>2143</v>
      </c>
      <c r="G19" s="144">
        <f ca="1">ROUND(C19*$C$18+D19*$D$18,0)</f>
        <v>2289</v>
      </c>
      <c r="H19" s="2434" t="s">
        <v>2145</v>
      </c>
      <c r="I19" s="137"/>
      <c r="K19" s="2426" t="s">
        <v>2146</v>
      </c>
      <c r="L19" s="2426">
        <f>IF(C1="",'数据-汇总表'!D3,SUMIF(项目类型,C1,'数据-汇总表'!D17:D26)+SUMIF(项目类型,C1,'数据-汇总表'!H17:H27))</f>
        <v>1043.67</v>
      </c>
      <c r="M19" s="2426">
        <f>IF(C1="",'数据-汇总表'!D3,SUMIF(项目类型,C1,'数据-汇总表'!D17:D26))</f>
        <v>1043.67</v>
      </c>
    </row>
    <row r="20" spans="1:35" ht="15">
      <c r="A20" s="2435"/>
      <c r="B20" s="1246" t="s">
        <v>2147</v>
      </c>
      <c r="C20" s="145">
        <f ca="1">SUMIF(INDIRECT("'"&amp;C4&amp;"'"&amp;"!A:A"),'结果表 (2)'!B20,INDIRECT("'"&amp;C4&amp;"'"&amp;"!B:B"))</f>
        <v>2060</v>
      </c>
      <c r="D20" s="146">
        <f ca="1">SUMIF(INDIRECT("'"&amp;D4&amp;"'"&amp;"!A:A"),'结果表 (2)'!B20,INDIRECT("'"&amp;D4&amp;"'"&amp;"!B:B"))</f>
        <v>9347</v>
      </c>
      <c r="E20" s="2435"/>
      <c r="F20" s="1246" t="s">
        <v>2147</v>
      </c>
      <c r="G20" s="147">
        <f ca="1">ROUND(C20*$C$18+D20*$D$18,0)</f>
        <v>6432</v>
      </c>
      <c r="H20" s="979" t="s">
        <v>2148</v>
      </c>
      <c r="I20" s="137"/>
    </row>
    <row r="21" spans="1:35" ht="15" customHeight="1" thickBot="1">
      <c r="A21" s="999"/>
      <c r="B21" s="2436" t="s">
        <v>2149</v>
      </c>
      <c r="C21" s="788">
        <f ca="1">ROUND(C19*10000/L19,0)</f>
        <v>7023</v>
      </c>
      <c r="D21" s="789">
        <f ca="1">ROUND(D19*10000/L19,0)</f>
        <v>31878</v>
      </c>
      <c r="E21" s="999"/>
      <c r="F21" s="2436" t="s">
        <v>2149</v>
      </c>
      <c r="G21" s="148">
        <f ca="1">ROUND(G19*10000/L19,0)</f>
        <v>21932</v>
      </c>
      <c r="H21" s="2437" t="s">
        <v>2148</v>
      </c>
      <c r="I21" s="137"/>
    </row>
    <row r="22" spans="1:35" ht="15" thickBot="1">
      <c r="A22" s="2278" t="s">
        <v>2150</v>
      </c>
      <c r="B22" s="2438"/>
      <c r="C22" s="2439"/>
      <c r="D22" s="790">
        <f ca="1">IF(C19&lt;D19,D19/C19-1,C19/D19-1)</f>
        <v>3.5388813096862206</v>
      </c>
      <c r="E22" s="137"/>
      <c r="F22" s="137"/>
      <c r="G22" s="137"/>
      <c r="H22" s="137"/>
      <c r="I22" s="137"/>
    </row>
    <row r="23" spans="1:35" ht="13.5" hidden="1" thickBot="1">
      <c r="A23" s="2416"/>
      <c r="B23" s="2416"/>
      <c r="C23" s="2416"/>
      <c r="D23" s="2416"/>
      <c r="E23" s="137"/>
      <c r="F23" s="137"/>
      <c r="G23" s="137"/>
      <c r="H23" s="137"/>
      <c r="I23" s="137"/>
    </row>
    <row r="24" spans="1:35" ht="14.25" hidden="1">
      <c r="A24" s="3227" t="s">
        <v>2151</v>
      </c>
      <c r="B24" s="2433" t="s">
        <v>2143</v>
      </c>
      <c r="C24" s="144">
        <f>IF(B30=0,0,D30)</f>
        <v>0</v>
      </c>
      <c r="D24" s="2440"/>
      <c r="E24" s="137"/>
      <c r="F24" s="137"/>
      <c r="G24" s="137"/>
      <c r="H24" s="137"/>
      <c r="I24" s="137"/>
    </row>
    <row r="25" spans="1:35" ht="14.25" hidden="1">
      <c r="A25" s="3228"/>
      <c r="B25" s="1246" t="s">
        <v>2147</v>
      </c>
      <c r="C25" s="149">
        <f>IF(B30=0,0,C30)</f>
        <v>0</v>
      </c>
      <c r="D25" s="2441"/>
      <c r="E25" s="137"/>
      <c r="F25" s="137"/>
      <c r="G25" s="137"/>
      <c r="H25" s="137"/>
      <c r="I25" s="137"/>
    </row>
    <row r="26" spans="1:35" ht="13.5" hidden="1" customHeight="1">
      <c r="A26" s="2442" t="s">
        <v>2152</v>
      </c>
      <c r="B26" s="150" t="s">
        <v>2153</v>
      </c>
      <c r="C26" s="150" t="s">
        <v>2154</v>
      </c>
      <c r="D26" s="151" t="s">
        <v>2155</v>
      </c>
      <c r="E26" s="137"/>
      <c r="F26" s="137"/>
      <c r="G26" s="137"/>
      <c r="H26" s="137"/>
      <c r="I26" s="137"/>
    </row>
    <row r="27" spans="1:35" ht="14.25" hidden="1">
      <c r="A27" s="2442"/>
      <c r="B27" s="150">
        <v>0</v>
      </c>
      <c r="C27" s="150">
        <v>0</v>
      </c>
      <c r="D27" s="151">
        <f>ROUND(C27*B27/10000,0)</f>
        <v>0</v>
      </c>
      <c r="E27" s="137"/>
      <c r="F27" s="137"/>
      <c r="G27" s="137"/>
      <c r="H27" s="137"/>
      <c r="I27" s="137"/>
    </row>
    <row r="28" spans="1:35" ht="14.25" hidden="1">
      <c r="A28" s="2442"/>
      <c r="B28" s="150"/>
      <c r="C28" s="150"/>
      <c r="D28" s="151"/>
      <c r="E28" s="137"/>
      <c r="F28" s="137"/>
      <c r="G28" s="137"/>
      <c r="H28" s="137"/>
      <c r="I28" s="137"/>
    </row>
    <row r="29" spans="1:35" ht="14.25" hidden="1">
      <c r="A29" s="2442"/>
      <c r="B29" s="150"/>
      <c r="C29" s="150"/>
      <c r="D29" s="151"/>
      <c r="E29" s="137"/>
      <c r="F29" s="137"/>
      <c r="G29" s="137"/>
      <c r="H29" s="137"/>
      <c r="I29" s="137"/>
    </row>
    <row r="30" spans="1:35" ht="14.25" hidden="1">
      <c r="A30" s="150" t="s">
        <v>2156</v>
      </c>
      <c r="B30" s="150"/>
      <c r="C30" s="150"/>
      <c r="D30" s="150"/>
      <c r="E30" s="2915" t="s">
        <v>3032</v>
      </c>
      <c r="F30" s="137"/>
      <c r="G30" s="137"/>
      <c r="H30" s="137"/>
      <c r="I30" s="137"/>
    </row>
    <row r="31" spans="1:35" s="2444" customFormat="1" ht="15" hidden="1"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hidden="1" thickBot="1">
      <c r="A32" s="2445" t="s">
        <v>2157</v>
      </c>
      <c r="B32" s="2446"/>
      <c r="C32" s="152">
        <f ca="1">IF(D32="总价",G19-C24,G20-C25)</f>
        <v>2289</v>
      </c>
      <c r="D32" s="2447" t="s">
        <v>2158</v>
      </c>
      <c r="E32" s="137"/>
      <c r="F32" s="137"/>
      <c r="G32" s="137"/>
      <c r="H32" s="137"/>
      <c r="I32" s="137"/>
    </row>
    <row r="33" spans="1:15" ht="15" hidden="1">
      <c r="A33" s="956" t="s">
        <v>2159</v>
      </c>
      <c r="B33" s="2448"/>
      <c r="C33" s="2449" t="s">
        <v>3278</v>
      </c>
      <c r="D33" s="2450"/>
      <c r="E33" s="2451" t="s">
        <v>2160</v>
      </c>
      <c r="F33" s="2950" t="str">
        <f>IF(D32="楼面单价","取值（单价）","取值（总价）")</f>
        <v>取值（总价）</v>
      </c>
      <c r="G33" s="137"/>
      <c r="H33" s="137"/>
      <c r="I33" s="137"/>
    </row>
    <row r="34" spans="1:15" ht="15" hidden="1">
      <c r="A34" s="2453"/>
      <c r="B34" s="2454" t="s">
        <v>2161</v>
      </c>
      <c r="C34" s="156">
        <f ca="1">IF(C33="自定义",F34,C32-C35)</f>
        <v>1100</v>
      </c>
      <c r="D34" s="1054">
        <f ca="1">IF(C33="自定义",ROUND(C34/C32,3),IF(C33="收益比率",SUMIF(INDIRECT("'"&amp;D33&amp;"'"&amp;"!b:b"),"土地收益比率",INDIRECT("'"&amp;D33&amp;"'"&amp;"!c:c")),SUMIF(INDIRECT("'"&amp;D33&amp;"'"&amp;"!b:b"),"土地成本比率",INDIRECT("'"&amp;D33&amp;"'"&amp;"!c:c"))))</f>
        <v>0.48099999999999998</v>
      </c>
      <c r="E34" s="2455" t="s">
        <v>2162</v>
      </c>
      <c r="F34" s="1735">
        <f ca="1">G19-F35</f>
        <v>1100</v>
      </c>
      <c r="G34" s="137"/>
      <c r="H34" s="137"/>
      <c r="I34" s="137"/>
    </row>
    <row r="35" spans="1:15" ht="15.75" hidden="1" thickBot="1">
      <c r="A35" s="2456"/>
      <c r="B35" s="2457" t="s">
        <v>2163</v>
      </c>
      <c r="C35" s="1440">
        <f ca="1">IF(C33="自定义",F35,ROUND(C32*D35,0))</f>
        <v>1189</v>
      </c>
      <c r="D35" s="1441">
        <f ca="1">IF(C33="自定义",ROUND(C35/C32,3),IF(C33="收益比率",SUMIF(INDIRECT("'"&amp;D33&amp;"'"&amp;"!b:b"),"建筑物收益比率",INDIRECT("'"&amp;D33&amp;"'"&amp;"!c:c")),SUMIF(INDIRECT("'"&amp;D33&amp;"'"&amp;"!b:b"),"建筑物成本比率",INDIRECT("'"&amp;D33&amp;"'"&amp;"!c:c"))))</f>
        <v>0.51900000000000002</v>
      </c>
      <c r="E35" s="2458" t="s">
        <v>2164</v>
      </c>
      <c r="F35" s="162">
        <f ca="1">ROUND('收益法 (元)'!C29/10000,0)</f>
        <v>1189</v>
      </c>
      <c r="G35" s="137"/>
      <c r="H35" s="137"/>
      <c r="I35" s="137"/>
    </row>
    <row r="36" spans="1:15" ht="15.75" hidden="1" thickBot="1">
      <c r="A36" s="3207" t="s">
        <v>2165</v>
      </c>
      <c r="B36" s="2459" t="s">
        <v>2166</v>
      </c>
      <c r="C36" s="153"/>
      <c r="D36" s="2460"/>
      <c r="E36" s="2461"/>
      <c r="F36" s="2462"/>
      <c r="G36" s="137"/>
      <c r="H36" s="137"/>
      <c r="I36" s="137"/>
    </row>
    <row r="37" spans="1:15" ht="15.75" hidden="1" thickBot="1">
      <c r="A37" s="3208"/>
      <c r="B37" s="2264" t="s">
        <v>2167</v>
      </c>
      <c r="C37" s="155"/>
      <c r="D37" s="1391"/>
      <c r="E37" s="1391"/>
      <c r="F37" s="2462"/>
      <c r="G37" s="137"/>
      <c r="H37" s="137"/>
      <c r="I37" s="137"/>
    </row>
    <row r="38" spans="1:15" ht="15.75" hidden="1" thickBot="1">
      <c r="A38" s="3209"/>
      <c r="B38" s="2463" t="s">
        <v>2168</v>
      </c>
      <c r="C38" s="726"/>
      <c r="D38" s="2464" t="s">
        <v>2169</v>
      </c>
      <c r="E38" s="1391"/>
      <c r="F38" s="2462"/>
      <c r="G38" s="137"/>
      <c r="H38" s="137"/>
      <c r="I38" s="137"/>
    </row>
    <row r="39" spans="1:15" ht="15" hidden="1">
      <c r="A39" s="2435" t="s">
        <v>2170</v>
      </c>
      <c r="B39" s="2465" t="s">
        <v>2171</v>
      </c>
      <c r="C39" s="2466" t="s">
        <v>2172</v>
      </c>
      <c r="D39" s="2466" t="s">
        <v>2173</v>
      </c>
      <c r="E39" s="2467" t="s">
        <v>2174</v>
      </c>
      <c r="F39" s="2462"/>
      <c r="G39" s="137"/>
      <c r="H39" s="137"/>
      <c r="I39" s="137"/>
    </row>
    <row r="40" spans="1:15" ht="14.25" hidden="1">
      <c r="A40" s="2468" t="s">
        <v>2175</v>
      </c>
      <c r="B40" s="157"/>
      <c r="C40" s="158"/>
      <c r="D40" s="158"/>
      <c r="E40" s="159"/>
      <c r="F40" s="2462"/>
      <c r="G40" s="137"/>
      <c r="H40" s="137"/>
      <c r="I40" s="137"/>
    </row>
    <row r="41" spans="1:15" ht="14.25" hidden="1">
      <c r="A41" s="2468" t="s">
        <v>2176</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2177</v>
      </c>
      <c r="B44" s="2473"/>
      <c r="C44" s="2473"/>
      <c r="D44" s="2474"/>
      <c r="E44" s="2474"/>
      <c r="F44" s="2475"/>
      <c r="G44" s="2475"/>
      <c r="H44" s="2475"/>
      <c r="I44" s="2475"/>
      <c r="J44" s="2476" t="s">
        <v>2178</v>
      </c>
      <c r="K44" s="2477"/>
      <c r="L44" s="2477"/>
      <c r="M44" s="2477"/>
      <c r="N44" s="2477"/>
      <c r="O44" s="2477"/>
    </row>
    <row r="45" spans="1:15" ht="14.25" hidden="1" customHeight="1" thickBot="1">
      <c r="A45" s="3224" t="s">
        <v>2179</v>
      </c>
      <c r="B45" s="3225"/>
      <c r="C45" s="3226"/>
      <c r="D45" s="163">
        <f ca="1">ROUND(H101*F45,0)</f>
        <v>2289</v>
      </c>
      <c r="E45" s="164" t="s">
        <v>2180</v>
      </c>
      <c r="F45" s="165">
        <v>1</v>
      </c>
      <c r="G45" s="166" t="s">
        <v>2181</v>
      </c>
      <c r="H45" s="137"/>
      <c r="I45" s="137"/>
      <c r="J45" s="3143" t="s">
        <v>2182</v>
      </c>
      <c r="K45" s="3143"/>
      <c r="L45" s="3143"/>
      <c r="M45" s="3143"/>
      <c r="N45" s="3143"/>
      <c r="O45" s="3143"/>
    </row>
    <row r="46" spans="1:15" ht="14.25" hidden="1" customHeight="1">
      <c r="A46" s="3221" t="s">
        <v>2183</v>
      </c>
      <c r="B46" s="3222"/>
      <c r="C46" s="3222"/>
      <c r="D46" s="3222"/>
      <c r="E46" s="3222"/>
      <c r="F46" s="3222"/>
      <c r="G46" s="3223"/>
      <c r="H46" s="2478"/>
      <c r="I46" s="167"/>
      <c r="J46" s="2955">
        <v>1</v>
      </c>
      <c r="K46" s="3143" t="s">
        <v>2184</v>
      </c>
      <c r="L46" s="3143"/>
      <c r="M46" s="3144"/>
      <c r="N46" s="3144"/>
      <c r="O46" s="3144"/>
    </row>
    <row r="47" spans="1:15" ht="12" hidden="1" customHeight="1">
      <c r="A47" s="168" t="s">
        <v>2185</v>
      </c>
      <c r="B47" s="169"/>
      <c r="C47" s="170"/>
      <c r="D47" s="171" t="s">
        <v>2186</v>
      </c>
      <c r="E47" s="24" t="s">
        <v>2187</v>
      </c>
      <c r="F47" s="172" t="s">
        <v>2188</v>
      </c>
      <c r="G47" s="173" t="s">
        <v>2189</v>
      </c>
      <c r="H47" s="2478"/>
      <c r="I47" s="167"/>
      <c r="J47" s="2955">
        <v>2</v>
      </c>
      <c r="K47" s="3143" t="s">
        <v>2190</v>
      </c>
      <c r="L47" s="3143"/>
      <c r="M47" s="3145">
        <f>'数据-取费表'!B2</f>
        <v>43634</v>
      </c>
      <c r="N47" s="3145"/>
      <c r="O47" s="3145"/>
    </row>
    <row r="48" spans="1:15" ht="25.5" hidden="1">
      <c r="A48" s="3211" t="s">
        <v>2191</v>
      </c>
      <c r="B48" s="3212"/>
      <c r="C48" s="3212"/>
      <c r="D48" s="139">
        <f>IF(H48="情况1",0,IF(H48="情况2",D52,IF(H48="情况3",D53,IF(H48="情况4",D54))))</f>
        <v>0</v>
      </c>
      <c r="E48" s="2964" t="str">
        <f>IF(H48="情况4","(销售额-原购置价)×税（费）率","销售额×税（费）率")</f>
        <v>销售额×税（费）率</v>
      </c>
      <c r="F48" s="174" t="str">
        <f>IF(H48="情况1","免征",'数据-取费表'!B41)</f>
        <v>免征</v>
      </c>
      <c r="G48" s="2479" t="s">
        <v>2192</v>
      </c>
      <c r="H48" s="2480" t="s">
        <v>2193</v>
      </c>
      <c r="I48" s="2478"/>
      <c r="J48" s="2955">
        <v>3</v>
      </c>
      <c r="K48" s="3143" t="s">
        <v>2194</v>
      </c>
      <c r="L48" s="3143"/>
      <c r="M48" s="3146">
        <f ca="1">H101</f>
        <v>2289</v>
      </c>
      <c r="N48" s="3146"/>
      <c r="O48" s="3146"/>
    </row>
    <row r="49" spans="1:35" ht="25.5" hidden="1" customHeight="1">
      <c r="A49" s="175" t="s">
        <v>2195</v>
      </c>
      <c r="B49" s="3191" t="s">
        <v>2196</v>
      </c>
      <c r="C49" s="3191"/>
      <c r="D49" s="176">
        <v>0</v>
      </c>
      <c r="E49" s="23" t="s">
        <v>2197</v>
      </c>
      <c r="F49" s="28" t="s">
        <v>34</v>
      </c>
      <c r="G49" s="3172"/>
      <c r="H49" s="137"/>
      <c r="I49" s="2481"/>
      <c r="J49" s="2955">
        <v>4</v>
      </c>
      <c r="K49" s="3143" t="str">
        <f>IF(项目基本情况!E8="房地产抵押价值","房地产抵押价值","抵押担保权已注销时的房地产抵押价值")</f>
        <v>房地产抵押价值</v>
      </c>
      <c r="L49" s="3143"/>
      <c r="M49" s="3146">
        <f ca="1">IF(项目基本情况!E8="房地产抵押价值",H107,H109)</f>
        <v>2289</v>
      </c>
      <c r="N49" s="3146"/>
      <c r="O49" s="3146"/>
    </row>
    <row r="50" spans="1:35" ht="25.5" hidden="1" customHeight="1">
      <c r="A50" s="177"/>
      <c r="B50" s="3191" t="s">
        <v>2198</v>
      </c>
      <c r="C50" s="3191"/>
      <c r="D50" s="178"/>
      <c r="E50" s="31"/>
      <c r="F50" s="179"/>
      <c r="G50" s="3173"/>
      <c r="H50" s="137"/>
      <c r="I50" s="2481"/>
      <c r="J50" s="3143" t="s">
        <v>2199</v>
      </c>
      <c r="K50" s="3143"/>
      <c r="L50" s="3143"/>
      <c r="M50" s="3143"/>
      <c r="N50" s="3143"/>
      <c r="O50" s="3143"/>
    </row>
    <row r="51" spans="1:35" ht="12" hidden="1" customHeight="1">
      <c r="A51" s="180"/>
      <c r="B51" s="3191" t="s">
        <v>2200</v>
      </c>
      <c r="C51" s="3191"/>
      <c r="D51" s="181"/>
      <c r="E51" s="30"/>
      <c r="F51" s="179"/>
      <c r="G51" s="3174"/>
      <c r="H51" s="137"/>
      <c r="I51" s="2481"/>
      <c r="J51" s="2952" t="s">
        <v>2201</v>
      </c>
      <c r="K51" s="3143" t="s">
        <v>2202</v>
      </c>
      <c r="L51" s="3143"/>
      <c r="M51" s="2952" t="s">
        <v>2203</v>
      </c>
      <c r="N51" s="2952" t="s">
        <v>2204</v>
      </c>
      <c r="O51" s="2952" t="s">
        <v>2205</v>
      </c>
    </row>
    <row r="52" spans="1:35" ht="24" hidden="1" customHeight="1">
      <c r="A52" s="182" t="s">
        <v>2206</v>
      </c>
      <c r="B52" s="3191" t="s">
        <v>2207</v>
      </c>
      <c r="C52" s="3191"/>
      <c r="D52" s="181">
        <f ca="1">ROUND(D45*'数据-取费表'!B41/(1+'数据-取费表'!C42),0)</f>
        <v>122</v>
      </c>
      <c r="E52" s="11" t="s">
        <v>2208</v>
      </c>
      <c r="F52" s="183">
        <f>'数据-取费表'!B41</f>
        <v>5.6000000000000001E-2</v>
      </c>
      <c r="G52" s="2483"/>
      <c r="H52" s="137"/>
      <c r="I52" s="2481"/>
      <c r="J52" s="2955">
        <v>1</v>
      </c>
      <c r="K52" s="3166" t="s">
        <v>2209</v>
      </c>
      <c r="L52" s="3166"/>
      <c r="M52" s="1750">
        <f>D48</f>
        <v>0</v>
      </c>
      <c r="N52" s="2955" t="str">
        <f>E48</f>
        <v>销售额×税（费）率</v>
      </c>
      <c r="O52" s="1751" t="str">
        <f>F48</f>
        <v>免征</v>
      </c>
    </row>
    <row r="53" spans="1:35" ht="12" hidden="1" customHeight="1">
      <c r="A53" s="182" t="s">
        <v>2210</v>
      </c>
      <c r="B53" s="3192" t="s">
        <v>2211</v>
      </c>
      <c r="C53" s="3193"/>
      <c r="D53" s="181">
        <f ca="1">ROUND(D45*'数据-取费表'!B41/(1+'数据-取费表'!C42),0)</f>
        <v>122</v>
      </c>
      <c r="E53" s="11" t="s">
        <v>2208</v>
      </c>
      <c r="F53" s="183">
        <f>'数据-取费表'!B41</f>
        <v>5.6000000000000001E-2</v>
      </c>
      <c r="G53" s="2483"/>
      <c r="H53" s="137"/>
      <c r="I53" s="2481"/>
      <c r="J53" s="2955">
        <v>2</v>
      </c>
      <c r="K53" s="3166" t="s">
        <v>2212</v>
      </c>
      <c r="L53" s="3166"/>
      <c r="M53" s="1750">
        <f t="shared" ref="M53:O54" ca="1" si="0">D55</f>
        <v>1</v>
      </c>
      <c r="N53" s="2955" t="str">
        <f t="shared" si="0"/>
        <v>销售额×税（费）率</v>
      </c>
      <c r="O53" s="1751">
        <f t="shared" si="0"/>
        <v>5.0000000000000001E-4</v>
      </c>
    </row>
    <row r="54" spans="1:35" ht="12" hidden="1" customHeight="1">
      <c r="A54" s="182" t="s">
        <v>2213</v>
      </c>
      <c r="B54" s="3192" t="s">
        <v>2214</v>
      </c>
      <c r="C54" s="3193"/>
      <c r="D54" s="181">
        <f ca="1">C68</f>
        <v>122</v>
      </c>
      <c r="E54" s="30" t="s">
        <v>2215</v>
      </c>
      <c r="F54" s="183">
        <f>'数据-取费表'!B41</f>
        <v>5.6000000000000001E-2</v>
      </c>
      <c r="G54" s="2483"/>
      <c r="H54" s="2484"/>
      <c r="I54" s="2481"/>
      <c r="J54" s="2955">
        <v>3</v>
      </c>
      <c r="K54" s="3166" t="s">
        <v>2216</v>
      </c>
      <c r="L54" s="3166"/>
      <c r="M54" s="1750">
        <f t="shared" ca="1" si="0"/>
        <v>1296</v>
      </c>
      <c r="N54" s="2955" t="str">
        <f t="shared" si="0"/>
        <v>增值额×税（费）率</v>
      </c>
      <c r="O54" s="1752" t="str">
        <f t="shared" si="0"/>
        <v>——</v>
      </c>
    </row>
    <row r="55" spans="1:35" ht="24" hidden="1" customHeight="1">
      <c r="A55" s="3230" t="s">
        <v>2217</v>
      </c>
      <c r="B55" s="3212"/>
      <c r="C55" s="3212"/>
      <c r="D55" s="184">
        <f ca="1">IF(H55="个人住宅",0,ROUND(D45*I55,0))</f>
        <v>1</v>
      </c>
      <c r="E55" s="11" t="s">
        <v>2218</v>
      </c>
      <c r="F55" s="183">
        <f>IF(H55="正常",I55,"免征")</f>
        <v>5.0000000000000001E-4</v>
      </c>
      <c r="G55" s="2483"/>
      <c r="H55" s="2480" t="s">
        <v>2219</v>
      </c>
      <c r="I55" s="185">
        <f>'数据-取费表'!B49</f>
        <v>5.0000000000000001E-4</v>
      </c>
      <c r="J55" s="2955" t="str">
        <f>IF(H59="非个人房产","",4)</f>
        <v/>
      </c>
      <c r="K55" s="3166" t="str">
        <f>IF(H59="非个人房产","——","个人所得税")</f>
        <v>——</v>
      </c>
      <c r="L55" s="3166"/>
      <c r="M55" s="1753" t="str">
        <f>D59</f>
        <v>——</v>
      </c>
      <c r="N55" s="2956" t="str">
        <f>E59</f>
        <v>——</v>
      </c>
      <c r="O55" s="1754" t="str">
        <f>F59</f>
        <v>——</v>
      </c>
    </row>
    <row r="56" spans="1:35" ht="24.75" hidden="1">
      <c r="A56" s="3230" t="s">
        <v>2220</v>
      </c>
      <c r="B56" s="3212"/>
      <c r="C56" s="3212"/>
      <c r="D56" s="184">
        <f ca="1">IF(H56="个人住宅",D57,D58)</f>
        <v>1296</v>
      </c>
      <c r="E56" s="11" t="s">
        <v>2221</v>
      </c>
      <c r="F56" s="183" t="str">
        <f>IF(H56="正常",F58,"免征")</f>
        <v>——</v>
      </c>
      <c r="G56" s="2485" t="s">
        <v>2222</v>
      </c>
      <c r="H56" s="2486" t="s">
        <v>2219</v>
      </c>
      <c r="I56" s="2487"/>
      <c r="J56" s="2955" t="str">
        <f>IF(项目基本情况!K6="上海银行",IF(J55="",4,J55+1),"")</f>
        <v/>
      </c>
      <c r="K56" s="3149" t="str">
        <f>IF(项目基本情况!K6="上海银行","其他处置费用","")</f>
        <v/>
      </c>
      <c r="L56" s="3150"/>
      <c r="M56" s="1750" t="str">
        <f>IF(项目基本情况!K6="上海银行",M69,"")</f>
        <v/>
      </c>
      <c r="N56" s="3152" t="str">
        <f>IF(项目基本情况!K6="上海银行","包含处置中涉及的律师、诉讼、拍卖、评估等费用","")</f>
        <v/>
      </c>
      <c r="O56" s="3153"/>
    </row>
    <row r="57" spans="1:35" ht="12.75" hidden="1">
      <c r="A57" s="182" t="s">
        <v>2195</v>
      </c>
      <c r="B57" s="3197" t="s">
        <v>2223</v>
      </c>
      <c r="C57" s="3198"/>
      <c r="D57" s="186">
        <v>0</v>
      </c>
      <c r="E57" s="23" t="s">
        <v>2197</v>
      </c>
      <c r="F57" s="154"/>
      <c r="G57" s="2483"/>
      <c r="H57" s="2487"/>
      <c r="I57" s="2487"/>
      <c r="J57" s="3166">
        <f>IF(AND(J55="",J56=""),4,IF(项目基本情况!K6="上海银行",'结果表 (2)'!J56+1,'结果表 (2)'!J55+1))</f>
        <v>4</v>
      </c>
      <c r="K57" s="3166" t="s">
        <v>2224</v>
      </c>
      <c r="L57" s="2488" t="s">
        <v>2225</v>
      </c>
      <c r="M57" s="1755"/>
      <c r="N57" s="1756">
        <f ca="1">SUMIF(M52:M56,"&lt;9e307")</f>
        <v>1297</v>
      </c>
      <c r="O57" s="2489"/>
      <c r="P57" s="1749">
        <f ca="1">N57/M49</f>
        <v>0.56662297946701612</v>
      </c>
    </row>
    <row r="58" spans="1:35" ht="24.75" hidden="1">
      <c r="A58" s="182" t="s">
        <v>2206</v>
      </c>
      <c r="B58" s="3197" t="s">
        <v>2226</v>
      </c>
      <c r="C58" s="3210"/>
      <c r="D58" s="184">
        <f ca="1">IF(H58="转让取得",C81,C97)</f>
        <v>1296</v>
      </c>
      <c r="E58" s="11" t="s">
        <v>2221</v>
      </c>
      <c r="F58" s="24" t="s">
        <v>34</v>
      </c>
      <c r="G58" s="2483"/>
      <c r="H58" s="2486" t="s">
        <v>2227</v>
      </c>
      <c r="I58" s="2487"/>
      <c r="J58" s="3166"/>
      <c r="K58" s="3166"/>
      <c r="L58" s="2488" t="s">
        <v>2228</v>
      </c>
      <c r="M58" s="1757"/>
      <c r="N58" s="2490" t="str">
        <f ca="1">NUMBERSTRING(INT(N57*10000),2)&amp;"元整"</f>
        <v>壹仟贰佰玖拾柒万元整</v>
      </c>
      <c r="O58" s="2491"/>
    </row>
    <row r="59" spans="1:35" ht="24.75" hidden="1" thickBot="1">
      <c r="A59" s="3170" t="s">
        <v>2229</v>
      </c>
      <c r="B59" s="3171"/>
      <c r="C59" s="3171"/>
      <c r="D59" s="187" t="str">
        <f>IF(H59="非个人房产","——",IF(H59="个人住宅",0,ROUND(D45*I59,0)))</f>
        <v>——</v>
      </c>
      <c r="E59" s="188" t="str">
        <f>IF(H59="非个人房产","——","销售额×税（费）率")</f>
        <v>——</v>
      </c>
      <c r="F59" s="189" t="str">
        <f>IF(H59="非个人房产","——",IF(H59="个人住宅","免征",I59))</f>
        <v>——</v>
      </c>
      <c r="G59" s="2492" t="s">
        <v>2222</v>
      </c>
      <c r="H59" s="2486" t="s">
        <v>2230</v>
      </c>
      <c r="I59" s="190">
        <v>0.01</v>
      </c>
      <c r="J59" s="3168">
        <f>J57+1</f>
        <v>5</v>
      </c>
      <c r="K59" s="3166" t="s">
        <v>2231</v>
      </c>
      <c r="L59" s="2955" t="s">
        <v>2225</v>
      </c>
      <c r="M59" s="1758"/>
      <c r="N59" s="1759">
        <f ca="1">M49-N57</f>
        <v>992</v>
      </c>
      <c r="O59" s="2493"/>
    </row>
    <row r="60" spans="1:35" ht="12" hidden="1" customHeight="1">
      <c r="A60" s="2494"/>
      <c r="B60" s="2416"/>
      <c r="C60" s="2416"/>
      <c r="D60" s="2416"/>
      <c r="E60" s="2163"/>
      <c r="F60" s="2487"/>
      <c r="G60" s="2487"/>
      <c r="H60" s="2495"/>
      <c r="I60" s="137"/>
      <c r="J60" s="3169"/>
      <c r="K60" s="3166"/>
      <c r="L60" s="2488" t="s">
        <v>2228</v>
      </c>
      <c r="M60" s="1757"/>
      <c r="N60" s="2490" t="str">
        <f ca="1">NUMBERSTRING(INT(N59*10000),2)&amp;"元整"</f>
        <v>玖佰玖拾贰万元整</v>
      </c>
      <c r="O60" s="2491"/>
    </row>
    <row r="61" spans="1:35" ht="13.5" hidden="1" thickBot="1">
      <c r="A61" s="3229" t="s">
        <v>2232</v>
      </c>
      <c r="B61" s="3229"/>
      <c r="C61" s="3229"/>
      <c r="D61" s="3229"/>
      <c r="E61" s="3229"/>
      <c r="F61" s="2487"/>
      <c r="G61" s="2487"/>
      <c r="H61" s="2495"/>
      <c r="I61" s="137"/>
      <c r="J61" s="2955">
        <f>J59+1</f>
        <v>6</v>
      </c>
      <c r="K61" s="3166" t="s">
        <v>2233</v>
      </c>
      <c r="L61" s="3166"/>
      <c r="M61" s="1760"/>
      <c r="N61" s="1761">
        <f ca="1">ROUND(N59*10000/'数据-汇总表'!E3,0)</f>
        <v>286</v>
      </c>
      <c r="O61" s="2496"/>
    </row>
    <row r="62" spans="1:35" ht="12.75" hidden="1">
      <c r="A62" s="3186" t="s">
        <v>2234</v>
      </c>
      <c r="B62" s="3187"/>
      <c r="C62" s="2960"/>
      <c r="D62" s="2960" t="s">
        <v>2235</v>
      </c>
      <c r="E62" s="191" t="s">
        <v>2236</v>
      </c>
      <c r="F62" s="2487"/>
      <c r="G62" s="2487"/>
      <c r="H62" s="2495"/>
      <c r="I62" s="137"/>
    </row>
    <row r="63" spans="1:35" ht="12.75" hidden="1">
      <c r="A63" s="202" t="s">
        <v>775</v>
      </c>
      <c r="B63" s="192" t="s">
        <v>2237</v>
      </c>
      <c r="C63" s="193">
        <f ca="1">ROUND((C64+C65)/(1+'数据-取费表'!C42),0)</f>
        <v>2180</v>
      </c>
      <c r="D63" s="194"/>
      <c r="E63" s="195"/>
      <c r="F63" s="2487"/>
      <c r="G63" s="2487"/>
      <c r="H63" s="2495"/>
      <c r="I63" s="137"/>
      <c r="J63" s="3151" t="s">
        <v>2238</v>
      </c>
      <c r="K63" s="2953" t="s">
        <v>2239</v>
      </c>
      <c r="L63" s="1748">
        <f ca="1">IF(M49&gt;10000,M49*0.5%,IF(AND(M49&gt;1000,M49&lt;=10000),M49*1%,IF(AND(M49&gt;100,M49&lt;=1000),M49*3%,IF(AND(M49&gt;10,M49&lt;=100),M49*5%,M49*8%))))</f>
        <v>22.89</v>
      </c>
      <c r="M63" s="24">
        <f ca="1">ROUND(L63,1)</f>
        <v>22.9</v>
      </c>
      <c r="Z63" s="2421"/>
      <c r="AI63" s="2422"/>
    </row>
    <row r="64" spans="1:35" ht="14.25" hidden="1" customHeight="1">
      <c r="A64" s="196" t="s">
        <v>770</v>
      </c>
      <c r="B64" s="197" t="s">
        <v>2240</v>
      </c>
      <c r="C64" s="198">
        <f ca="1">D45</f>
        <v>2289</v>
      </c>
      <c r="D64" s="199" t="s">
        <v>32</v>
      </c>
      <c r="E64" s="200"/>
      <c r="F64" s="2487"/>
      <c r="G64" s="2487"/>
      <c r="H64" s="2495"/>
      <c r="I64" s="137"/>
      <c r="J64" s="3151"/>
      <c r="K64" s="2953" t="s">
        <v>2241</v>
      </c>
      <c r="L64" s="1748">
        <f ca="1">IF(M49&gt;2000,M49*0.5%,IF(AND(M49&gt;1000,M49&lt;=2000),M49*0.6%,IF(AND(M49&gt;500,M49&lt;=1000),M49*0.7%,IF(AND(M49&gt;200,M49&lt;=500),M49*0.8%,IF(AND(M49&gt;100,M49&lt;=200),M49*0.9%,IF(AND(M49&gt;50,M49&lt;=100),M49*1%,IF(AND(M49&gt;20,M49&lt;=50),M49*1.5%,IF(AND(M49&gt;10,M49&lt;=20),M49*2%,IF(AND(M49&gt;1,M49&lt;=10),M49*2.5%)))))))))</f>
        <v>11.445</v>
      </c>
      <c r="M64" s="24">
        <f t="shared" ref="M64:M65" ca="1" si="1">ROUND(L64,1)</f>
        <v>11.4</v>
      </c>
      <c r="N64" s="137" t="s">
        <v>2242</v>
      </c>
      <c r="Z64" s="2421"/>
      <c r="AI64" s="2422"/>
    </row>
    <row r="65" spans="1:35" ht="14.25" hidden="1" customHeight="1">
      <c r="A65" s="196" t="s">
        <v>771</v>
      </c>
      <c r="B65" s="197" t="s">
        <v>2243</v>
      </c>
      <c r="C65" s="201"/>
      <c r="D65" s="199"/>
      <c r="E65" s="200"/>
      <c r="F65" s="2487"/>
      <c r="G65" s="2487"/>
      <c r="H65" s="2495"/>
      <c r="I65" s="137"/>
      <c r="J65" s="3151"/>
      <c r="K65" s="2953" t="s">
        <v>2244</v>
      </c>
      <c r="L65" s="1748">
        <f ca="1">IF(M49&gt;1000,M49*0.1%,IF(AND(M49&gt;500,M49&lt;=1000),M49*0.5%,IF(AND(M49&gt;50,M49&lt;=500),M49*1%,IF(AND(M49&gt;1,M49&lt;=50),M49*1.5%))))</f>
        <v>2.2890000000000001</v>
      </c>
      <c r="M65" s="24">
        <f t="shared" ca="1" si="1"/>
        <v>2.2999999999999998</v>
      </c>
      <c r="N65" s="137" t="s">
        <v>2242</v>
      </c>
      <c r="Z65" s="2421"/>
      <c r="AI65" s="2422"/>
    </row>
    <row r="66" spans="1:35" ht="14.25" hidden="1" customHeight="1">
      <c r="A66" s="202" t="s">
        <v>772</v>
      </c>
      <c r="B66" s="203" t="s">
        <v>2245</v>
      </c>
      <c r="C66" s="204"/>
      <c r="D66" s="205" t="s">
        <v>32</v>
      </c>
      <c r="E66" s="1772" t="s">
        <v>1367</v>
      </c>
      <c r="F66" s="2487"/>
      <c r="G66" s="2487"/>
      <c r="H66" s="2495"/>
      <c r="I66" s="137"/>
      <c r="J66" s="3151"/>
      <c r="K66" s="2953" t="s">
        <v>2246</v>
      </c>
      <c r="L66" s="1748">
        <f ca="1">M49*0.5%</f>
        <v>11.445</v>
      </c>
      <c r="M66" s="24">
        <f ca="1">IF(L66&gt;0.5,0.5,ROUND(L66,0))</f>
        <v>0.5</v>
      </c>
      <c r="N66" s="137" t="s">
        <v>2247</v>
      </c>
      <c r="Z66" s="2421"/>
      <c r="AI66" s="2422"/>
    </row>
    <row r="67" spans="1:35" ht="14.25" hidden="1" customHeight="1">
      <c r="A67" s="202" t="s">
        <v>773</v>
      </c>
      <c r="B67" s="203" t="s">
        <v>2248</v>
      </c>
      <c r="C67" s="206">
        <f ca="1">C63-C66</f>
        <v>2180</v>
      </c>
      <c r="D67" s="199" t="s">
        <v>32</v>
      </c>
      <c r="E67" s="200"/>
      <c r="F67" s="2487"/>
      <c r="G67" s="2487"/>
      <c r="H67" s="2495"/>
      <c r="I67" s="137"/>
      <c r="J67" s="3151"/>
      <c r="K67" s="2953" t="s">
        <v>2249</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hidden="1" customHeight="1" thickBot="1">
      <c r="A68" s="207" t="s">
        <v>774</v>
      </c>
      <c r="B68" s="208" t="s">
        <v>2250</v>
      </c>
      <c r="C68" s="209">
        <f ca="1">IF(C67&lt;=0,0,ROUND(C67*D68,0))</f>
        <v>122</v>
      </c>
      <c r="D68" s="210">
        <f>'数据-取费表'!B41</f>
        <v>5.6000000000000001E-2</v>
      </c>
      <c r="E68" s="211"/>
      <c r="F68" s="2487"/>
      <c r="G68" s="2487"/>
      <c r="H68" s="2495"/>
      <c r="I68" s="137"/>
      <c r="J68" s="3151"/>
      <c r="K68" s="2953" t="s">
        <v>2251</v>
      </c>
      <c r="L68" s="1748">
        <f ca="1">IF(M49&gt;10000,M49*0.5%,IF(AND(M49&gt;5000,M49&lt;=10000),M49*1%,IF(AND(M49&gt;1000,M49&lt;=5000),M49*2%,IF(AND(M49&gt;200,M49&lt;=1000),M49*3%,M49*5%))))</f>
        <v>45.78</v>
      </c>
      <c r="M68" s="24">
        <f ca="1">ROUND(L68,1)</f>
        <v>45.8</v>
      </c>
      <c r="Z68" s="2421"/>
      <c r="AI68" s="2422"/>
    </row>
    <row r="69" spans="1:35" s="2444" customFormat="1" ht="16.5" hidden="1" customHeight="1">
      <c r="A69" s="2498"/>
      <c r="B69" s="2499"/>
      <c r="C69" s="2500"/>
      <c r="D69" s="2501"/>
      <c r="E69" s="2502"/>
      <c r="F69" s="2163"/>
      <c r="G69" s="2163"/>
      <c r="H69" s="2162"/>
      <c r="I69" s="2416"/>
      <c r="J69" s="3151"/>
      <c r="K69" s="2953" t="s">
        <v>2252</v>
      </c>
      <c r="L69" s="2503"/>
      <c r="M69" s="24">
        <f ca="1">ROUND(SUM(M63:M68),0)</f>
        <v>85</v>
      </c>
      <c r="N69" s="1749">
        <f ca="1">M69/M49</f>
        <v>3.7134119702927043E-2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hidden="1" thickBot="1">
      <c r="A70" s="3195" t="s">
        <v>2253</v>
      </c>
      <c r="B70" s="3196"/>
      <c r="C70" s="3196"/>
      <c r="D70" s="3196"/>
      <c r="E70" s="3196"/>
      <c r="F70" s="3196"/>
      <c r="G70" s="3196"/>
      <c r="H70" s="319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86" t="s">
        <v>2234</v>
      </c>
      <c r="B71" s="3187"/>
      <c r="C71" s="2960"/>
      <c r="D71" s="2960" t="s">
        <v>2235</v>
      </c>
      <c r="E71" s="212" t="s">
        <v>2236</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2254</v>
      </c>
      <c r="C72" s="206">
        <f ca="1">ROUND(D45/(1+'数据-取费表'!C42),0)</f>
        <v>2180</v>
      </c>
      <c r="D72" s="199" t="s">
        <v>32</v>
      </c>
      <c r="E72" s="2962"/>
      <c r="F72" s="2961"/>
      <c r="G72" s="2961"/>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2255</v>
      </c>
      <c r="C73" s="206">
        <f ca="1">C74+C78</f>
        <v>13</v>
      </c>
      <c r="D73" s="199" t="s">
        <v>32</v>
      </c>
      <c r="E73" s="2962"/>
      <c r="F73" s="2961"/>
      <c r="G73" s="2961"/>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2256</v>
      </c>
      <c r="C74" s="199">
        <f>ROUND(IF(G77="2016年5月1日后购买",C75/(1+'数据-取费表'!C42)+C76+C77,C75+C76+C77),0)</f>
        <v>0</v>
      </c>
      <c r="D74" s="199" t="s">
        <v>32</v>
      </c>
      <c r="E74" s="2962"/>
      <c r="F74" s="2961"/>
      <c r="G74" s="2961"/>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2257</v>
      </c>
      <c r="C75" s="217"/>
      <c r="D75" s="199" t="s">
        <v>32</v>
      </c>
      <c r="E75" s="218" t="s">
        <v>2258</v>
      </c>
      <c r="F75" s="2509" t="s">
        <v>2259</v>
      </c>
      <c r="G75" s="218" t="s">
        <v>2260</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2261</v>
      </c>
      <c r="C76" s="199">
        <f>IF(F75="购房发票",ROUND(C75*H75*D76,0),0)</f>
        <v>0</v>
      </c>
      <c r="D76" s="221">
        <v>0.05</v>
      </c>
      <c r="E76" s="3192" t="s">
        <v>2262</v>
      </c>
      <c r="F76" s="3191"/>
      <c r="G76" s="3191"/>
      <c r="H76" s="319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2263</v>
      </c>
      <c r="C77" s="199">
        <f>ROUND(IF(G77="个人住宅",0,IF(G77="2016年5月1日前购买",C75*D77,C75*D77/(1+'数据-取费表'!C42))),0)</f>
        <v>0</v>
      </c>
      <c r="D77" s="222">
        <f>'数据-取费表'!B48+'数据-取费表'!B49</f>
        <v>3.0499999999999999E-2</v>
      </c>
      <c r="E77" s="2954" t="s">
        <v>2264</v>
      </c>
      <c r="F77" s="223"/>
      <c r="G77" s="2511" t="s">
        <v>2265</v>
      </c>
      <c r="H77" s="296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2266</v>
      </c>
      <c r="C78" s="224">
        <f ca="1">ROUND(D45*D78/(1+'数据-取费表'!C42),0)</f>
        <v>13</v>
      </c>
      <c r="D78" s="225">
        <f>'数据-取费表'!B43</f>
        <v>6.000000000000001E-3</v>
      </c>
      <c r="E78" s="3183" t="s">
        <v>2267</v>
      </c>
      <c r="F78" s="3184"/>
      <c r="G78" s="3184"/>
      <c r="H78" s="318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2268</v>
      </c>
      <c r="C79" s="206">
        <f ca="1">C72-C73</f>
        <v>2167</v>
      </c>
      <c r="D79" s="199" t="s">
        <v>32</v>
      </c>
      <c r="E79" s="2962"/>
      <c r="F79" s="2961"/>
      <c r="G79" s="2961"/>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2269</v>
      </c>
      <c r="C80" s="226">
        <f ca="1">IF(C79&lt;=0,0,C79/C73)</f>
        <v>166.69230769230768</v>
      </c>
      <c r="D80" s="199" t="s">
        <v>32</v>
      </c>
      <c r="E80" s="2954"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2270</v>
      </c>
      <c r="C81" s="227">
        <f ca="1">ROUND(IF(C79&lt;=0,0,IF(C80&gt;=200%,C79*60%-C73*35%,IF(C80&gt;=100%,C79*50%-C73*15%,IF(C80&gt;=50%,C79*40%-C73*5%,IF(C80&lt;50%,C79*30%,0))))),0)</f>
        <v>1296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95" t="s">
        <v>2271</v>
      </c>
      <c r="B83" s="3196"/>
      <c r="C83" s="3196"/>
      <c r="D83" s="3196"/>
      <c r="E83" s="3196"/>
      <c r="F83" s="3196"/>
      <c r="G83" s="3196"/>
      <c r="H83" s="319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86" t="s">
        <v>2234</v>
      </c>
      <c r="B84" s="3187"/>
      <c r="C84" s="2960"/>
      <c r="D84" s="2960" t="s">
        <v>2235</v>
      </c>
      <c r="E84" s="212" t="s">
        <v>2236</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2254</v>
      </c>
      <c r="C85" s="206">
        <f ca="1">ROUND(D45/(1+'数据-取费表'!C42),0)</f>
        <v>2180</v>
      </c>
      <c r="D85" s="199" t="s">
        <v>32</v>
      </c>
      <c r="E85" s="2962"/>
      <c r="F85" s="2961"/>
      <c r="G85" s="2961"/>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2255</v>
      </c>
      <c r="C86" s="206">
        <f ca="1">IF(H88="仅含出让金",C87+C90+C91+C92+C93+C94,C87+C91+C92+C93+C94)</f>
        <v>13</v>
      </c>
      <c r="D86" s="234"/>
      <c r="E86" s="2962"/>
      <c r="F86" s="2961"/>
      <c r="G86" s="2961"/>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2272</v>
      </c>
      <c r="C87" s="224">
        <f>C88+C89</f>
        <v>0</v>
      </c>
      <c r="D87" s="225"/>
      <c r="E87" s="2957"/>
      <c r="F87" s="2958"/>
      <c r="G87" s="2958"/>
      <c r="H87" s="295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2273</v>
      </c>
      <c r="C88" s="235"/>
      <c r="D88" s="225"/>
      <c r="E88" s="236" t="s">
        <v>2274</v>
      </c>
      <c r="F88" s="2958"/>
      <c r="G88" s="237"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2263</v>
      </c>
      <c r="C89" s="224">
        <f>ROUND(C88*D89,0)</f>
        <v>0</v>
      </c>
      <c r="D89" s="225">
        <f>'数据-取费表'!B48+'数据-取费表'!B49</f>
        <v>3.0499999999999999E-2</v>
      </c>
      <c r="E89" s="236" t="s">
        <v>2276</v>
      </c>
      <c r="F89" s="2958"/>
      <c r="G89" s="2958"/>
      <c r="H89" s="295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2277</v>
      </c>
      <c r="C90" s="235"/>
      <c r="D90" s="225"/>
      <c r="E90" s="236" t="str">
        <f>IF(H88="-","土地取得成本中已包含该笔费用"," ")</f>
        <v xml:space="preserve"> </v>
      </c>
      <c r="F90" s="2958"/>
      <c r="G90" s="2958"/>
      <c r="H90" s="295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2278</v>
      </c>
      <c r="B91" s="197" t="s">
        <v>2279</v>
      </c>
      <c r="C91" s="224">
        <f>IF(H91="——",成本法!C33,I91)</f>
        <v>0</v>
      </c>
      <c r="D91" s="225"/>
      <c r="E91" s="3183" t="s">
        <v>2280</v>
      </c>
      <c r="F91" s="3184"/>
      <c r="G91" s="3184"/>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2282</v>
      </c>
      <c r="B92" s="197" t="s">
        <v>2283</v>
      </c>
      <c r="C92" s="224">
        <f>ROUND((C87+C90+C91)*D92,0)</f>
        <v>0</v>
      </c>
      <c r="D92" s="225">
        <v>0.1</v>
      </c>
      <c r="E92" s="3183" t="s">
        <v>2284</v>
      </c>
      <c r="F92" s="3184"/>
      <c r="G92" s="3184"/>
      <c r="H92" s="318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2285</v>
      </c>
      <c r="B93" s="197" t="s">
        <v>2266</v>
      </c>
      <c r="C93" s="224">
        <f ca="1">ROUND(D45*D93/(1+'数据-取费表'!C42),0)</f>
        <v>13</v>
      </c>
      <c r="D93" s="225">
        <f>'数据-取费表'!B43</f>
        <v>6.000000000000001E-3</v>
      </c>
      <c r="E93" s="3183" t="s">
        <v>2267</v>
      </c>
      <c r="F93" s="3184"/>
      <c r="G93" s="3184"/>
      <c r="H93" s="318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2286</v>
      </c>
      <c r="B94" s="197" t="s">
        <v>2287</v>
      </c>
      <c r="C94" s="235">
        <f>ROUND((C87+C90+C91)*D94,0)</f>
        <v>0</v>
      </c>
      <c r="D94" s="225">
        <v>0.2</v>
      </c>
      <c r="E94" s="3231" t="s">
        <v>2288</v>
      </c>
      <c r="F94" s="3232"/>
      <c r="G94" s="3232"/>
      <c r="H94" s="323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2268</v>
      </c>
      <c r="C95" s="206">
        <f ca="1">ROUND(C85-C86,0)</f>
        <v>2167</v>
      </c>
      <c r="D95" s="199" t="s">
        <v>32</v>
      </c>
      <c r="E95" s="2962"/>
      <c r="F95" s="2961"/>
      <c r="G95" s="2961"/>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2269</v>
      </c>
      <c r="C96" s="226">
        <f ca="1">IF(C95&lt;=0,0,C95/C86)</f>
        <v>166.69230769230768</v>
      </c>
      <c r="D96" s="199" t="s">
        <v>32</v>
      </c>
      <c r="E96" s="2954"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2270</v>
      </c>
      <c r="C97" s="227">
        <f ca="1">ROUND(IF(C95&lt;=0,0,IF(C96&gt;=200%,C95*60%-C86*35%,IF(C96&gt;=100%,C95*50%-C86*15%,IF(C96&gt;=50%,C95*40%-C86*5%,IF(C96&lt;50%,C95*30%,0))))),0)</f>
        <v>1296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hidden="1" customHeight="1" thickBot="1">
      <c r="A99" s="2472" t="s">
        <v>2289</v>
      </c>
      <c r="B99" s="2416"/>
      <c r="C99" s="2416"/>
      <c r="D99" s="2416"/>
      <c r="E99" s="2163"/>
      <c r="F99" s="2163"/>
      <c r="G99" s="2163"/>
      <c r="H99" s="2162"/>
      <c r="I99" s="137"/>
    </row>
    <row r="100" spans="1:35" ht="18.75" hidden="1" customHeight="1">
      <c r="A100" s="3135" t="s">
        <v>2290</v>
      </c>
      <c r="B100" s="3136"/>
      <c r="C100" s="3136"/>
      <c r="D100" s="3167"/>
      <c r="E100" s="3136" t="s">
        <v>2291</v>
      </c>
      <c r="F100" s="3136"/>
      <c r="G100" s="3136"/>
      <c r="H100" s="3167"/>
      <c r="I100" s="137"/>
    </row>
    <row r="101" spans="1:35" ht="18.75" hidden="1" customHeight="1">
      <c r="A101" s="3175" t="s">
        <v>2292</v>
      </c>
      <c r="B101" s="3176"/>
      <c r="C101" s="735" t="str">
        <f>C4</f>
        <v>收益法 (元)</v>
      </c>
      <c r="D101" s="736" t="str">
        <f>D4</f>
        <v>典型户型修正车位</v>
      </c>
      <c r="E101" s="3147" t="s">
        <v>2293</v>
      </c>
      <c r="F101" s="3148"/>
      <c r="G101" s="2518" t="s">
        <v>2294</v>
      </c>
      <c r="H101" s="1044">
        <f ca="1">H118</f>
        <v>2289</v>
      </c>
      <c r="I101" s="137"/>
    </row>
    <row r="102" spans="1:35" ht="18.75" hidden="1" customHeight="1">
      <c r="A102" s="3177" t="s">
        <v>2295</v>
      </c>
      <c r="B102" s="2518" t="s">
        <v>2294</v>
      </c>
      <c r="C102" s="735">
        <f ca="1">C19</f>
        <v>733</v>
      </c>
      <c r="D102" s="736">
        <f ca="1">D19</f>
        <v>3327</v>
      </c>
      <c r="E102" s="3147"/>
      <c r="F102" s="3148"/>
      <c r="G102" s="2518" t="s">
        <v>2296</v>
      </c>
      <c r="H102" s="370">
        <f ca="1">I118</f>
        <v>6431</v>
      </c>
      <c r="I102" s="137"/>
    </row>
    <row r="103" spans="1:35" ht="42.75" hidden="1" customHeight="1">
      <c r="A103" s="3177"/>
      <c r="B103" s="2518" t="s">
        <v>2296</v>
      </c>
      <c r="C103" s="737">
        <f ca="1">C20</f>
        <v>2060</v>
      </c>
      <c r="D103" s="738">
        <f ca="1">D20</f>
        <v>9347</v>
      </c>
      <c r="E103" s="3141" t="s">
        <v>2297</v>
      </c>
      <c r="F103" s="3142"/>
      <c r="G103" s="2519" t="s">
        <v>2298</v>
      </c>
      <c r="H103" s="1044">
        <f>IF(D36="正常操作",H104+H105+H106,H105+H106)</f>
        <v>0</v>
      </c>
      <c r="I103" s="137"/>
    </row>
    <row r="104" spans="1:35" ht="18.75" hidden="1" customHeight="1">
      <c r="A104" s="3177" t="s">
        <v>2299</v>
      </c>
      <c r="B104" s="2520" t="s">
        <v>2294</v>
      </c>
      <c r="C104" s="739">
        <f ca="1">H118</f>
        <v>2289</v>
      </c>
      <c r="D104" s="740"/>
      <c r="E104" s="2264" t="s">
        <v>2300</v>
      </c>
      <c r="F104" s="2255"/>
      <c r="G104" s="2519" t="s">
        <v>2298</v>
      </c>
      <c r="H104" s="1045">
        <f>IF(D36="同一抵押权人同一抵押物续贷",C36&amp;"（未扣减，详见特别提示）",C36)</f>
        <v>0</v>
      </c>
      <c r="I104" s="137"/>
    </row>
    <row r="105" spans="1:35" ht="18.75" hidden="1" customHeight="1" thickBot="1">
      <c r="A105" s="3189"/>
      <c r="B105" s="2521" t="s">
        <v>2296</v>
      </c>
      <c r="C105" s="741">
        <f ca="1">I118</f>
        <v>6431</v>
      </c>
      <c r="D105" s="742"/>
      <c r="E105" s="2264" t="s">
        <v>2301</v>
      </c>
      <c r="F105" s="2255"/>
      <c r="G105" s="2519" t="s">
        <v>2298</v>
      </c>
      <c r="H105" s="1045">
        <f>C37</f>
        <v>0</v>
      </c>
      <c r="I105" s="137"/>
    </row>
    <row r="106" spans="1:35" ht="18.75" hidden="1" customHeight="1">
      <c r="A106" s="2416" t="s">
        <v>2302</v>
      </c>
      <c r="B106" s="2416"/>
      <c r="C106" s="2416"/>
      <c r="D106" s="2416"/>
      <c r="E106" s="2522" t="s">
        <v>2303</v>
      </c>
      <c r="F106" s="2255"/>
      <c r="G106" s="2519" t="s">
        <v>2298</v>
      </c>
      <c r="H106" s="1045">
        <f>C38</f>
        <v>0</v>
      </c>
      <c r="I106" s="137"/>
    </row>
    <row r="107" spans="1:35" ht="18.75" hidden="1" customHeight="1">
      <c r="A107" s="137"/>
      <c r="B107" s="137"/>
      <c r="C107" s="137"/>
      <c r="D107" s="137"/>
      <c r="E107" s="3178" t="str">
        <f>IF(项目基本情况!E8="已注销","——","3.房地产抵押价值")</f>
        <v>3.房地产抵押价值</v>
      </c>
      <c r="F107" s="3148"/>
      <c r="G107" s="2518" t="s">
        <v>2294</v>
      </c>
      <c r="H107" s="1044">
        <f ca="1">IF(E107="——","——",H101-H103)</f>
        <v>2289</v>
      </c>
      <c r="I107" s="137"/>
    </row>
    <row r="108" spans="1:35" ht="18.75" hidden="1" customHeight="1">
      <c r="A108" s="137"/>
      <c r="B108" s="137"/>
      <c r="C108" s="137"/>
      <c r="D108" s="137"/>
      <c r="E108" s="3178"/>
      <c r="F108" s="3148"/>
      <c r="G108" s="2518" t="s">
        <v>2296</v>
      </c>
      <c r="H108" s="370">
        <f ca="1">ROUND(H107*10000/'数据-汇总表'!E3,0)</f>
        <v>659</v>
      </c>
      <c r="I108" s="137"/>
    </row>
    <row r="109" spans="1:35" ht="18.75" hidden="1" customHeight="1">
      <c r="A109" s="137"/>
      <c r="B109" s="137"/>
      <c r="C109" s="137"/>
      <c r="D109" s="137"/>
      <c r="E109" s="3178" t="str">
        <f>IF(项目基本情况!E8="已注销及未注销","4.抵押担保权已注销时的房地产抵押价值",IF(项目基本情况!E8="已注销","3.抵押担保权已注销时的房地产抵押价值","——"))</f>
        <v>——</v>
      </c>
      <c r="F109" s="3148"/>
      <c r="G109" s="2518" t="s">
        <v>2294</v>
      </c>
      <c r="H109" s="347" t="str">
        <f>IF(E109="——","——",H101-H105-H106)</f>
        <v>——</v>
      </c>
      <c r="I109" s="137"/>
    </row>
    <row r="110" spans="1:35" ht="18.75" hidden="1" customHeight="1">
      <c r="A110" s="137"/>
      <c r="B110" s="137"/>
      <c r="C110" s="137"/>
      <c r="D110" s="137"/>
      <c r="E110" s="3178"/>
      <c r="F110" s="3148"/>
      <c r="G110" s="2518" t="s">
        <v>2296</v>
      </c>
      <c r="H110" s="370" t="str">
        <f>IF(H109="——","——",ROUND(H109*10000/'数据-汇总表'!E3,0))</f>
        <v>——</v>
      </c>
      <c r="I110" s="137"/>
    </row>
    <row r="111" spans="1:35" ht="18.75" hidden="1" customHeight="1">
      <c r="A111" s="137"/>
      <c r="B111" s="137"/>
      <c r="C111" s="137"/>
      <c r="D111" s="137"/>
      <c r="E111" s="3179" t="str">
        <f>IF(项目基本情况!E9="抵押净值",IF(OR(项目基本情况!E8="已注销",项目基本情况!E8="房地产抵押价值"),"4.抵押净值","5.抵押净值"),"——")</f>
        <v>4.抵押净值</v>
      </c>
      <c r="F111" s="3180"/>
      <c r="G111" s="2518" t="s">
        <v>2294</v>
      </c>
      <c r="H111" s="1044">
        <f ca="1">IF(E111="——","——",N59)</f>
        <v>992</v>
      </c>
      <c r="I111" s="137"/>
    </row>
    <row r="112" spans="1:35" ht="18.75" hidden="1" customHeight="1" thickBot="1">
      <c r="A112" s="137"/>
      <c r="B112" s="137"/>
      <c r="C112" s="137"/>
      <c r="D112" s="137"/>
      <c r="E112" s="3181"/>
      <c r="F112" s="3182"/>
      <c r="G112" s="2523" t="s">
        <v>2296</v>
      </c>
      <c r="H112" s="789">
        <f ca="1">IF(E111="——","——",N61)</f>
        <v>286</v>
      </c>
      <c r="I112" s="137"/>
    </row>
    <row r="113" spans="1:11" ht="18.75" hidden="1" customHeight="1">
      <c r="A113" s="137"/>
      <c r="B113" s="137"/>
      <c r="C113" s="137"/>
      <c r="D113" s="137"/>
      <c r="E113" s="3190" t="s">
        <v>2302</v>
      </c>
      <c r="F113" s="3190"/>
      <c r="G113" s="3190"/>
      <c r="H113" s="3190"/>
      <c r="I113" s="137"/>
    </row>
    <row r="114" spans="1:11" ht="3.75" customHeight="1">
      <c r="A114" s="2416"/>
      <c r="B114" s="2416"/>
      <c r="C114" s="2416"/>
      <c r="D114" s="2416"/>
      <c r="E114" s="2494"/>
      <c r="F114" s="2494"/>
      <c r="G114" s="2494"/>
      <c r="H114" s="2494"/>
      <c r="I114" s="2416"/>
    </row>
    <row r="115" spans="1:11" ht="18.75" customHeight="1">
      <c r="A115" s="3203" t="s">
        <v>2304</v>
      </c>
      <c r="B115" s="3204"/>
      <c r="C115" s="3204"/>
      <c r="D115" s="3204"/>
      <c r="E115" s="3204"/>
      <c r="F115" s="3204"/>
      <c r="G115" s="3204"/>
      <c r="H115" s="3204"/>
      <c r="I115" s="3205"/>
    </row>
    <row r="116" spans="1:11" ht="27" customHeight="1">
      <c r="A116" s="3114" t="s">
        <v>2305</v>
      </c>
      <c r="B116" s="3157" t="s">
        <v>2306</v>
      </c>
      <c r="C116" s="3157" t="s">
        <v>2307</v>
      </c>
      <c r="D116" s="3163" t="s">
        <v>2308</v>
      </c>
      <c r="E116" s="3164"/>
      <c r="F116" s="3199" t="s">
        <v>2309</v>
      </c>
      <c r="G116" s="3199"/>
      <c r="H116" s="3114" t="s">
        <v>2310</v>
      </c>
      <c r="I116" s="3114"/>
    </row>
    <row r="117" spans="1:11" ht="18.75" customHeight="1">
      <c r="A117" s="3114"/>
      <c r="B117" s="3158"/>
      <c r="C117" s="3158"/>
      <c r="D117" s="2951" t="s">
        <v>2311</v>
      </c>
      <c r="E117" s="2951" t="s">
        <v>2312</v>
      </c>
      <c r="F117" s="2951" t="s">
        <v>2311</v>
      </c>
      <c r="G117" s="2951" t="s">
        <v>2313</v>
      </c>
      <c r="H117" s="2951" t="s">
        <v>2311</v>
      </c>
      <c r="I117" s="2951" t="s">
        <v>2313</v>
      </c>
    </row>
    <row r="118" spans="1:11" ht="24.75" customHeight="1">
      <c r="A118" s="2524" t="str">
        <f>项目基本情况!S2</f>
        <v>北京市朝阳区北苑路28号院1号楼房地产</v>
      </c>
      <c r="B118" s="2951">
        <f>M18</f>
        <v>3559.58</v>
      </c>
      <c r="C118" s="2951">
        <f>M19</f>
        <v>1043.67</v>
      </c>
      <c r="D118" s="2951">
        <f ca="1">ROUND(IF(D32="总价",C34,E118*B118/10000),0)</f>
        <v>1100</v>
      </c>
      <c r="E118" s="2951">
        <f ca="1">ROUND(IF(C33="自定义",IF(D32="楼面单价",C34,D118*10000/B118),I118-G118),0)</f>
        <v>3090</v>
      </c>
      <c r="F118" s="2951">
        <f ca="1">ROUND(IF(D32="总价",C35,G118*B118/10000),0)</f>
        <v>1189</v>
      </c>
      <c r="G118" s="2951">
        <f ca="1">ROUND(IF(D32="楼面单价",C35,F118*10000/B118),0)</f>
        <v>3340</v>
      </c>
      <c r="H118" s="2951">
        <f ca="1">ROUND(IF(D32="总价",C32,I118*B118/10000),0)</f>
        <v>2289</v>
      </c>
      <c r="I118" s="2951">
        <f ca="1">ROUND(IF(D32="楼面单价",C32,H118*10000/B118),0)</f>
        <v>6431</v>
      </c>
    </row>
    <row r="119" spans="1:11" ht="18.75" customHeight="1">
      <c r="A119" s="3114" t="s">
        <v>2314</v>
      </c>
      <c r="B119" s="3114"/>
      <c r="C119" s="3114"/>
      <c r="D119" s="3159" t="str">
        <f ca="1">NUMBERSTRING(INT(D118*10000),2)&amp;"元整"</f>
        <v>壹仟壹佰万元整</v>
      </c>
      <c r="E119" s="3160"/>
      <c r="F119" s="3159" t="str">
        <f ca="1">NUMBERSTRING(INT(F118*10000),2)&amp;"元整"</f>
        <v>壹仟壹佰捌拾玖万元整</v>
      </c>
      <c r="G119" s="3160"/>
      <c r="H119" s="3159" t="str">
        <f ca="1">NUMBERSTRING(INT(H118*10000),2)&amp;"元整"</f>
        <v>贰仟贰佰捌拾玖万元整</v>
      </c>
      <c r="I119" s="3160"/>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1" t="str">
        <f>IF(D120=0,"故，本次评估不存在"&amp;A120,"故，本次评估"&amp;A120&amp;"为人民币"&amp;D120&amp;"万元整。")</f>
        <v>故，本次评估不存在估价师知悉的法定优先受偿款</v>
      </c>
    </row>
    <row r="121" spans="1:11" ht="18.75" customHeight="1">
      <c r="A121" s="3200" t="s">
        <v>2314</v>
      </c>
      <c r="B121" s="3201"/>
      <c r="C121" s="3202"/>
      <c r="D121" s="3159" t="str">
        <f>IF(D120=0,"零元整",NUMBERSTRING(INT(D120*10000),2)&amp;"元整")</f>
        <v>零元整</v>
      </c>
      <c r="E121" s="3161"/>
      <c r="F121" s="3161"/>
      <c r="G121" s="3161"/>
      <c r="H121" s="3161"/>
      <c r="I121" s="3160"/>
    </row>
    <row r="122" spans="1:11" ht="18.75" customHeight="1">
      <c r="A122" s="3165" t="str">
        <f>IF(项目基本情况!B9="房地产市场价值","",MID(E107,3,LEN(E107)-2))</f>
        <v>房地产抵押价值</v>
      </c>
      <c r="B122" s="3165"/>
      <c r="C122" s="3165"/>
      <c r="D122" s="3154">
        <f ca="1">H107</f>
        <v>2289</v>
      </c>
      <c r="E122" s="3155"/>
      <c r="F122" s="3155"/>
      <c r="G122" s="3155"/>
      <c r="H122" s="3155"/>
      <c r="I122" s="3156"/>
    </row>
    <row r="123" spans="1:11" ht="18.75" customHeight="1">
      <c r="A123" s="3114" t="s">
        <v>2314</v>
      </c>
      <c r="B123" s="3114"/>
      <c r="C123" s="3114"/>
      <c r="D123" s="3159" t="str">
        <f ca="1">NUMBERSTRING(INT(D122*10000),2)&amp;"元整"</f>
        <v>贰仟贰佰捌拾玖万元整</v>
      </c>
      <c r="E123" s="3161"/>
      <c r="F123" s="3161"/>
      <c r="G123" s="3161"/>
      <c r="H123" s="3161"/>
      <c r="I123" s="3160"/>
    </row>
    <row r="124" spans="1:11" ht="18.75" customHeight="1">
      <c r="A124" s="3165" t="str">
        <f>IF(项目基本情况!B9="房地产市场价值","",MID(E109,3,LEN(E109)-2))</f>
        <v/>
      </c>
      <c r="B124" s="3165"/>
      <c r="C124" s="3165"/>
      <c r="D124" s="3154" t="str">
        <f>H109</f>
        <v>——</v>
      </c>
      <c r="E124" s="3155"/>
      <c r="F124" s="3155"/>
      <c r="G124" s="3155"/>
      <c r="H124" s="3155"/>
      <c r="I124" s="3156"/>
    </row>
    <row r="125" spans="1:11" ht="18.75" customHeight="1">
      <c r="A125" s="3114" t="s">
        <v>2314</v>
      </c>
      <c r="B125" s="3114"/>
      <c r="C125" s="3114"/>
      <c r="D125" s="3159" t="e">
        <f>NUMBERSTRING(INT(D124*10000),2)&amp;"元整"</f>
        <v>#VALUE!</v>
      </c>
      <c r="E125" s="3161"/>
      <c r="F125" s="3161"/>
      <c r="G125" s="3161"/>
      <c r="H125" s="3161"/>
      <c r="I125" s="3160"/>
    </row>
    <row r="126" spans="1:11" ht="18.75" customHeight="1">
      <c r="A126" s="3165" t="str">
        <f>IF(项目基本情况!B9="房地产市场价值","",MID(E111,3,LEN(E111)-2))</f>
        <v>抵押净值</v>
      </c>
      <c r="B126" s="3165"/>
      <c r="C126" s="3165"/>
      <c r="D126" s="3154">
        <f ca="1">H111</f>
        <v>992</v>
      </c>
      <c r="E126" s="3155"/>
      <c r="F126" s="3155"/>
      <c r="G126" s="3155"/>
      <c r="H126" s="3155"/>
      <c r="I126" s="3156"/>
    </row>
    <row r="127" spans="1:11" ht="18.75" customHeight="1">
      <c r="A127" s="3114" t="s">
        <v>2314</v>
      </c>
      <c r="B127" s="3114"/>
      <c r="C127" s="3114"/>
      <c r="D127" s="3159" t="str">
        <f ca="1">NUMBERSTRING(INT(D126*10000),2)&amp;"元整"</f>
        <v>玖佰玖拾贰万元整</v>
      </c>
      <c r="E127" s="3161"/>
      <c r="F127" s="3161"/>
      <c r="G127" s="3161"/>
      <c r="H127" s="3161"/>
      <c r="I127" s="3160"/>
    </row>
    <row r="128" spans="1:11" ht="21.75" customHeight="1">
      <c r="A128" s="3162" t="s">
        <v>2315</v>
      </c>
      <c r="B128" s="3162"/>
      <c r="C128" s="3162"/>
      <c r="D128" s="3162"/>
      <c r="E128" s="3162"/>
      <c r="F128" s="3162"/>
      <c r="G128" s="3162"/>
      <c r="H128" s="3162"/>
      <c r="I128" s="3162"/>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2318</v>
      </c>
      <c r="G135" s="2542"/>
      <c r="H135" s="2542"/>
      <c r="I135" s="2543" t="s">
        <v>2319</v>
      </c>
    </row>
    <row r="136" spans="1:35" ht="21.75" customHeight="1">
      <c r="A136" s="794"/>
      <c r="B136" s="2544"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2321</v>
      </c>
    </row>
    <row r="139" spans="1:35" ht="21.75" customHeight="1">
      <c r="A139" s="794"/>
      <c r="B139" s="2544" t="s">
        <v>2322</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2321</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1" priority="10" stopIfTrue="1" operator="equal">
      <formula>25</formula>
    </cfRule>
  </conditionalFormatting>
  <conditionalFormatting sqref="C8:C9">
    <cfRule type="cellIs" dxfId="130" priority="9" stopIfTrue="1" operator="equal">
      <formula>15</formula>
    </cfRule>
  </conditionalFormatting>
  <conditionalFormatting sqref="C14:C16">
    <cfRule type="cellIs" dxfId="129" priority="8" stopIfTrue="1" operator="equal">
      <formula>30</formula>
    </cfRule>
  </conditionalFormatting>
  <conditionalFormatting sqref="D5:D7">
    <cfRule type="cellIs" dxfId="128" priority="7" stopIfTrue="1" operator="equal">
      <formula>25</formula>
    </cfRule>
  </conditionalFormatting>
  <conditionalFormatting sqref="D8:D9">
    <cfRule type="cellIs" dxfId="127" priority="6" stopIfTrue="1" operator="equal">
      <formula>15</formula>
    </cfRule>
  </conditionalFormatting>
  <conditionalFormatting sqref="C10:D13">
    <cfRule type="cellIs" dxfId="126" priority="5" stopIfTrue="1" operator="equal">
      <formula>15</formula>
    </cfRule>
  </conditionalFormatting>
  <conditionalFormatting sqref="D14:D16">
    <cfRule type="cellIs" dxfId="125" priority="4" stopIfTrue="1" operator="equal">
      <formula>30</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E36">
    <cfRule type="expression" dxfId="12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23" sqref="F2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t="s">
        <v>3069</v>
      </c>
      <c r="D1" s="1819" t="s">
        <v>70</v>
      </c>
      <c r="E1" s="1820" t="s">
        <v>1383</v>
      </c>
      <c r="F1" s="1282">
        <f ca="1">J53</f>
        <v>36.57</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1586</v>
      </c>
      <c r="B2" s="1843">
        <f ca="1">ROUND(D2/10000,0)</f>
        <v>733</v>
      </c>
      <c r="C2" s="1844" t="s">
        <v>1587</v>
      </c>
      <c r="D2" s="1937">
        <f ca="1">C40+J29+L46</f>
        <v>7333425</v>
      </c>
      <c r="E2" s="1845" t="s">
        <v>1588</v>
      </c>
      <c r="F2" s="1846"/>
      <c r="G2" s="1847"/>
      <c r="H2" s="1839"/>
      <c r="I2" s="1839"/>
      <c r="J2" s="1839"/>
      <c r="K2" s="1840"/>
      <c r="L2" s="1839"/>
      <c r="M2" s="1839"/>
    </row>
    <row r="3" spans="1:37" ht="18" customHeight="1" thickBot="1">
      <c r="A3" s="1848" t="s">
        <v>1589</v>
      </c>
      <c r="B3" s="1849">
        <f ca="1">IF(ISERROR(D2/F43),0,ROUND(D2/F43,0))</f>
        <v>2060</v>
      </c>
      <c r="C3" s="1844" t="s">
        <v>1590</v>
      </c>
      <c r="D3" s="1844"/>
      <c r="E3" s="1845"/>
      <c r="F3" s="1846"/>
      <c r="G3" s="1847"/>
      <c r="H3" s="743" t="s">
        <v>1584</v>
      </c>
      <c r="I3" s="1839"/>
      <c r="J3" s="1839"/>
      <c r="K3" s="1840"/>
      <c r="L3" s="1839"/>
      <c r="M3" s="1839"/>
    </row>
    <row r="4" spans="1:37" ht="18" customHeight="1">
      <c r="A4" s="339" t="s">
        <v>1591</v>
      </c>
      <c r="B4" s="340" t="s">
        <v>1592</v>
      </c>
      <c r="C4" s="340" t="s">
        <v>1593</v>
      </c>
      <c r="D4" s="340" t="s">
        <v>1594</v>
      </c>
      <c r="E4" s="341" t="s">
        <v>1595</v>
      </c>
      <c r="F4" s="342"/>
      <c r="G4" s="1850"/>
      <c r="H4" s="339" t="s">
        <v>1591</v>
      </c>
      <c r="I4" s="340" t="s">
        <v>1592</v>
      </c>
      <c r="J4" s="340" t="s">
        <v>1593</v>
      </c>
      <c r="K4" s="340" t="s">
        <v>1594</v>
      </c>
      <c r="L4" s="341" t="s">
        <v>1595</v>
      </c>
      <c r="M4" s="342"/>
    </row>
    <row r="5" spans="1:37" ht="18" customHeight="1">
      <c r="A5" s="343">
        <v>1</v>
      </c>
      <c r="B5" s="344" t="s">
        <v>1596</v>
      </c>
      <c r="C5" s="1291">
        <f ca="1">C6+C10+C12</f>
        <v>654480</v>
      </c>
      <c r="D5" s="1821" t="s">
        <v>1597</v>
      </c>
      <c r="E5" s="1292"/>
      <c r="F5" s="1293"/>
      <c r="G5" s="1850"/>
      <c r="H5" s="343">
        <v>1</v>
      </c>
      <c r="I5" s="344" t="s">
        <v>1596</v>
      </c>
      <c r="J5" s="1291">
        <f ca="1">J6+J10+J12</f>
        <v>0</v>
      </c>
      <c r="K5" s="1821" t="s">
        <v>1597</v>
      </c>
      <c r="L5" s="1292"/>
      <c r="M5" s="1293"/>
    </row>
    <row r="6" spans="1:37" ht="18" customHeight="1">
      <c r="A6" s="1290" t="s">
        <v>1032</v>
      </c>
      <c r="B6" s="3239" t="s">
        <v>1399</v>
      </c>
      <c r="C6" s="1295">
        <f ca="1">ROUND(F6*F8*F7*(1-F9),0)</f>
        <v>654480</v>
      </c>
      <c r="D6" s="163" t="s">
        <v>3025</v>
      </c>
      <c r="E6" s="346" t="s">
        <v>1401</v>
      </c>
      <c r="F6" s="347">
        <f ca="1">INDIRECT("'数据-取费表'!u"&amp;$G$1)</f>
        <v>600</v>
      </c>
      <c r="G6" s="1850"/>
      <c r="H6" s="1290" t="s">
        <v>1032</v>
      </c>
      <c r="I6" s="3239" t="s">
        <v>1399</v>
      </c>
      <c r="J6" s="345">
        <f ca="1">ROUND(M6*M8*M7*(1-M9),0)</f>
        <v>0</v>
      </c>
      <c r="K6" s="1833" t="s">
        <v>3026</v>
      </c>
      <c r="L6" s="346" t="s">
        <v>1401</v>
      </c>
      <c r="M6" s="347">
        <f ca="1">INDIRECT("'数据-取费表'!z"&amp;$G$1)</f>
        <v>0</v>
      </c>
    </row>
    <row r="7" spans="1:37" ht="18" customHeight="1">
      <c r="A7" s="1294"/>
      <c r="B7" s="3240"/>
      <c r="C7" s="1296"/>
      <c r="D7" s="351"/>
      <c r="E7" s="1297" t="s">
        <v>1402</v>
      </c>
      <c r="F7" s="347">
        <f ca="1">IF(INDIRECT("'数据-取费表'!ah"&amp;$G$1)="",INDIRECT("'数据-取费表'!k"&amp;$G$1),INDIRECT("'数据-取费表'!ah"&amp;$G$1))</f>
        <v>101</v>
      </c>
      <c r="G7" s="1850"/>
      <c r="H7" s="348"/>
      <c r="I7" s="3240"/>
      <c r="J7" s="350"/>
      <c r="K7" s="351"/>
      <c r="L7" s="346" t="s">
        <v>1402</v>
      </c>
      <c r="M7" s="347">
        <f ca="1">F7</f>
        <v>101</v>
      </c>
    </row>
    <row r="8" spans="1:37" ht="18" customHeight="1">
      <c r="A8" s="348"/>
      <c r="B8" s="3240"/>
      <c r="C8" s="350"/>
      <c r="D8" s="351"/>
      <c r="E8" s="346" t="s">
        <v>1403</v>
      </c>
      <c r="F8" s="347">
        <f ca="1">INDIRECT("'数据-取费表'!ai"&amp;$G$1)</f>
        <v>12</v>
      </c>
      <c r="G8" s="1850"/>
      <c r="H8" s="348"/>
      <c r="I8" s="3240"/>
      <c r="J8" s="350"/>
      <c r="K8" s="351"/>
      <c r="L8" s="346" t="s">
        <v>1403</v>
      </c>
      <c r="M8" s="347">
        <f ca="1">INDIRECT("'数据-取费表'!ai"&amp;$G$1)</f>
        <v>12</v>
      </c>
    </row>
    <row r="9" spans="1:37" ht="18" customHeight="1">
      <c r="A9" s="348"/>
      <c r="B9" s="3241"/>
      <c r="C9" s="350"/>
      <c r="D9" s="351"/>
      <c r="E9" s="346" t="s">
        <v>1404</v>
      </c>
      <c r="F9" s="356">
        <f ca="1">INDIRECT("'数据-取费表'!w"&amp;$G$1)</f>
        <v>0.1</v>
      </c>
      <c r="G9" s="1850"/>
      <c r="H9" s="348"/>
      <c r="I9" s="3241"/>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3036</v>
      </c>
      <c r="E10" s="357" t="s">
        <v>1406</v>
      </c>
      <c r="F10" s="3384" t="s">
        <v>3278</v>
      </c>
      <c r="G10" s="1850"/>
      <c r="H10" s="1290" t="s">
        <v>1036</v>
      </c>
      <c r="I10" s="1822" t="s">
        <v>1405</v>
      </c>
      <c r="J10" s="345">
        <f ca="1">ROUND(IF(M10="押一",J6/12*M11,IF(M10="押二",J6/12*2*M11,IF(M10="押三",J6/12*3*M11,J11*M11))),0)</f>
        <v>0</v>
      </c>
      <c r="K10" s="1834" t="s">
        <v>3038</v>
      </c>
      <c r="L10" s="357" t="s">
        <v>1406</v>
      </c>
      <c r="M10" s="1365"/>
    </row>
    <row r="11" spans="1:37" ht="18" customHeight="1">
      <c r="A11" s="352"/>
      <c r="B11" s="1824" t="s">
        <v>1598</v>
      </c>
      <c r="C11" s="1177"/>
      <c r="D11" s="351"/>
      <c r="E11" s="357" t="s">
        <v>1408</v>
      </c>
      <c r="F11" s="358">
        <f ca="1">'数据-取费表'!B39</f>
        <v>1.4999999999999999E-2</v>
      </c>
      <c r="G11" s="1850"/>
      <c r="H11" s="1298"/>
      <c r="I11" s="1824" t="s">
        <v>1599</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9752903</v>
      </c>
      <c r="D13" s="1330" t="s">
        <v>1411</v>
      </c>
      <c r="E13" s="1330" t="s">
        <v>1412</v>
      </c>
      <c r="F13" s="1331">
        <f ca="1">INDIRECT("'数据-取费表'!y"&amp;$G$1)</f>
        <v>0.82</v>
      </c>
      <c r="G13" s="1850"/>
      <c r="H13" s="1328">
        <v>2</v>
      </c>
      <c r="I13" s="1329" t="s">
        <v>1410</v>
      </c>
      <c r="J13" s="1289">
        <f ca="1">ROUND(J14*J15,0)</f>
        <v>0</v>
      </c>
      <c r="K13" s="1336" t="s">
        <v>1411</v>
      </c>
      <c r="L13" s="1851"/>
      <c r="M13" s="1852"/>
    </row>
    <row r="14" spans="1:37" ht="18" customHeight="1">
      <c r="A14" s="1200" t="s">
        <v>1031</v>
      </c>
      <c r="B14" s="346" t="s">
        <v>1413</v>
      </c>
      <c r="C14" s="362">
        <f ca="1">ROUND(INDIRECT("'数据-取费表'!l"&amp;$G$1)*F43+'数据-取费表'!L14*INDIRECT("'数据-取费表'!S"&amp;$G$1),0)</f>
        <v>8898950</v>
      </c>
      <c r="D14" s="1799" t="s">
        <v>1414</v>
      </c>
      <c r="E14" s="1793"/>
      <c r="F14" s="363"/>
      <c r="G14" s="1850"/>
      <c r="H14" s="1200" t="s">
        <v>1032</v>
      </c>
      <c r="I14" s="346" t="s">
        <v>1415</v>
      </c>
      <c r="J14" s="24">
        <f ca="1">C29</f>
        <v>11893784</v>
      </c>
      <c r="K14" s="15"/>
      <c r="L14" s="978"/>
      <c r="M14" s="979"/>
    </row>
    <row r="15" spans="1:37" s="1857" customFormat="1" ht="18" customHeight="1" thickBot="1">
      <c r="A15" s="1200" t="s">
        <v>1033</v>
      </c>
      <c r="B15" s="346" t="s">
        <v>1416</v>
      </c>
      <c r="C15" s="24">
        <f ca="1">ROUND(C14*F15,0)</f>
        <v>266969</v>
      </c>
      <c r="D15" s="364" t="s">
        <v>1417</v>
      </c>
      <c r="E15" s="364" t="s">
        <v>1418</v>
      </c>
      <c r="F15" s="365">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ROUND(INDIRECT("'数据-取费表'!l"&amp;$G$1)*F43*F16,0)</f>
        <v>0</v>
      </c>
      <c r="D16" s="346" t="s">
        <v>1417</v>
      </c>
      <c r="E16" s="346" t="s">
        <v>1418</v>
      </c>
      <c r="F16" s="366">
        <f ca="1">IF(INDIRECT("'数据-取费表'!c"&amp;$G$1)="住宅",'数据-取费表'!B34,0)</f>
        <v>0</v>
      </c>
      <c r="G16" s="1850"/>
      <c r="H16" s="1328" t="s">
        <v>1027</v>
      </c>
      <c r="I16" s="1329" t="s">
        <v>1420</v>
      </c>
      <c r="J16" s="354">
        <f ca="1">ROUND(J17+J22+J23+J24,0)</f>
        <v>279881</v>
      </c>
      <c r="K16" s="1336" t="s">
        <v>1421</v>
      </c>
      <c r="L16" s="1337"/>
      <c r="M16" s="1293"/>
    </row>
    <row r="17" spans="1:37" s="1857" customFormat="1" ht="18" customHeight="1">
      <c r="A17" s="1200" t="s">
        <v>1386</v>
      </c>
      <c r="B17" s="346" t="s">
        <v>1422</v>
      </c>
      <c r="C17" s="24">
        <f ca="1">ROUND(F17*(F43+INDIRECT("'数据-取费表'!S"&amp;$G$1)),0)</f>
        <v>711916</v>
      </c>
      <c r="D17" s="346" t="s">
        <v>1423</v>
      </c>
      <c r="E17" s="346" t="s">
        <v>1424</v>
      </c>
      <c r="F17" s="26">
        <f>'数据-取费表'!B35</f>
        <v>200</v>
      </c>
      <c r="G17" s="1853"/>
      <c r="H17" s="1200" t="s">
        <v>1032</v>
      </c>
      <c r="I17" s="346" t="s">
        <v>1425</v>
      </c>
      <c r="J17" s="24">
        <f ca="1">ROUND(IF(项目基本情况!B11="自然人",J5*M17,J18+J19+J20),0)</f>
        <v>101474</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133484</v>
      </c>
      <c r="D18" s="346" t="s">
        <v>1417</v>
      </c>
      <c r="E18" s="346" t="s">
        <v>1418</v>
      </c>
      <c r="F18" s="366">
        <f>'数据-取费表'!B36</f>
        <v>1.4999999999999999E-2</v>
      </c>
      <c r="G18" s="1853"/>
      <c r="H18" s="1200" t="s">
        <v>1031</v>
      </c>
      <c r="I18" s="346" t="s">
        <v>1429</v>
      </c>
      <c r="J18" s="24">
        <f ca="1">ROUND(J5*M18/(1+'数据-取费表'!C42),0)</f>
        <v>0</v>
      </c>
      <c r="K18" s="1797" t="s">
        <v>1430</v>
      </c>
      <c r="L18" s="346" t="s">
        <v>1418</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10011319</v>
      </c>
      <c r="D19" s="139" t="s">
        <v>1432</v>
      </c>
      <c r="E19" s="1817"/>
      <c r="F19" s="26"/>
      <c r="G19" s="1850"/>
      <c r="H19" s="1200" t="s">
        <v>1033</v>
      </c>
      <c r="I19" s="346" t="s">
        <v>1433</v>
      </c>
      <c r="J19" s="24">
        <f ca="1">IF(K19="按租金收入计税",ROUND(J5*M19,0),ROUND(C29*M19*0.7,0))</f>
        <v>99908</v>
      </c>
      <c r="K19" s="1827" t="s">
        <v>1434</v>
      </c>
      <c r="L19" s="346" t="s">
        <v>1418</v>
      </c>
      <c r="M19" s="366">
        <f>IF(K19="按租金收入计税",'数据-取费表'!B51,'数据-取费表'!B50)</f>
        <v>1.2E-2</v>
      </c>
    </row>
    <row r="20" spans="1:37" s="1857" customFormat="1" ht="18" customHeight="1">
      <c r="A20" s="1200" t="s">
        <v>1036</v>
      </c>
      <c r="B20" s="346" t="s">
        <v>1435</v>
      </c>
      <c r="C20" s="24">
        <f ca="1">ROUND(C19*F20,0)</f>
        <v>200226</v>
      </c>
      <c r="D20" s="368" t="s">
        <v>1436</v>
      </c>
      <c r="E20" s="346" t="s">
        <v>1418</v>
      </c>
      <c r="F20" s="366">
        <f>'数据-取费表'!B37</f>
        <v>0.02</v>
      </c>
      <c r="G20" s="1853"/>
      <c r="H20" s="1200" t="s">
        <v>1385</v>
      </c>
      <c r="I20" s="163" t="s">
        <v>1437</v>
      </c>
      <c r="J20" s="25">
        <f ca="1">ROUND(M20*M21,0)</f>
        <v>1566</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v>
      </c>
      <c r="D21" s="368" t="s">
        <v>1441</v>
      </c>
      <c r="E21" s="346" t="s">
        <v>1442</v>
      </c>
      <c r="F21" s="366">
        <f>'数据-取费表'!B38</f>
        <v>0.02</v>
      </c>
      <c r="G21" s="1853"/>
      <c r="H21" s="371"/>
      <c r="I21" s="355"/>
      <c r="J21" s="29"/>
      <c r="K21" s="372"/>
      <c r="L21" s="346" t="s">
        <v>1443</v>
      </c>
      <c r="M21" s="347">
        <f ca="1">INDIRECT("'数据-取费表'!r"&amp;$G$1)</f>
        <v>1043.67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39" t="str">
        <f>IF(F23&lt;=1,"单利计息。","复利计息。")&amp;"建造成本、管理费用、销售费用产生的利息。"</f>
        <v>复利计息。建造成本、管理费用、销售费用产生的利息。</v>
      </c>
      <c r="E22" s="1817"/>
      <c r="F22" s="26"/>
      <c r="G22" s="1850"/>
      <c r="H22" s="1200" t="s">
        <v>1036</v>
      </c>
      <c r="I22" s="346" t="s">
        <v>1445</v>
      </c>
      <c r="J22" s="24">
        <f ca="1">ROUND(J14*M22,0)</f>
        <v>178407</v>
      </c>
      <c r="K22" s="1797" t="s">
        <v>1446</v>
      </c>
      <c r="L22" s="346" t="s">
        <v>1418</v>
      </c>
      <c r="M22" s="373">
        <f ca="1">INDIRECT("'数据-取费表'!Ak"&amp;$G$1)</f>
        <v>1.4999999999999999E-2</v>
      </c>
    </row>
    <row r="23" spans="1:37" s="1857" customFormat="1" ht="18" customHeight="1">
      <c r="A23" s="1200" t="s">
        <v>1031</v>
      </c>
      <c r="B23" s="346" t="s">
        <v>1447</v>
      </c>
      <c r="C23" s="24">
        <f ca="1">IF('数据-取费表'!B22&lt;=1,ROUND(C19*F24*F23/2,0)+ROUND(C20*F24*F23/2,0),ROUND(C19*(POWER((1+F24),F23/2)-1),0)+ROUND(C20*(POWER((1+F24),F23/2)-1),0))</f>
        <v>485049</v>
      </c>
      <c r="D23" s="374" t="str">
        <f>IF(F23&lt;=1,"(建造成本+管理费用)×利率×(建设周期÷2)","(建造成本+管理费用)×((1+利率)^(建设周期÷2)-1)")</f>
        <v>(建造成本+管理费用)×((1+利率)^(建设周期÷2)-1)</v>
      </c>
      <c r="E23" s="346" t="s">
        <v>1448</v>
      </c>
      <c r="F23" s="370">
        <f>'数据-取费表'!B20</f>
        <v>2</v>
      </c>
      <c r="G23" s="1853"/>
      <c r="H23" s="1200" t="s">
        <v>1072</v>
      </c>
      <c r="I23" s="346" t="s">
        <v>1449</v>
      </c>
      <c r="J23" s="24">
        <f ca="1">ROUND(J13*M23,0)</f>
        <v>0</v>
      </c>
      <c r="K23" s="1797" t="s">
        <v>1450</v>
      </c>
      <c r="L23" s="346" t="s">
        <v>1451</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ROUND(J5*M24,0)</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6" t="s">
        <v>1457</v>
      </c>
      <c r="C25" s="24"/>
      <c r="D25" s="139" t="s">
        <v>1458</v>
      </c>
      <c r="E25" s="1817"/>
      <c r="F25" s="26"/>
      <c r="G25" s="1850"/>
      <c r="H25" s="1328" t="s">
        <v>1028</v>
      </c>
      <c r="I25" s="1343" t="s">
        <v>1459</v>
      </c>
      <c r="J25" s="354">
        <f ca="1">J5-J16</f>
        <v>-279881</v>
      </c>
      <c r="K25" s="1344" t="s">
        <v>1460</v>
      </c>
      <c r="L25" s="1345"/>
      <c r="M25" s="1346"/>
    </row>
    <row r="26" spans="1:37" ht="18" customHeight="1">
      <c r="A26" s="1200" t="s">
        <v>1031</v>
      </c>
      <c r="B26" s="346" t="s">
        <v>1461</v>
      </c>
      <c r="C26" s="24">
        <f ca="1">ROUND((C19+C20)*F26,0)</f>
        <v>306346</v>
      </c>
      <c r="D26" s="368" t="s">
        <v>1462</v>
      </c>
      <c r="E26" s="357" t="s">
        <v>1463</v>
      </c>
      <c r="F26" s="356">
        <f ca="1">INDIRECT("'数据-取费表'!q"&amp;$G$1)</f>
        <v>0.03</v>
      </c>
      <c r="G26" s="1850"/>
      <c r="H26" s="343" t="s">
        <v>1029</v>
      </c>
      <c r="I26" s="344" t="s">
        <v>1464</v>
      </c>
      <c r="J26" s="345">
        <f ca="1">IF(J5&lt;&gt;0,ROUND(J25*(1-((1+M28)/(1+M26))^M27)/(M26-M28),0),0)</f>
        <v>0</v>
      </c>
      <c r="K26" s="369" t="s">
        <v>1465</v>
      </c>
      <c r="L26" s="346" t="s">
        <v>1466</v>
      </c>
      <c r="M26" s="356">
        <f ca="1">INDIRECT("'数据-取费表'!I"&amp;$G$1)</f>
        <v>0.05</v>
      </c>
    </row>
    <row r="27" spans="1:37" ht="18" customHeight="1">
      <c r="A27" s="1200" t="s">
        <v>1033</v>
      </c>
      <c r="B27" s="346" t="s">
        <v>1467</v>
      </c>
      <c r="C27" s="24">
        <f ca="1">ROUND(F21*F26,4)</f>
        <v>5.9999999999999995E-4</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5.33E-2</v>
      </c>
      <c r="D28" s="368" t="s">
        <v>1472</v>
      </c>
      <c r="E28" s="346" t="s">
        <v>1418</v>
      </c>
      <c r="F28" s="366">
        <f>'数据-取费表'!B41</f>
        <v>5.6000000000000001E-2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11893784</v>
      </c>
      <c r="D29" s="1341"/>
      <c r="E29" s="1339"/>
      <c r="F29" s="1342"/>
      <c r="G29" s="1853"/>
      <c r="H29" s="379" t="s">
        <v>1030</v>
      </c>
      <c r="I29" s="380" t="s">
        <v>1475</v>
      </c>
      <c r="J29" s="381">
        <f ca="1">ROUND(J26/(1+F40)^F41,0)</f>
        <v>0</v>
      </c>
      <c r="K29" s="382" t="s">
        <v>1476</v>
      </c>
      <c r="L29" s="383"/>
      <c r="M29" s="384">
        <f ca="1">INDIRECT("'数据-取费表'!k"&amp;$G$1)</f>
        <v>3559.58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317863</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ROUND(IF(项目基本情况!B11="自然人",C5*F31,C32+C33+C34),0)</f>
        <v>115010</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IF(项目基本情况!B11="自然人","——",ROUND(C5*F32/(1+'数据-取费表'!C42),0))</f>
        <v>34906</v>
      </c>
      <c r="D32" s="1797" t="s">
        <v>1430</v>
      </c>
      <c r="E32" s="346" t="s">
        <v>1418</v>
      </c>
      <c r="F32" s="376">
        <f>'数据-取费表'!B41</f>
        <v>5.6000000000000001E-2</v>
      </c>
      <c r="G32" s="1850"/>
      <c r="H32" s="744"/>
      <c r="I32" s="745"/>
      <c r="J32" s="746"/>
      <c r="K32" s="747"/>
      <c r="L32" s="748"/>
      <c r="M32" s="749"/>
    </row>
    <row r="33" spans="1:18" ht="18" customHeight="1">
      <c r="A33" s="1200" t="s">
        <v>1033</v>
      </c>
      <c r="B33" s="346" t="s">
        <v>1433</v>
      </c>
      <c r="C33" s="24">
        <f ca="1">IF(项目基本情况!B11="自然人","——",IF(D33="按租金收入计税",ROUND(C5*F33,0),IF(D33="按房产原值计税",ROUND(C29*F33*0.7,0),INDIRECT("'数据-取费表'!Aj"&amp;$G$1))))</f>
        <v>78538</v>
      </c>
      <c r="D33" s="1827" t="s">
        <v>3213</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5">
        <f ca="1">IF(项目基本情况!B11="自然人","——",ROUND(F34*F35,))</f>
        <v>1566</v>
      </c>
      <c r="D34" s="369" t="s">
        <v>1438</v>
      </c>
      <c r="E34" s="346" t="s">
        <v>1439</v>
      </c>
      <c r="F34" s="370">
        <f>'数据-取费表'!B52</f>
        <v>1.5</v>
      </c>
      <c r="G34" s="1850"/>
      <c r="H34" s="744"/>
      <c r="I34" s="1859"/>
      <c r="J34" s="1860"/>
      <c r="K34" s="1862"/>
      <c r="L34" s="1863"/>
      <c r="M34" s="1863"/>
    </row>
    <row r="35" spans="1:18" ht="18" customHeight="1">
      <c r="A35" s="1352"/>
      <c r="B35" s="1350"/>
      <c r="C35" s="29"/>
      <c r="D35" s="372"/>
      <c r="E35" s="346" t="s">
        <v>1443</v>
      </c>
      <c r="F35" s="347">
        <f ca="1">INDIRECT("'数据-取费表'!r"&amp;$G$1)</f>
        <v>1043.67</v>
      </c>
      <c r="G35" s="1850"/>
      <c r="H35" s="744"/>
      <c r="I35" s="1859"/>
      <c r="J35" s="1860"/>
      <c r="K35" s="1861"/>
      <c r="L35" s="1858"/>
      <c r="M35" s="1858"/>
    </row>
    <row r="36" spans="1:18" ht="18" customHeight="1">
      <c r="A36" s="1351" t="s">
        <v>1036</v>
      </c>
      <c r="B36" s="346" t="s">
        <v>1445</v>
      </c>
      <c r="C36" s="24">
        <f ca="1">ROUND(C29*F36,0)</f>
        <v>178407</v>
      </c>
      <c r="D36" s="1797" t="s">
        <v>1478</v>
      </c>
      <c r="E36" s="346" t="s">
        <v>1418</v>
      </c>
      <c r="F36" s="373">
        <f ca="1">INDIRECT("'数据-取费表'!Ak"&amp;$G$1)</f>
        <v>1.4999999999999999E-2</v>
      </c>
      <c r="G36" s="1850"/>
      <c r="H36" s="1858"/>
      <c r="I36" s="1859"/>
      <c r="J36" s="1860"/>
      <c r="K36" s="750"/>
      <c r="L36" s="1858"/>
      <c r="M36" s="1858"/>
    </row>
    <row r="37" spans="1:18" ht="18" customHeight="1">
      <c r="A37" s="1200" t="s">
        <v>1072</v>
      </c>
      <c r="B37" s="346" t="s">
        <v>1449</v>
      </c>
      <c r="C37" s="24">
        <f ca="1">ROUND(C13*F37,0)</f>
        <v>14629</v>
      </c>
      <c r="D37" s="1797" t="s">
        <v>1450</v>
      </c>
      <c r="E37" s="346" t="s">
        <v>1451</v>
      </c>
      <c r="F37" s="375">
        <f ca="1">INDIRECT("'数据-取费表'!Al"&amp;$G$1)</f>
        <v>1.5E-3</v>
      </c>
      <c r="G37" s="1850"/>
      <c r="H37" s="1858"/>
      <c r="I37" s="1859"/>
      <c r="J37" s="1860"/>
      <c r="K37" s="750"/>
      <c r="L37" s="1858"/>
      <c r="M37" s="1858"/>
    </row>
    <row r="38" spans="1:18" ht="18" customHeight="1" thickBot="1">
      <c r="A38" s="1338" t="s">
        <v>1389</v>
      </c>
      <c r="B38" s="1339" t="s">
        <v>1435</v>
      </c>
      <c r="C38" s="1340">
        <f ca="1">ROUND(C5*F38,1)</f>
        <v>9817.2000000000007</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4">
        <f ca="1">C5-C30</f>
        <v>336617</v>
      </c>
      <c r="D39" s="1344" t="s">
        <v>1480</v>
      </c>
      <c r="E39" s="1345"/>
      <c r="F39" s="1346"/>
      <c r="G39" s="1850"/>
      <c r="H39" s="1858"/>
      <c r="I39" s="1859"/>
      <c r="J39" s="1860"/>
      <c r="K39" s="1864"/>
      <c r="L39" s="1858"/>
      <c r="M39" s="1858"/>
    </row>
    <row r="40" spans="1:18" ht="18" customHeight="1">
      <c r="A40" s="343" t="s">
        <v>1029</v>
      </c>
      <c r="B40" s="344" t="s">
        <v>1481</v>
      </c>
      <c r="C40" s="345">
        <f ca="1">ROUND(C39*(1-((1+F42)/(1+F40))^F41)/(F40-F42),0)</f>
        <v>7333425</v>
      </c>
      <c r="D40" s="369" t="s">
        <v>1465</v>
      </c>
      <c r="E40" s="346" t="s">
        <v>1466</v>
      </c>
      <c r="F40" s="356">
        <f ca="1">INDIRECT("'数据-取费表'!I"&amp;$G$1)</f>
        <v>0.05</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36.57</v>
      </c>
      <c r="G41" s="1850"/>
      <c r="H41" s="731"/>
      <c r="I41" s="1859"/>
      <c r="J41" s="1860"/>
      <c r="K41" s="750"/>
      <c r="L41" s="731"/>
      <c r="M41" s="731"/>
    </row>
    <row r="42" spans="1:18" ht="18" customHeight="1">
      <c r="A42" s="352"/>
      <c r="B42" s="353"/>
      <c r="C42" s="354"/>
      <c r="D42" s="372"/>
      <c r="E42" s="346" t="s">
        <v>1473</v>
      </c>
      <c r="F42" s="356">
        <f ca="1">INDIRECT("'数据-取费表'!v"&amp;$G$1)</f>
        <v>0.02</v>
      </c>
      <c r="G42" s="1850"/>
      <c r="H42" s="731"/>
      <c r="I42" s="1859"/>
      <c r="J42" s="1860"/>
      <c r="K42" s="750"/>
      <c r="L42" s="731"/>
      <c r="M42" s="731"/>
    </row>
    <row r="43" spans="1:18" ht="18" customHeight="1" thickBot="1">
      <c r="A43" s="379" t="s">
        <v>1030</v>
      </c>
      <c r="B43" s="380" t="s">
        <v>1483</v>
      </c>
      <c r="C43" s="381">
        <f ca="1">ROUND(C40/F43,0)</f>
        <v>2060</v>
      </c>
      <c r="D43" s="382" t="s">
        <v>1484</v>
      </c>
      <c r="E43" s="383" t="s">
        <v>1485</v>
      </c>
      <c r="F43" s="384">
        <f ca="1">INDIRECT("'数据-取费表'!k"&amp;$G$1)</f>
        <v>3559.58</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f ca="1">C68-C40</f>
        <v>-33338536</v>
      </c>
      <c r="D45" s="1939" t="s">
        <v>1600</v>
      </c>
      <c r="E45" s="1865"/>
      <c r="F45" s="1865"/>
      <c r="O45" s="1868" t="s">
        <v>1515</v>
      </c>
      <c r="P45" s="1838"/>
      <c r="Q45" s="1838"/>
      <c r="R45" s="1838"/>
    </row>
    <row r="46" spans="1:18" s="1841" customFormat="1" ht="13.5" thickBot="1">
      <c r="A46" s="1869" t="s">
        <v>1516</v>
      </c>
      <c r="C46" s="1870">
        <f ca="1">ROUND(C45/10000,0)</f>
        <v>-3334</v>
      </c>
      <c r="D46" s="1871" t="str">
        <f>C2</f>
        <v>万元</v>
      </c>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1"/>
      <c r="I47" s="1879" t="s">
        <v>1522</v>
      </c>
      <c r="J47" s="1880" t="s">
        <v>3214</v>
      </c>
      <c r="K47" s="1881" t="s">
        <v>1523</v>
      </c>
      <c r="L47" s="1882">
        <f ca="1">INDIRECT("'数据-取费表'!d"&amp;$G$1)</f>
        <v>50</v>
      </c>
      <c r="M47" s="1837" t="str">
        <f>IF(ISNUMBER(FIND("住宅",C1)),"住宅","非住宅")</f>
        <v>非住宅</v>
      </c>
      <c r="O47" s="1883" t="s">
        <v>1037</v>
      </c>
      <c r="P47" s="1884" t="s">
        <v>1524</v>
      </c>
      <c r="Q47" s="1885">
        <f ca="1">C40+J29</f>
        <v>7333425</v>
      </c>
      <c r="R47" s="1885" t="s">
        <v>1525</v>
      </c>
    </row>
    <row r="48" spans="1:18" s="1841" customFormat="1" ht="28.5" thickBot="1">
      <c r="A48" s="1359" t="s">
        <v>1132</v>
      </c>
      <c r="B48" s="344" t="s">
        <v>1397</v>
      </c>
      <c r="C48" s="1816">
        <f ca="1">C49+C53+C55</f>
        <v>0</v>
      </c>
      <c r="D48" s="1361"/>
      <c r="E48" s="1362"/>
      <c r="F48" s="1180"/>
      <c r="G48" s="791"/>
      <c r="H48" s="792"/>
      <c r="I48" s="1886" t="s">
        <v>1526</v>
      </c>
      <c r="J48" s="1887" t="s">
        <v>3215</v>
      </c>
      <c r="K48" s="1888" t="s">
        <v>1527</v>
      </c>
      <c r="L48" s="1889">
        <f ca="1">INDIRECT("'数据-取费表'!f"&amp;$G$1)</f>
        <v>36.57</v>
      </c>
      <c r="O48" s="1883" t="s">
        <v>1038</v>
      </c>
      <c r="P48" s="1884" t="s">
        <v>1528</v>
      </c>
      <c r="Q48" s="1885" t="str">
        <f ca="1">J60</f>
        <v>0</v>
      </c>
      <c r="R48" s="1885" t="s">
        <v>1529</v>
      </c>
    </row>
    <row r="49" spans="1:18" s="1841" customFormat="1" ht="13.5" thickBot="1">
      <c r="A49" s="1193" t="s">
        <v>1133</v>
      </c>
      <c r="B49" s="1828" t="s">
        <v>1486</v>
      </c>
      <c r="C49" s="1363">
        <f ca="1">ROUND(F49*F51*F50*(1-F52),0)</f>
        <v>0</v>
      </c>
      <c r="D49" s="1275" t="s">
        <v>1400</v>
      </c>
      <c r="E49" s="1829" t="s">
        <v>1487</v>
      </c>
      <c r="F49" s="1280"/>
      <c r="G49" s="1890"/>
      <c r="H49" s="792"/>
      <c r="I49" s="1886" t="s">
        <v>1530</v>
      </c>
      <c r="J49" s="1891">
        <v>2008</v>
      </c>
      <c r="K49" s="1888" t="s">
        <v>1531</v>
      </c>
      <c r="L49" s="1892"/>
      <c r="O49" s="1893" t="s">
        <v>1039</v>
      </c>
      <c r="P49" s="1884" t="s">
        <v>1532</v>
      </c>
      <c r="Q49" s="1885">
        <f ca="1">C29</f>
        <v>11893784</v>
      </c>
      <c r="R49" s="1885" t="s">
        <v>1525</v>
      </c>
    </row>
    <row r="50" spans="1:18" s="1841" customFormat="1" ht="13.5" thickBot="1">
      <c r="A50" s="1194"/>
      <c r="B50" s="1197"/>
      <c r="C50" s="1198"/>
      <c r="D50" s="1171"/>
      <c r="E50" s="1276" t="s">
        <v>1402</v>
      </c>
      <c r="F50" s="1277">
        <f ca="1">F7</f>
        <v>101</v>
      </c>
      <c r="H50" s="792"/>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7">
        <f ca="1">F8</f>
        <v>12</v>
      </c>
      <c r="I51" s="1897" t="s">
        <v>1536</v>
      </c>
      <c r="J51" s="1898">
        <f>IF(J49="",J50,J49+J50-YEAR('数据-取费表'!B2))</f>
        <v>49</v>
      </c>
      <c r="K51" s="1899" t="s">
        <v>1537</v>
      </c>
      <c r="L51" s="1900">
        <f ca="1">ROUND(-PV(INDIRECT("'数据-取费表'!h"&amp;$G$1),L48,(C39-C13*C76),0),0)</f>
        <v>-7887005</v>
      </c>
      <c r="M51" s="1901"/>
      <c r="O51" s="1893" t="s">
        <v>1041</v>
      </c>
      <c r="P51" s="1884" t="s">
        <v>1538</v>
      </c>
      <c r="Q51" s="1896">
        <f>J52</f>
        <v>8.5000000000000006E-2</v>
      </c>
      <c r="R51" s="1885"/>
    </row>
    <row r="52" spans="1:18" s="1841" customFormat="1" ht="13.5" thickBot="1">
      <c r="A52" s="1195"/>
      <c r="B52" s="1197"/>
      <c r="C52" s="1198"/>
      <c r="D52" s="1171"/>
      <c r="E52" s="1199" t="s">
        <v>1404</v>
      </c>
      <c r="F52" s="1274"/>
      <c r="I52" s="1902" t="s">
        <v>1539</v>
      </c>
      <c r="J52" s="1903">
        <v>8.5000000000000006E-2</v>
      </c>
      <c r="K52" s="1902" t="s">
        <v>1540</v>
      </c>
      <c r="L52" s="1903"/>
      <c r="O52" s="1893" t="s">
        <v>1042</v>
      </c>
      <c r="P52" s="1884" t="s">
        <v>1541</v>
      </c>
      <c r="Q52" s="1885">
        <f ca="1">J53</f>
        <v>36.57</v>
      </c>
      <c r="R52" s="1885" t="s">
        <v>1542</v>
      </c>
    </row>
    <row r="53" spans="1:18" s="1841" customFormat="1" ht="30.75" customHeight="1" thickBot="1">
      <c r="A53" s="1360" t="s">
        <v>1134</v>
      </c>
      <c r="B53" s="368" t="s">
        <v>1405</v>
      </c>
      <c r="C53" s="360">
        <f ca="1">ROUND(IF(F53="押一",C49/12*F11,IF(F53="押二",C49/12*2*F11,IF(F53="押三",C49/12*3*F11,C54*F11))),0)</f>
        <v>0</v>
      </c>
      <c r="D53" s="1823" t="s">
        <v>3039</v>
      </c>
      <c r="E53" s="357"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36.57</v>
      </c>
      <c r="K53" s="3237" t="s">
        <v>1544</v>
      </c>
      <c r="L53" s="3238"/>
      <c r="O53" s="1883" t="s">
        <v>1043</v>
      </c>
      <c r="P53" s="1884" t="s">
        <v>1545</v>
      </c>
      <c r="Q53" s="1885">
        <f ca="1">Q47+Q48</f>
        <v>7333425</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c r="O55" s="1876" t="s">
        <v>1518</v>
      </c>
      <c r="P55" s="1877" t="s">
        <v>1519</v>
      </c>
      <c r="Q55" s="1878" t="s">
        <v>1520</v>
      </c>
      <c r="R55" s="1878" t="s">
        <v>1521</v>
      </c>
    </row>
    <row r="56" spans="1:18" s="1841" customFormat="1" ht="36" customHeight="1" thickTop="1" thickBot="1">
      <c r="A56" s="1175">
        <v>2</v>
      </c>
      <c r="B56" s="1176" t="s">
        <v>1410</v>
      </c>
      <c r="C56" s="275">
        <f ca="1">C13</f>
        <v>9752903</v>
      </c>
      <c r="D56" s="1913"/>
      <c r="E56" s="1914"/>
      <c r="F56" s="1906"/>
      <c r="I56" s="1915" t="s">
        <v>1550</v>
      </c>
      <c r="J56" s="1916" t="s">
        <v>3062</v>
      </c>
      <c r="K56" s="1886" t="s">
        <v>1551</v>
      </c>
      <c r="L56" s="1889" t="str">
        <f ca="1">IF(L48&lt;J51,"——",L48-J51)</f>
        <v>——</v>
      </c>
      <c r="O56" s="1883" t="s">
        <v>1037</v>
      </c>
      <c r="P56" s="1884" t="s">
        <v>1524</v>
      </c>
      <c r="Q56" s="1885">
        <f ca="1">C40+J29</f>
        <v>7333425</v>
      </c>
      <c r="R56" s="1885" t="s">
        <v>1525</v>
      </c>
    </row>
    <row r="57" spans="1:18" s="1841" customFormat="1" ht="24.75" thickBot="1">
      <c r="A57" s="1917"/>
      <c r="B57" s="1168" t="s">
        <v>1474</v>
      </c>
      <c r="C57" s="281">
        <f ca="1">C29</f>
        <v>11893784</v>
      </c>
      <c r="D57" s="1918"/>
      <c r="E57" s="1919"/>
      <c r="F57" s="1920"/>
      <c r="I57" s="1921" t="s">
        <v>1552</v>
      </c>
      <c r="J57" s="1922" t="str">
        <f ca="1">IF(OR(M47="住宅",J51&lt;L48,J56="是"),"——",J51-L48)</f>
        <v>——</v>
      </c>
      <c r="K57" s="1886" t="s">
        <v>1601</v>
      </c>
      <c r="L57" s="1889" t="str">
        <f ca="1">IF(L48&lt;J51,"——",IF(L55="比较法",L49,IF(L55="基准地价",L50,L51)))</f>
        <v>——</v>
      </c>
      <c r="O57" s="1883" t="s">
        <v>1038</v>
      </c>
      <c r="P57" s="1884" t="s">
        <v>1602</v>
      </c>
      <c r="Q57" s="1885">
        <f ca="1">L60</f>
        <v>0</v>
      </c>
      <c r="R57" s="1885" t="s">
        <v>1603</v>
      </c>
    </row>
    <row r="58" spans="1:18" s="1841" customFormat="1" ht="24.75" thickBot="1">
      <c r="A58" s="359" t="s">
        <v>1027</v>
      </c>
      <c r="B58" s="1176" t="s">
        <v>1420</v>
      </c>
      <c r="C58" s="360">
        <f ca="1">ROUND(C59+C64+C65+C66,0)</f>
        <v>1193680</v>
      </c>
      <c r="D58" s="1178" t="s">
        <v>1421</v>
      </c>
      <c r="E58" s="1179"/>
      <c r="F58" s="1180"/>
      <c r="I58" s="1921" t="s">
        <v>1556</v>
      </c>
      <c r="J58" s="1923" t="e">
        <f ca="1">IF(J55&lt;0.4,0.4,J55)</f>
        <v>#VALUE!</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1000644</v>
      </c>
      <c r="D59" s="1181" t="s">
        <v>1426</v>
      </c>
      <c r="E59" s="1182" t="s">
        <v>1427</v>
      </c>
      <c r="F59" s="367"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6">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999078</v>
      </c>
      <c r="D61" s="1827" t="s">
        <v>1434</v>
      </c>
      <c r="E61" s="1168" t="s">
        <v>1490</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IF(项目基本情况!B11="自然人","——",ROUND(F62*F63,0))</f>
        <v>1566</v>
      </c>
      <c r="D62" s="1183" t="s">
        <v>1493</v>
      </c>
      <c r="E62" s="1168" t="s">
        <v>1494</v>
      </c>
      <c r="F62" s="370">
        <f t="shared" si="0"/>
        <v>1.5</v>
      </c>
      <c r="I62" s="1928" t="s">
        <v>1566</v>
      </c>
      <c r="J62" s="1929" t="s">
        <v>1567</v>
      </c>
      <c r="K62" s="1929" t="s">
        <v>1568</v>
      </c>
      <c r="L62" s="1929" t="s">
        <v>1569</v>
      </c>
      <c r="M62" s="1930" t="s">
        <v>1570</v>
      </c>
      <c r="O62" s="1883" t="s">
        <v>1043</v>
      </c>
      <c r="P62" s="1884" t="s">
        <v>1571</v>
      </c>
      <c r="Q62" s="1885">
        <f ca="1">Q56+Q57</f>
        <v>7333425</v>
      </c>
      <c r="R62" s="1885" t="s">
        <v>1044</v>
      </c>
    </row>
    <row r="63" spans="1:18" s="1841" customFormat="1" ht="13.5" thickBot="1">
      <c r="A63" s="371"/>
      <c r="B63" s="1174"/>
      <c r="C63" s="29"/>
      <c r="D63" s="1184"/>
      <c r="E63" s="1168" t="s">
        <v>1495</v>
      </c>
      <c r="F63" s="347">
        <f t="shared" ca="1" si="0"/>
        <v>1043.67</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178407</v>
      </c>
      <c r="D64" s="1182" t="s">
        <v>1498</v>
      </c>
      <c r="E64" s="1168" t="s">
        <v>1490</v>
      </c>
      <c r="F64" s="373">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14629</v>
      </c>
      <c r="D65" s="1182" t="s">
        <v>1450</v>
      </c>
      <c r="E65" s="1168" t="s">
        <v>1451</v>
      </c>
      <c r="F65" s="375">
        <f t="shared" ca="1" si="0"/>
        <v>1.5E-3</v>
      </c>
      <c r="I65" s="1928" t="s">
        <v>1575</v>
      </c>
      <c r="J65" s="1929">
        <v>40</v>
      </c>
      <c r="K65" s="1929">
        <v>30</v>
      </c>
      <c r="L65" s="1929">
        <v>50</v>
      </c>
      <c r="M65" s="1931">
        <v>0.02</v>
      </c>
      <c r="O65" s="1883" t="s">
        <v>1037</v>
      </c>
      <c r="P65" s="1884" t="s">
        <v>1576</v>
      </c>
      <c r="Q65" s="1885">
        <f ca="1">C40+J29</f>
        <v>7333425</v>
      </c>
      <c r="R65" s="1885" t="s">
        <v>1525</v>
      </c>
    </row>
    <row r="66" spans="1:18" s="1841" customFormat="1" ht="16.5" thickBot="1">
      <c r="A66" s="1200" t="s">
        <v>1500</v>
      </c>
      <c r="B66" s="1168" t="s">
        <v>1435</v>
      </c>
      <c r="C66" s="24">
        <f ca="1">ROUND(C48*F66,0)</f>
        <v>0</v>
      </c>
      <c r="D66" s="1182" t="s">
        <v>1501</v>
      </c>
      <c r="E66" s="1168" t="s">
        <v>1418</v>
      </c>
      <c r="F66" s="356">
        <f t="shared" ca="1" si="0"/>
        <v>1.4999999999999999E-2</v>
      </c>
      <c r="O66" s="1883" t="s">
        <v>1038</v>
      </c>
      <c r="P66" s="1884" t="s">
        <v>1554</v>
      </c>
      <c r="Q66" s="1885">
        <f ca="1">L60</f>
        <v>0</v>
      </c>
      <c r="R66" s="1885" t="s">
        <v>1577</v>
      </c>
    </row>
    <row r="67" spans="1:18" s="1841" customFormat="1" ht="16.5" thickBot="1">
      <c r="A67" s="1175" t="s">
        <v>1028</v>
      </c>
      <c r="B67" s="1185" t="s">
        <v>1459</v>
      </c>
      <c r="C67" s="360">
        <f ca="1">C48-C58</f>
        <v>-1193680</v>
      </c>
      <c r="D67" s="1181" t="s">
        <v>1460</v>
      </c>
      <c r="E67" s="1186"/>
      <c r="F67" s="1187"/>
      <c r="O67" s="1893" t="s">
        <v>1039</v>
      </c>
      <c r="P67" s="1884" t="s">
        <v>1558</v>
      </c>
      <c r="Q67" s="1932">
        <f ca="1">L51</f>
        <v>-7887005</v>
      </c>
      <c r="R67" s="1885" t="s">
        <v>1578</v>
      </c>
    </row>
    <row r="68" spans="1:18" s="1841" customFormat="1" ht="16.5" thickBot="1">
      <c r="A68" s="1165" t="s">
        <v>1029</v>
      </c>
      <c r="B68" s="1166" t="s">
        <v>1481</v>
      </c>
      <c r="C68" s="345">
        <f ca="1">ROUND(C67*(1-((1+F70)/(1+F68))^F69)/(F68-F70),0)</f>
        <v>-26005111</v>
      </c>
      <c r="D68" s="1183" t="s">
        <v>1465</v>
      </c>
      <c r="E68" s="1168" t="s">
        <v>1466</v>
      </c>
      <c r="F68" s="356">
        <f ca="1">F40</f>
        <v>0.05</v>
      </c>
      <c r="O68" s="1893" t="s">
        <v>1040</v>
      </c>
      <c r="P68" s="1933" t="s">
        <v>1579</v>
      </c>
      <c r="Q68" s="1885">
        <f ca="1">ROUND(Q69-Q70*Q71,0)</f>
        <v>-443615</v>
      </c>
      <c r="R68" s="1885" t="s">
        <v>1048</v>
      </c>
    </row>
    <row r="69" spans="1:18" s="1841" customFormat="1" ht="13.5" thickBot="1">
      <c r="A69" s="1169"/>
      <c r="B69" s="1170"/>
      <c r="C69" s="350"/>
      <c r="D69" s="1188" t="s">
        <v>1469</v>
      </c>
      <c r="E69" s="1168" t="s">
        <v>1470</v>
      </c>
      <c r="F69" s="378">
        <f ca="1">F41</f>
        <v>36.57</v>
      </c>
      <c r="O69" s="1893" t="s">
        <v>1045</v>
      </c>
      <c r="P69" s="1933" t="s">
        <v>1580</v>
      </c>
      <c r="Q69" s="1885">
        <f ca="1">C39</f>
        <v>336617</v>
      </c>
      <c r="R69" s="1885" t="s">
        <v>1525</v>
      </c>
    </row>
    <row r="70" spans="1:18" s="1841" customFormat="1" ht="13.5" thickBot="1">
      <c r="A70" s="1172"/>
      <c r="B70" s="1173"/>
      <c r="C70" s="354"/>
      <c r="D70" s="1184"/>
      <c r="E70" s="1168" t="s">
        <v>1473</v>
      </c>
      <c r="F70" s="1274">
        <f ca="1">F42</f>
        <v>0.02</v>
      </c>
      <c r="O70" s="1893" t="s">
        <v>1046</v>
      </c>
      <c r="P70" s="1933" t="s">
        <v>1581</v>
      </c>
      <c r="Q70" s="1885">
        <f ca="1">C13</f>
        <v>9752903</v>
      </c>
      <c r="R70" s="1885" t="s">
        <v>1525</v>
      </c>
    </row>
    <row r="71" spans="1:18" s="1841" customFormat="1" ht="13.5" thickBot="1">
      <c r="A71" s="1189" t="s">
        <v>1030</v>
      </c>
      <c r="B71" s="1190" t="s">
        <v>1483</v>
      </c>
      <c r="C71" s="381">
        <f ca="1">ROUND(C68/F71,0)</f>
        <v>-7306</v>
      </c>
      <c r="D71" s="1191" t="s">
        <v>1484</v>
      </c>
      <c r="E71" s="1192" t="s">
        <v>1485</v>
      </c>
      <c r="F71" s="384">
        <f ca="1">F43</f>
        <v>3559.58</v>
      </c>
      <c r="O71" s="1893" t="s">
        <v>1047</v>
      </c>
      <c r="P71" s="1933" t="s">
        <v>1582</v>
      </c>
      <c r="Q71" s="1896">
        <f ca="1">C76</f>
        <v>0.08</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780232</v>
      </c>
      <c r="D75" s="1841"/>
      <c r="E75" s="1841"/>
      <c r="F75" s="1841"/>
      <c r="K75" s="1867"/>
      <c r="L75" s="1841"/>
      <c r="O75" s="1883" t="s">
        <v>1043</v>
      </c>
      <c r="P75" s="1884" t="s">
        <v>1545</v>
      </c>
      <c r="Q75" s="1885">
        <f ca="1">Q65+Q66</f>
        <v>7333425</v>
      </c>
      <c r="R75" s="1885" t="s">
        <v>1044</v>
      </c>
    </row>
    <row r="76" spans="1:18">
      <c r="B76" s="387" t="s">
        <v>1503</v>
      </c>
      <c r="C76" s="388">
        <f ca="1">INDIRECT("'数据-取费表'!j"&amp;$G$1)</f>
        <v>0.08</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-1.3180000000000001</v>
      </c>
    </row>
    <row r="80" spans="1:18">
      <c r="B80" s="385" t="s">
        <v>1507</v>
      </c>
      <c r="C80" s="317">
        <f ca="1">ROUND(C75/C39,3)</f>
        <v>2.3180000000000001</v>
      </c>
    </row>
    <row r="81" spans="2:3">
      <c r="B81" s="313" t="s">
        <v>1508</v>
      </c>
      <c r="C81" s="281"/>
    </row>
    <row r="82" spans="2:3">
      <c r="B82" s="316" t="s">
        <v>1509</v>
      </c>
      <c r="C82" s="318">
        <f ca="1">1-C83</f>
        <v>-0.33000000000000007</v>
      </c>
    </row>
    <row r="83" spans="2:3">
      <c r="B83" s="316" t="s">
        <v>1510</v>
      </c>
      <c r="C83" s="317">
        <f ca="1">ROUND(C13/C40,3)</f>
        <v>1.33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2523</v>
      </c>
      <c r="B1" s="2562"/>
      <c r="C1" s="2562"/>
      <c r="D1" s="2562"/>
      <c r="E1" s="2563"/>
    </row>
    <row r="2" spans="1:6" ht="15.75">
      <c r="A2" s="2564" t="s">
        <v>2324</v>
      </c>
      <c r="B2" s="2565">
        <f ca="1">SUMIF(B6:B13,"&lt;&gt;#ref!",B6:B13)</f>
        <v>78691</v>
      </c>
      <c r="C2" s="2566" t="s">
        <v>2516</v>
      </c>
      <c r="D2" s="2567" t="s">
        <v>2517</v>
      </c>
      <c r="E2" s="2568">
        <f>SUM(E6:E13)</f>
        <v>34740.85</v>
      </c>
    </row>
    <row r="3" spans="1:6" ht="15.75">
      <c r="A3" s="2564" t="s">
        <v>1391</v>
      </c>
      <c r="B3" s="2565">
        <f ca="1">ROUND(B2*10000/E2,0)</f>
        <v>22651</v>
      </c>
      <c r="C3" s="2566" t="s">
        <v>2524</v>
      </c>
      <c r="D3" s="2569"/>
      <c r="E3" s="2570"/>
    </row>
    <row r="4" spans="1:6" ht="15.75">
      <c r="A4" s="2571"/>
      <c r="B4" s="2569"/>
      <c r="C4" s="2569"/>
      <c r="D4" s="2569"/>
      <c r="E4" s="2570"/>
    </row>
    <row r="5" spans="1:6" ht="15">
      <c r="A5" s="2572" t="s">
        <v>2518</v>
      </c>
      <c r="B5" s="3293" t="s">
        <v>2519</v>
      </c>
      <c r="C5" s="3293"/>
      <c r="D5" s="2573"/>
      <c r="E5" s="2574" t="s">
        <v>2520</v>
      </c>
      <c r="F5" s="2575" t="s">
        <v>2521</v>
      </c>
    </row>
    <row r="6" spans="1:6">
      <c r="A6" s="2576" t="str">
        <f>'数据-取费表'!AN6</f>
        <v>收益法</v>
      </c>
      <c r="B6" s="2575">
        <f ca="1">IF(F6="是",'数据-取费表'!AO6,0)</f>
        <v>77958</v>
      </c>
      <c r="C6" s="2566" t="s">
        <v>2516</v>
      </c>
      <c r="D6" s="2569"/>
      <c r="E6" s="2577">
        <f>IF(OR(A6=0,F6="否"),0,'数据-取费表'!K6+'数据-取费表'!S6)</f>
        <v>31181.27</v>
      </c>
      <c r="F6" s="2578" t="s">
        <v>2522</v>
      </c>
    </row>
    <row r="7" spans="1:6">
      <c r="A7" s="2576" t="str">
        <f>'数据-取费表'!AN7</f>
        <v>收益法 (元)</v>
      </c>
      <c r="B7" s="2575">
        <f ca="1">IF(F7="是",'数据-取费表'!AO7,0)</f>
        <v>733</v>
      </c>
      <c r="C7" s="2566" t="s">
        <v>2516</v>
      </c>
      <c r="D7" s="2569"/>
      <c r="E7" s="2577">
        <f>IF(OR(A7=0,F7="否"),0,'数据-取费表'!K7+'数据-取费表'!S7)</f>
        <v>3559.58</v>
      </c>
      <c r="F7" s="2578" t="s">
        <v>2522</v>
      </c>
    </row>
    <row r="8" spans="1:6">
      <c r="A8" s="2576">
        <f>'数据-取费表'!AN8</f>
        <v>0</v>
      </c>
      <c r="B8" s="2575" t="e">
        <f ca="1">IF(F8="是",'数据-取费表'!AO8,0)</f>
        <v>#REF!</v>
      </c>
      <c r="C8" s="2566" t="s">
        <v>2516</v>
      </c>
      <c r="D8" s="2569"/>
      <c r="E8" s="2577">
        <f>IF(OR(A8=0,F8="否"),0,'数据-取费表'!K8+'数据-取费表'!S8)</f>
        <v>0</v>
      </c>
      <c r="F8" s="2578" t="s">
        <v>2522</v>
      </c>
    </row>
    <row r="9" spans="1:6">
      <c r="A9" s="2576">
        <f>'数据-取费表'!AN9</f>
        <v>0</v>
      </c>
      <c r="B9" s="2575" t="e">
        <f ca="1">IF(F9="是",'数据-取费表'!AO9,0)</f>
        <v>#REF!</v>
      </c>
      <c r="C9" s="2566" t="s">
        <v>2516</v>
      </c>
      <c r="D9" s="2569"/>
      <c r="E9" s="2577">
        <f>IF(OR(A9=0,F9="否"),0,'数据-取费表'!K9+'数据-取费表'!S9)</f>
        <v>0</v>
      </c>
      <c r="F9" s="2578" t="s">
        <v>2522</v>
      </c>
    </row>
    <row r="10" spans="1:6">
      <c r="A10" s="2576">
        <f>'数据-取费表'!AN10</f>
        <v>0</v>
      </c>
      <c r="B10" s="2575" t="e">
        <f ca="1">IF(F10="是",'数据-取费表'!AO10,0)</f>
        <v>#REF!</v>
      </c>
      <c r="C10" s="2566" t="s">
        <v>2516</v>
      </c>
      <c r="D10" s="2569"/>
      <c r="E10" s="2577">
        <f>IF(OR(A10=0,F10="否"),0,'数据-取费表'!K10+'数据-取费表'!S10)</f>
        <v>0</v>
      </c>
      <c r="F10" s="2578" t="s">
        <v>2522</v>
      </c>
    </row>
    <row r="11" spans="1:6">
      <c r="A11" s="2576">
        <f>'数据-取费表'!AN11</f>
        <v>0</v>
      </c>
      <c r="B11" s="2575" t="e">
        <f ca="1">IF(F11="是",'数据-取费表'!AO11,0)</f>
        <v>#REF!</v>
      </c>
      <c r="C11" s="2566" t="s">
        <v>2516</v>
      </c>
      <c r="D11" s="2569"/>
      <c r="E11" s="2577">
        <f>IF(OR(A11=0,F11="否"),0,'数据-取费表'!K11+'数据-取费表'!S11)</f>
        <v>0</v>
      </c>
      <c r="F11" s="2578" t="s">
        <v>2522</v>
      </c>
    </row>
    <row r="12" spans="1:6">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4" t="s">
        <v>1073</v>
      </c>
      <c r="B1" s="3295"/>
      <c r="C1" s="3296"/>
      <c r="D1" s="3297">
        <f>SUM(I10,I15,I20,I21,I23)</f>
        <v>0</v>
      </c>
      <c r="E1" s="3297"/>
      <c r="F1" s="3297"/>
      <c r="G1" s="3297"/>
      <c r="H1" s="3297"/>
      <c r="I1" s="3298"/>
    </row>
    <row r="2" spans="1:9">
      <c r="A2" s="3299" t="s">
        <v>1074</v>
      </c>
      <c r="B2" s="3300" t="s">
        <v>1075</v>
      </c>
      <c r="C2" s="3300"/>
      <c r="D2" s="1300" t="s">
        <v>1076</v>
      </c>
      <c r="E2" s="1300" t="s">
        <v>1077</v>
      </c>
      <c r="F2" s="1300" t="s">
        <v>1078</v>
      </c>
      <c r="G2" s="1300" t="s">
        <v>1079</v>
      </c>
      <c r="H2" s="1300" t="s">
        <v>1080</v>
      </c>
      <c r="I2" s="1301" t="s">
        <v>1081</v>
      </c>
    </row>
    <row r="3" spans="1:9">
      <c r="A3" s="3299"/>
      <c r="B3" s="3300" t="s">
        <v>1082</v>
      </c>
      <c r="C3" s="3300"/>
      <c r="D3" s="1302"/>
      <c r="E3" s="1300"/>
      <c r="F3" s="1303"/>
      <c r="G3" s="1303"/>
      <c r="H3" s="1304"/>
      <c r="I3" s="1305">
        <f>ROUND(D3*E3*F3*G3*H3/10000,0)</f>
        <v>0</v>
      </c>
    </row>
    <row r="4" spans="1:9">
      <c r="A4" s="3299"/>
      <c r="B4" s="3300" t="s">
        <v>1083</v>
      </c>
      <c r="C4" s="3300"/>
      <c r="D4" s="1302"/>
      <c r="E4" s="1300"/>
      <c r="F4" s="1303"/>
      <c r="G4" s="1303"/>
      <c r="H4" s="1304"/>
      <c r="I4" s="1305">
        <f t="shared" ref="I4:I9" si="0">ROUND(D4*E4*F4*G4*H4/10000,0)</f>
        <v>0</v>
      </c>
    </row>
    <row r="5" spans="1:9">
      <c r="A5" s="3299"/>
      <c r="B5" s="3300" t="s">
        <v>1084</v>
      </c>
      <c r="C5" s="3300"/>
      <c r="D5" s="1302"/>
      <c r="E5" s="1300"/>
      <c r="F5" s="1303"/>
      <c r="G5" s="1303"/>
      <c r="H5" s="1304"/>
      <c r="I5" s="1305">
        <f t="shared" si="0"/>
        <v>0</v>
      </c>
    </row>
    <row r="6" spans="1:9">
      <c r="A6" s="3299"/>
      <c r="B6" s="3300" t="s">
        <v>1085</v>
      </c>
      <c r="C6" s="3300"/>
      <c r="D6" s="1302"/>
      <c r="E6" s="1300"/>
      <c r="F6" s="1303"/>
      <c r="G6" s="1303"/>
      <c r="H6" s="1304"/>
      <c r="I6" s="1305">
        <f t="shared" si="0"/>
        <v>0</v>
      </c>
    </row>
    <row r="7" spans="1:9">
      <c r="A7" s="3299"/>
      <c r="B7" s="3300" t="s">
        <v>1086</v>
      </c>
      <c r="C7" s="3300"/>
      <c r="D7" s="1302"/>
      <c r="E7" s="1300"/>
      <c r="F7" s="1303"/>
      <c r="G7" s="1303"/>
      <c r="H7" s="1304"/>
      <c r="I7" s="1305">
        <f t="shared" si="0"/>
        <v>0</v>
      </c>
    </row>
    <row r="8" spans="1:9">
      <c r="A8" s="3299"/>
      <c r="B8" s="3300" t="s">
        <v>1087</v>
      </c>
      <c r="C8" s="3300"/>
      <c r="D8" s="1302"/>
      <c r="E8" s="1300"/>
      <c r="F8" s="1303"/>
      <c r="G8" s="1303"/>
      <c r="H8" s="1304"/>
      <c r="I8" s="1305">
        <f t="shared" si="0"/>
        <v>0</v>
      </c>
    </row>
    <row r="9" spans="1:9">
      <c r="A9" s="3299"/>
      <c r="B9" s="3300" t="s">
        <v>1088</v>
      </c>
      <c r="C9" s="3300"/>
      <c r="D9" s="1302"/>
      <c r="E9" s="1300"/>
      <c r="F9" s="1303"/>
      <c r="G9" s="1303"/>
      <c r="H9" s="1304"/>
      <c r="I9" s="1305">
        <f t="shared" si="0"/>
        <v>0</v>
      </c>
    </row>
    <row r="10" spans="1:9">
      <c r="A10" s="3299"/>
      <c r="B10" s="3301" t="s">
        <v>1089</v>
      </c>
      <c r="C10" s="3301"/>
      <c r="D10" s="1306"/>
      <c r="E10" s="1306" t="e">
        <f>ROUND(D1*10000/D10/H9,0)</f>
        <v>#DIV/0!</v>
      </c>
      <c r="F10" s="1307"/>
      <c r="G10" s="1307"/>
      <c r="H10" s="1308"/>
      <c r="I10" s="1309">
        <f>SUM(I3:I9)</f>
        <v>0</v>
      </c>
    </row>
    <row r="11" spans="1:9" ht="14.25">
      <c r="A11" s="3299" t="s">
        <v>1090</v>
      </c>
      <c r="B11" s="3300" t="s">
        <v>1091</v>
      </c>
      <c r="C11" s="3300"/>
      <c r="D11" s="1302" t="s">
        <v>1092</v>
      </c>
      <c r="E11" s="1302" t="s">
        <v>1093</v>
      </c>
      <c r="F11" s="1303" t="s">
        <v>1094</v>
      </c>
      <c r="G11" s="1303" t="s">
        <v>1080</v>
      </c>
      <c r="H11" s="1310" t="s">
        <v>1095</v>
      </c>
      <c r="I11" s="1301" t="s">
        <v>1081</v>
      </c>
    </row>
    <row r="12" spans="1:9">
      <c r="A12" s="3299"/>
      <c r="B12" s="3300" t="s">
        <v>1096</v>
      </c>
      <c r="C12" s="3300"/>
      <c r="D12" s="1302"/>
      <c r="E12" s="1302"/>
      <c r="F12" s="1303"/>
      <c r="G12" s="1304"/>
      <c r="H12" s="1311"/>
      <c r="I12" s="1301">
        <f>ROUND(D12*E12*F12*G12/10000,0)</f>
        <v>0</v>
      </c>
    </row>
    <row r="13" spans="1:9">
      <c r="A13" s="3299"/>
      <c r="B13" s="3300" t="s">
        <v>1097</v>
      </c>
      <c r="C13" s="3300"/>
      <c r="D13" s="1302"/>
      <c r="E13" s="1302"/>
      <c r="F13" s="1303"/>
      <c r="G13" s="1304"/>
      <c r="H13" s="1311"/>
      <c r="I13" s="1301">
        <f>ROUND(D13*E13*F13*G13/10000,0)</f>
        <v>0</v>
      </c>
    </row>
    <row r="14" spans="1:9">
      <c r="A14" s="3299"/>
      <c r="B14" s="3300" t="s">
        <v>1098</v>
      </c>
      <c r="C14" s="3300"/>
      <c r="D14" s="1302"/>
      <c r="E14" s="1302"/>
      <c r="F14" s="1303"/>
      <c r="G14" s="1304"/>
      <c r="H14" s="1311"/>
      <c r="I14" s="1301">
        <f>ROUND(D14*E14*F14*G14/10000,0)</f>
        <v>0</v>
      </c>
    </row>
    <row r="15" spans="1:9">
      <c r="A15" s="3299"/>
      <c r="B15" s="3301" t="s">
        <v>1089</v>
      </c>
      <c r="C15" s="3301"/>
      <c r="D15" s="1306"/>
      <c r="E15" s="1306">
        <f>SUM(E12:E14)</f>
        <v>0</v>
      </c>
      <c r="F15" s="1307"/>
      <c r="G15" s="1304"/>
      <c r="H15" s="1311"/>
      <c r="I15" s="1312">
        <f>SUM(I12:I14)</f>
        <v>0</v>
      </c>
    </row>
    <row r="16" spans="1:9" ht="24">
      <c r="A16" s="3299" t="s">
        <v>1099</v>
      </c>
      <c r="B16" s="3300" t="s">
        <v>1100</v>
      </c>
      <c r="C16" s="3300"/>
      <c r="D16" s="1302" t="s">
        <v>1076</v>
      </c>
      <c r="E16" s="1313" t="s">
        <v>1101</v>
      </c>
      <c r="F16" s="1303" t="s">
        <v>1102</v>
      </c>
      <c r="G16" s="1304" t="s">
        <v>1080</v>
      </c>
      <c r="H16" s="1310" t="s">
        <v>1095</v>
      </c>
      <c r="I16" s="1301" t="s">
        <v>1081</v>
      </c>
    </row>
    <row r="17" spans="1:9" ht="14.25">
      <c r="A17" s="3299"/>
      <c r="B17" s="3300" t="s">
        <v>1103</v>
      </c>
      <c r="C17" s="3300"/>
      <c r="D17" s="1302"/>
      <c r="E17" s="1302"/>
      <c r="F17" s="1303"/>
      <c r="G17" s="1304"/>
      <c r="H17" s="1314"/>
      <c r="I17" s="1315">
        <f>ROUND(D17*E17*F17*G17/10000,0)</f>
        <v>0</v>
      </c>
    </row>
    <row r="18" spans="1:9" ht="14.25">
      <c r="A18" s="3299"/>
      <c r="B18" s="3300" t="s">
        <v>1104</v>
      </c>
      <c r="C18" s="3300"/>
      <c r="D18" s="1302"/>
      <c r="E18" s="1302"/>
      <c r="F18" s="1303"/>
      <c r="G18" s="1304"/>
      <c r="H18" s="1314"/>
      <c r="I18" s="1315">
        <f>ROUND(D18*E18*F18*G18/10000,0)</f>
        <v>0</v>
      </c>
    </row>
    <row r="19" spans="1:9" ht="14.25">
      <c r="A19" s="3299"/>
      <c r="B19" s="3300" t="s">
        <v>1105</v>
      </c>
      <c r="C19" s="3300"/>
      <c r="D19" s="1302"/>
      <c r="E19" s="1302"/>
      <c r="F19" s="1303"/>
      <c r="G19" s="1304"/>
      <c r="H19" s="1314"/>
      <c r="I19" s="1315">
        <f>ROUND(D19*E19*F19*G19/10000,0)</f>
        <v>0</v>
      </c>
    </row>
    <row r="20" spans="1:9">
      <c r="A20" s="3299"/>
      <c r="B20" s="3301" t="s">
        <v>1089</v>
      </c>
      <c r="C20" s="3301"/>
      <c r="D20" s="1306">
        <f>SUM(D17:D19)</f>
        <v>0</v>
      </c>
      <c r="E20" s="1306"/>
      <c r="F20" s="1307"/>
      <c r="G20" s="1304"/>
      <c r="H20" s="1311"/>
      <c r="I20" s="1312">
        <f>SUM(I17:I19)</f>
        <v>0</v>
      </c>
    </row>
    <row r="21" spans="1:9">
      <c r="A21" s="3299" t="s">
        <v>1106</v>
      </c>
      <c r="B21" s="3303"/>
      <c r="C21" s="3303"/>
      <c r="D21" s="3303"/>
      <c r="E21" s="3303"/>
      <c r="F21" s="3303"/>
      <c r="G21" s="3303"/>
      <c r="H21" s="1764">
        <v>0.1</v>
      </c>
      <c r="I21" s="1309">
        <f>ROUND(I10*H21,0)</f>
        <v>0</v>
      </c>
    </row>
    <row r="22" spans="1:9" ht="14.25">
      <c r="A22" s="3304" t="s">
        <v>1107</v>
      </c>
      <c r="B22" s="3305"/>
      <c r="C22" s="3306"/>
      <c r="D22" s="1316" t="s">
        <v>1108</v>
      </c>
      <c r="E22" s="1316" t="s">
        <v>1109</v>
      </c>
      <c r="F22" s="1317" t="s">
        <v>1110</v>
      </c>
      <c r="G22" s="1317" t="s">
        <v>1111</v>
      </c>
      <c r="H22" s="1310" t="s">
        <v>1112</v>
      </c>
      <c r="I22" s="1301" t="s">
        <v>1113</v>
      </c>
    </row>
    <row r="23" spans="1:9" ht="14.25" thickBot="1">
      <c r="A23" s="3307"/>
      <c r="B23" s="3308"/>
      <c r="C23" s="3309"/>
      <c r="D23" s="1318"/>
      <c r="E23" s="1318"/>
      <c r="F23" s="1318"/>
      <c r="G23" s="1319"/>
      <c r="H23" s="1320"/>
      <c r="I23" s="1321">
        <f>ROUND(E23*D23*F23*(1-G23)/10000,0)</f>
        <v>0</v>
      </c>
    </row>
    <row r="26" spans="1:9">
      <c r="A26" s="1322" t="s">
        <v>1114</v>
      </c>
      <c r="B26" s="1322"/>
      <c r="C26" s="1322"/>
      <c r="D26" s="1322"/>
      <c r="E26" s="3310">
        <f>C27-C30-C31-C32</f>
        <v>0</v>
      </c>
      <c r="F26" s="3310"/>
      <c r="G26" s="3310"/>
      <c r="H26" s="1736" t="s">
        <v>1336</v>
      </c>
    </row>
    <row r="27" spans="1:9">
      <c r="A27" s="1323">
        <v>1</v>
      </c>
      <c r="B27" s="1324" t="s">
        <v>1115</v>
      </c>
      <c r="C27" s="1324">
        <f>C28+C29</f>
        <v>0</v>
      </c>
      <c r="D27" s="1324"/>
      <c r="E27" s="3311"/>
      <c r="F27" s="3311"/>
      <c r="G27" s="3311"/>
    </row>
    <row r="28" spans="1:9">
      <c r="A28" s="1325" t="s">
        <v>1116</v>
      </c>
      <c r="B28" s="1324" t="s">
        <v>1117</v>
      </c>
      <c r="C28" s="1324"/>
      <c r="D28" s="1324"/>
      <c r="E28" s="3311"/>
      <c r="F28" s="3311"/>
      <c r="G28" s="331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02"/>
      <c r="F32" s="3302"/>
      <c r="G32" s="3302"/>
    </row>
    <row r="33" spans="1:7" hidden="1">
      <c r="A33" s="3312" t="s">
        <v>1126</v>
      </c>
      <c r="B33" s="3313"/>
      <c r="C33" s="3313"/>
      <c r="D33" s="3314"/>
      <c r="E33" s="3310"/>
      <c r="F33" s="3310"/>
      <c r="G33" s="3310"/>
    </row>
    <row r="34" spans="1:7" hidden="1">
      <c r="A34" s="1327">
        <v>1</v>
      </c>
      <c r="B34" s="1324" t="s">
        <v>1127</v>
      </c>
      <c r="C34" s="1324"/>
      <c r="D34" s="1324"/>
      <c r="E34" s="3311"/>
      <c r="F34" s="3311"/>
      <c r="G34" s="3311"/>
    </row>
    <row r="35" spans="1:7" hidden="1">
      <c r="A35" s="1327">
        <v>2</v>
      </c>
      <c r="B35" s="1324" t="s">
        <v>1128</v>
      </c>
      <c r="C35" s="1324"/>
      <c r="D35" s="1324"/>
      <c r="E35" s="3311"/>
      <c r="F35" s="3311"/>
      <c r="G35" s="3311"/>
    </row>
    <row r="36" spans="1:7" hidden="1">
      <c r="A36" s="1327">
        <v>3</v>
      </c>
      <c r="B36" s="1324" t="s">
        <v>1129</v>
      </c>
      <c r="C36" s="1324"/>
      <c r="D36" s="1324"/>
      <c r="E36" s="3311"/>
      <c r="F36" s="3311"/>
      <c r="G36" s="3311"/>
    </row>
    <row r="37" spans="1:7" hidden="1">
      <c r="A37" s="1327">
        <v>4</v>
      </c>
      <c r="B37" s="1324" t="s">
        <v>1130</v>
      </c>
      <c r="C37" s="1324"/>
      <c r="D37" s="1324"/>
      <c r="E37" s="3311"/>
      <c r="F37" s="3311"/>
      <c r="G37" s="3311"/>
    </row>
    <row r="38" spans="1:7" hidden="1">
      <c r="A38" s="3312" t="s">
        <v>1131</v>
      </c>
      <c r="B38" s="3313"/>
      <c r="C38" s="3313"/>
      <c r="D38" s="3314"/>
      <c r="E38" s="3310"/>
      <c r="F38" s="3310"/>
      <c r="G38" s="33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582" t="s">
        <v>2526</v>
      </c>
      <c r="C1" s="1633" t="s">
        <v>2527</v>
      </c>
      <c r="D1" s="1620"/>
      <c r="E1" s="2583"/>
      <c r="F1" s="2584" t="s">
        <v>2528</v>
      </c>
      <c r="G1" s="1630" t="s">
        <v>2529</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1390</v>
      </c>
      <c r="B2" s="1417" t="e">
        <f ca="1">IF(C2="——",ROUND(C49*D3/10000,0),ROUND(C49*D3/10000,0)-D2)</f>
        <v>#DIV/0!</v>
      </c>
      <c r="C2" s="2586"/>
      <c r="D2" s="1364" t="e">
        <f ca="1">SUMIF(INDIRECT("'"&amp;F2&amp;"'"&amp;"!A:A"),"承租人权益价值",INDIRECT("'"&amp;F2&amp;"'"&amp;"!c:c"))</f>
        <v>#REF!</v>
      </c>
      <c r="E2" s="2587" t="s">
        <v>2530</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1391</v>
      </c>
      <c r="B3" s="398" t="e">
        <f ca="1">IF(C2="——",C49,ROUND(B2*10000/D3,0))</f>
        <v>#DIV/0!</v>
      </c>
      <c r="C3" s="399" t="s">
        <v>2531</v>
      </c>
      <c r="D3" s="398">
        <f>IF(D1="",'数据-汇总表'!E3,SUMIF('数据-汇总表'!$C19:$C33,D1,'数据-汇总表'!$E19:$E33))</f>
        <v>34740.85</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0" t="s">
        <v>2532</v>
      </c>
      <c r="B4" s="401"/>
      <c r="C4" s="3262" t="s">
        <v>2533</v>
      </c>
      <c r="D4" s="3263"/>
      <c r="E4" s="3264" t="s">
        <v>2534</v>
      </c>
      <c r="F4" s="3265"/>
      <c r="G4" s="3262" t="s">
        <v>2535</v>
      </c>
      <c r="H4" s="3263"/>
      <c r="I4" s="3262" t="s">
        <v>2536</v>
      </c>
      <c r="J4" s="3263"/>
      <c r="K4" s="2596" t="s">
        <v>2537</v>
      </c>
      <c r="L4" s="1129"/>
      <c r="M4" s="1130"/>
      <c r="N4" s="1130"/>
      <c r="O4" s="1130"/>
      <c r="P4" s="3266" t="s">
        <v>2538</v>
      </c>
      <c r="Q4" s="3267"/>
      <c r="R4" s="3248" t="s">
        <v>2534</v>
      </c>
      <c r="S4" s="3249"/>
      <c r="T4" s="3248" t="s">
        <v>2535</v>
      </c>
      <c r="U4" s="3249"/>
      <c r="V4" s="3245" t="s">
        <v>2536</v>
      </c>
      <c r="W4" s="3245"/>
      <c r="X4" s="1812"/>
      <c r="Y4" s="3248" t="s">
        <v>2538</v>
      </c>
      <c r="Z4" s="3249"/>
      <c r="AA4" s="3242" t="s">
        <v>2534</v>
      </c>
      <c r="AB4" s="3242" t="s">
        <v>2535</v>
      </c>
      <c r="AC4" s="3242" t="s">
        <v>2536</v>
      </c>
    </row>
    <row r="5" spans="1:29" ht="15">
      <c r="A5" s="403"/>
      <c r="B5" s="404"/>
      <c r="C5" s="3254" t="s">
        <v>2539</v>
      </c>
      <c r="D5" s="3255"/>
      <c r="E5" s="3315" t="s">
        <v>2540</v>
      </c>
      <c r="F5" s="3253"/>
      <c r="G5" s="3254" t="s">
        <v>2541</v>
      </c>
      <c r="H5" s="3255"/>
      <c r="I5" s="3254" t="s">
        <v>2542</v>
      </c>
      <c r="J5" s="3255"/>
      <c r="K5" s="2597"/>
      <c r="L5" s="1129"/>
      <c r="M5" s="1130"/>
      <c r="N5" s="1130"/>
      <c r="O5" s="1130"/>
      <c r="P5" s="3268"/>
      <c r="Q5" s="3269"/>
      <c r="R5" s="3250"/>
      <c r="S5" s="3251"/>
      <c r="T5" s="3250"/>
      <c r="U5" s="3251"/>
      <c r="V5" s="3245"/>
      <c r="W5" s="3245"/>
      <c r="X5" s="1812"/>
      <c r="Y5" s="3250"/>
      <c r="Z5" s="3251"/>
      <c r="AA5" s="3243"/>
      <c r="AB5" s="3243"/>
      <c r="AC5" s="3243"/>
    </row>
    <row r="6" spans="1:29" ht="15.75" thickBot="1">
      <c r="A6" s="405"/>
      <c r="B6" s="406"/>
      <c r="C6" s="3256" t="s">
        <v>2543</v>
      </c>
      <c r="D6" s="3257"/>
      <c r="E6" s="3259" t="s">
        <v>2543</v>
      </c>
      <c r="F6" s="3260"/>
      <c r="G6" s="3256" t="s">
        <v>2543</v>
      </c>
      <c r="H6" s="3257"/>
      <c r="I6" s="3256" t="s">
        <v>2543</v>
      </c>
      <c r="J6" s="3257"/>
      <c r="K6" s="2597" t="s">
        <v>2544</v>
      </c>
      <c r="L6" s="1129"/>
      <c r="M6" s="1130"/>
      <c r="N6" s="1130"/>
      <c r="O6" s="1130"/>
      <c r="P6" s="3270"/>
      <c r="Q6" s="3271"/>
      <c r="R6" s="3250"/>
      <c r="S6" s="3251"/>
      <c r="T6" s="3272"/>
      <c r="U6" s="3273"/>
      <c r="V6" s="3245"/>
      <c r="W6" s="3245"/>
      <c r="X6" s="1812"/>
      <c r="Y6" s="3272"/>
      <c r="Z6" s="3273"/>
      <c r="AA6" s="3244"/>
      <c r="AB6" s="3244"/>
      <c r="AC6" s="3244"/>
    </row>
    <row r="7" spans="1:29" s="116" customFormat="1" ht="15.75" thickBot="1">
      <c r="A7" s="407" t="s">
        <v>2545</v>
      </c>
      <c r="B7" s="408"/>
      <c r="C7" s="409">
        <f>'数据-取费表'!B2</f>
        <v>43634</v>
      </c>
      <c r="D7" s="410">
        <v>100</v>
      </c>
      <c r="E7" s="411"/>
      <c r="F7" s="412">
        <f>SUMIF(58:58,YEAR(E7)&amp;"-"&amp;MONTH(E7),59:59)</f>
        <v>0</v>
      </c>
      <c r="G7" s="411"/>
      <c r="H7" s="410">
        <f>SUMIF(58:58,YEAR(G7)&amp;"-"&amp;MONTH(G7),59:59)</f>
        <v>0</v>
      </c>
      <c r="I7" s="411"/>
      <c r="J7" s="410">
        <f>SUMIF(58:58,YEAR(I7)&amp;"-"&amp;MONTH(I7),59:59)</f>
        <v>0</v>
      </c>
      <c r="K7" s="2598"/>
      <c r="L7" s="1131"/>
      <c r="M7" s="1132"/>
      <c r="N7" s="1132"/>
      <c r="O7" s="1132"/>
      <c r="P7" s="3246" t="s">
        <v>2546</v>
      </c>
      <c r="Q7" s="3274"/>
      <c r="R7" s="769" t="s">
        <v>23</v>
      </c>
      <c r="S7" s="770">
        <f t="shared" ref="S7:S15" si="0">F7</f>
        <v>0</v>
      </c>
      <c r="T7" s="769" t="s">
        <v>23</v>
      </c>
      <c r="U7" s="770">
        <f t="shared" ref="U7:U15" si="1">H7</f>
        <v>0</v>
      </c>
      <c r="V7" s="769" t="s">
        <v>23</v>
      </c>
      <c r="W7" s="770">
        <f t="shared" ref="W7:W15" si="2">J7</f>
        <v>0</v>
      </c>
      <c r="X7" s="771"/>
      <c r="Y7" s="3246" t="s">
        <v>2546</v>
      </c>
      <c r="Z7" s="3247"/>
      <c r="AA7" s="772" t="e">
        <f>D7/F7</f>
        <v>#DIV/0!</v>
      </c>
      <c r="AB7" s="772" t="e">
        <f>D7/H7</f>
        <v>#DIV/0!</v>
      </c>
      <c r="AC7" s="772" t="e">
        <f>D7/J7</f>
        <v>#DIV/0!</v>
      </c>
    </row>
    <row r="8" spans="1:29" s="116" customFormat="1" ht="15.75" thickBot="1">
      <c r="A8" s="407" t="s">
        <v>2547</v>
      </c>
      <c r="B8" s="408"/>
      <c r="C8" s="413" t="s">
        <v>2548</v>
      </c>
      <c r="D8" s="410">
        <v>100</v>
      </c>
      <c r="E8" s="2599"/>
      <c r="F8" s="412">
        <f>SUMIF(61:61,E8,62:62)-SUMIF(61:61,C8,62:62)+100</f>
        <v>0</v>
      </c>
      <c r="G8" s="413"/>
      <c r="H8" s="410">
        <f>SUMIF(61:61,G8,62:62)-SUMIF(61:61,C8,62:62)+100</f>
        <v>0</v>
      </c>
      <c r="I8" s="2599"/>
      <c r="J8" s="410">
        <f>SUMIF(61:61,I8,62:62)-SUMIF(61:61,C8,62:62)+100</f>
        <v>0</v>
      </c>
      <c r="K8" s="2598"/>
      <c r="L8" s="1131"/>
      <c r="M8" s="1132"/>
      <c r="N8" s="1132"/>
      <c r="O8" s="1132"/>
      <c r="P8" s="3246" t="s">
        <v>2549</v>
      </c>
      <c r="Q8" s="3247"/>
      <c r="R8" s="769" t="s">
        <v>23</v>
      </c>
      <c r="S8" s="770">
        <f t="shared" si="0"/>
        <v>0</v>
      </c>
      <c r="T8" s="769" t="s">
        <v>23</v>
      </c>
      <c r="U8" s="770">
        <f t="shared" si="1"/>
        <v>0</v>
      </c>
      <c r="V8" s="769" t="s">
        <v>23</v>
      </c>
      <c r="W8" s="770">
        <f t="shared" si="2"/>
        <v>0</v>
      </c>
      <c r="X8" s="771"/>
      <c r="Y8" s="3246" t="s">
        <v>2549</v>
      </c>
      <c r="Z8" s="3247"/>
      <c r="AA8" s="772" t="e">
        <f t="shared" ref="AA8:AA19" si="3">D8/F8</f>
        <v>#DIV/0!</v>
      </c>
      <c r="AB8" s="772" t="e">
        <f t="shared" ref="AB8:AB19" si="4">D8/H8</f>
        <v>#DIV/0!</v>
      </c>
      <c r="AC8" s="772" t="e">
        <f t="shared" ref="AC8:AC19" si="5">D8/J8</f>
        <v>#DIV/0!</v>
      </c>
    </row>
    <row r="9" spans="1:29" s="116" customFormat="1">
      <c r="A9" s="414" t="s">
        <v>2550</v>
      </c>
      <c r="B9" s="71" t="s">
        <v>2551</v>
      </c>
      <c r="C9" s="415"/>
      <c r="D9" s="134">
        <v>100</v>
      </c>
      <c r="E9" s="416"/>
      <c r="F9" s="417">
        <f>SUMIF(63:63,E9,64:64)-SUMIF(63:63,C9,64:64)+100</f>
        <v>100</v>
      </c>
      <c r="G9" s="418"/>
      <c r="H9" s="134">
        <f>SUMIF(63:63,G9,64:64)-SUMIF(63:63,C9,64:64)+100</f>
        <v>100</v>
      </c>
      <c r="I9" s="418"/>
      <c r="J9" s="134">
        <f>SUMIF(63:63,I9,64:64)-SUMIF(63:63,C9,64:64)+100</f>
        <v>100</v>
      </c>
      <c r="K9" s="2598"/>
      <c r="L9" s="1131"/>
      <c r="M9" s="1132"/>
      <c r="N9" s="1132"/>
      <c r="O9" s="1132"/>
      <c r="P9" s="3261" t="s">
        <v>2552</v>
      </c>
      <c r="Q9" s="1794" t="str">
        <f t="shared" ref="Q9:Q15" si="6">B9</f>
        <v>用途</v>
      </c>
      <c r="R9" s="769" t="s">
        <v>17</v>
      </c>
      <c r="S9" s="770">
        <f t="shared" si="0"/>
        <v>100</v>
      </c>
      <c r="T9" s="769" t="s">
        <v>17</v>
      </c>
      <c r="U9" s="770">
        <f t="shared" si="1"/>
        <v>100</v>
      </c>
      <c r="V9" s="769" t="s">
        <v>17</v>
      </c>
      <c r="W9" s="770">
        <f t="shared" si="2"/>
        <v>100</v>
      </c>
      <c r="X9" s="771"/>
      <c r="Y9" s="3114"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61"/>
      <c r="Q10" s="1794" t="str">
        <f t="shared" si="6"/>
        <v>土地使用年限（年）</v>
      </c>
      <c r="R10" s="769" t="s">
        <v>17</v>
      </c>
      <c r="S10" s="770">
        <f t="shared" si="0"/>
        <v>100</v>
      </c>
      <c r="T10" s="769" t="s">
        <v>17</v>
      </c>
      <c r="U10" s="770">
        <f t="shared" si="1"/>
        <v>100</v>
      </c>
      <c r="V10" s="769" t="s">
        <v>17</v>
      </c>
      <c r="W10" s="770">
        <f t="shared" si="2"/>
        <v>100</v>
      </c>
      <c r="X10" s="771"/>
      <c r="Y10" s="3114"/>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61"/>
      <c r="Q11" s="1794" t="str">
        <f t="shared" si="6"/>
        <v>容积率</v>
      </c>
      <c r="R11" s="769" t="s">
        <v>21</v>
      </c>
      <c r="S11" s="770" t="e">
        <f t="shared" si="0"/>
        <v>#N/A</v>
      </c>
      <c r="T11" s="769" t="s">
        <v>21</v>
      </c>
      <c r="U11" s="770" t="e">
        <f t="shared" si="1"/>
        <v>#N/A</v>
      </c>
      <c r="V11" s="769" t="s">
        <v>21</v>
      </c>
      <c r="W11" s="770" t="e">
        <f t="shared" si="2"/>
        <v>#N/A</v>
      </c>
      <c r="X11" s="771"/>
      <c r="Y11" s="3114"/>
      <c r="Z11" s="55" t="str">
        <f t="shared" si="7"/>
        <v>容积率</v>
      </c>
      <c r="AA11" s="772" t="e">
        <f t="shared" si="3"/>
        <v>#N/A</v>
      </c>
      <c r="AB11" s="772" t="e">
        <f t="shared" si="4"/>
        <v>#N/A</v>
      </c>
      <c r="AC11" s="772"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61"/>
      <c r="Q12" s="1794">
        <f t="shared" si="6"/>
        <v>111</v>
      </c>
      <c r="R12" s="769" t="s">
        <v>21</v>
      </c>
      <c r="S12" s="770">
        <f t="shared" si="0"/>
        <v>100</v>
      </c>
      <c r="T12" s="769" t="s">
        <v>21</v>
      </c>
      <c r="U12" s="770">
        <f t="shared" si="1"/>
        <v>100</v>
      </c>
      <c r="V12" s="769" t="s">
        <v>21</v>
      </c>
      <c r="W12" s="770">
        <f t="shared" si="2"/>
        <v>100</v>
      </c>
      <c r="X12" s="771"/>
      <c r="Y12" s="3114"/>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61"/>
      <c r="Q13" s="1794">
        <f t="shared" si="6"/>
        <v>111</v>
      </c>
      <c r="R13" s="769" t="s">
        <v>21</v>
      </c>
      <c r="S13" s="770">
        <f t="shared" si="0"/>
        <v>100</v>
      </c>
      <c r="T13" s="769" t="s">
        <v>21</v>
      </c>
      <c r="U13" s="770">
        <f t="shared" si="1"/>
        <v>100</v>
      </c>
      <c r="V13" s="769" t="s">
        <v>21</v>
      </c>
      <c r="W13" s="770">
        <f t="shared" si="2"/>
        <v>100</v>
      </c>
      <c r="X13" s="771"/>
      <c r="Y13" s="3114"/>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61"/>
      <c r="Q14" s="1794">
        <f t="shared" si="6"/>
        <v>111</v>
      </c>
      <c r="R14" s="769" t="s">
        <v>21</v>
      </c>
      <c r="S14" s="770">
        <f t="shared" si="0"/>
        <v>100</v>
      </c>
      <c r="T14" s="769" t="s">
        <v>21</v>
      </c>
      <c r="U14" s="770">
        <f t="shared" si="1"/>
        <v>100</v>
      </c>
      <c r="V14" s="769" t="s">
        <v>21</v>
      </c>
      <c r="W14" s="770">
        <f t="shared" si="2"/>
        <v>100</v>
      </c>
      <c r="X14" s="771"/>
      <c r="Y14" s="3114"/>
      <c r="Z14" s="55">
        <f t="shared" si="7"/>
        <v>111</v>
      </c>
      <c r="AA14" s="772">
        <f t="shared" si="3"/>
        <v>1</v>
      </c>
      <c r="AB14" s="772">
        <f t="shared" si="4"/>
        <v>1</v>
      </c>
      <c r="AC14" s="772">
        <f t="shared" si="5"/>
        <v>1</v>
      </c>
    </row>
    <row r="15" spans="1:29" ht="99.75">
      <c r="A15" s="439" t="s">
        <v>2556</v>
      </c>
      <c r="B15" s="69" t="s">
        <v>2085</v>
      </c>
      <c r="C15" s="2603">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75" t="s">
        <v>2557</v>
      </c>
      <c r="Q15" s="1809" t="str">
        <f t="shared" si="6"/>
        <v>居住社区成熟度</v>
      </c>
      <c r="R15" s="773" t="s">
        <v>21</v>
      </c>
      <c r="S15" s="774">
        <f t="shared" si="0"/>
        <v>100</v>
      </c>
      <c r="T15" s="773" t="s">
        <v>21</v>
      </c>
      <c r="U15" s="774">
        <f t="shared" si="1"/>
        <v>100</v>
      </c>
      <c r="V15" s="773" t="s">
        <v>21</v>
      </c>
      <c r="W15" s="774">
        <f t="shared" si="2"/>
        <v>100</v>
      </c>
      <c r="X15" s="1812"/>
      <c r="Y15" s="3277" t="s">
        <v>2557</v>
      </c>
      <c r="Z15" s="1813" t="str">
        <f t="shared" si="7"/>
        <v>居住社区成熟度</v>
      </c>
      <c r="AA15" s="1810">
        <f t="shared" si="3"/>
        <v>1</v>
      </c>
      <c r="AB15" s="1810">
        <f t="shared" si="4"/>
        <v>1</v>
      </c>
      <c r="AC15" s="1810">
        <f t="shared" si="5"/>
        <v>1</v>
      </c>
    </row>
    <row r="16" spans="1:29" ht="15">
      <c r="A16" s="427"/>
      <c r="B16" s="445"/>
      <c r="C16" s="446"/>
      <c r="D16" s="447"/>
      <c r="E16" s="2604"/>
      <c r="F16" s="447"/>
      <c r="G16" s="2605"/>
      <c r="H16" s="449"/>
      <c r="I16" s="2605"/>
      <c r="J16" s="447"/>
      <c r="K16" s="2606"/>
      <c r="L16" s="1139"/>
      <c r="M16" s="1130"/>
      <c r="N16" s="1130"/>
      <c r="O16" s="1130"/>
      <c r="P16" s="3276"/>
      <c r="Q16" s="1809"/>
      <c r="R16" s="773"/>
      <c r="S16" s="774"/>
      <c r="T16" s="773"/>
      <c r="U16" s="774"/>
      <c r="V16" s="773"/>
      <c r="W16" s="774"/>
      <c r="X16" s="1812"/>
      <c r="Y16" s="3278"/>
      <c r="Z16" s="1813"/>
      <c r="AA16" s="1810">
        <v>1</v>
      </c>
      <c r="AB16" s="1810">
        <v>1</v>
      </c>
      <c r="AC16" s="1810">
        <v>1</v>
      </c>
    </row>
    <row r="17" spans="1:29" ht="85.5">
      <c r="A17" s="427"/>
      <c r="B17" s="450" t="s">
        <v>2094</v>
      </c>
      <c r="C17" s="2607"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76"/>
      <c r="Q17" s="1809" t="str">
        <f>B17</f>
        <v>交通便捷度</v>
      </c>
      <c r="R17" s="773" t="s">
        <v>21</v>
      </c>
      <c r="S17" s="774">
        <f>F17</f>
        <v>100</v>
      </c>
      <c r="T17" s="773" t="s">
        <v>21</v>
      </c>
      <c r="U17" s="774">
        <f>H17</f>
        <v>100</v>
      </c>
      <c r="V17" s="773" t="s">
        <v>21</v>
      </c>
      <c r="W17" s="774">
        <f>J17</f>
        <v>100</v>
      </c>
      <c r="X17" s="1812"/>
      <c r="Y17" s="3278"/>
      <c r="Z17" s="1813" t="str">
        <f>Q17</f>
        <v>交通便捷度</v>
      </c>
      <c r="AA17" s="1810">
        <f t="shared" si="3"/>
        <v>1</v>
      </c>
      <c r="AB17" s="1810">
        <f t="shared" si="4"/>
        <v>1</v>
      </c>
      <c r="AC17" s="1810">
        <f t="shared" si="5"/>
        <v>1</v>
      </c>
    </row>
    <row r="18" spans="1:29" ht="15">
      <c r="A18" s="427"/>
      <c r="B18" s="455"/>
      <c r="C18" s="2608"/>
      <c r="D18" s="449"/>
      <c r="E18" s="2609"/>
      <c r="F18" s="449"/>
      <c r="G18" s="2610"/>
      <c r="H18" s="447"/>
      <c r="I18" s="2610"/>
      <c r="J18" s="447"/>
      <c r="K18" s="2606"/>
      <c r="L18" s="1139"/>
      <c r="M18" s="1130"/>
      <c r="N18" s="1130"/>
      <c r="O18" s="1130"/>
      <c r="P18" s="3276"/>
      <c r="Q18" s="1809"/>
      <c r="R18" s="773"/>
      <c r="S18" s="774"/>
      <c r="T18" s="773"/>
      <c r="U18" s="774"/>
      <c r="V18" s="773"/>
      <c r="W18" s="774"/>
      <c r="X18" s="1812"/>
      <c r="Y18" s="3278"/>
      <c r="Z18" s="1813"/>
      <c r="AA18" s="1810">
        <v>1</v>
      </c>
      <c r="AB18" s="1810">
        <v>1</v>
      </c>
      <c r="AC18" s="1810">
        <v>1</v>
      </c>
    </row>
    <row r="19" spans="1:29" ht="42.75">
      <c r="A19" s="427"/>
      <c r="B19" s="450" t="s">
        <v>2092</v>
      </c>
      <c r="C19" s="2607"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76"/>
      <c r="Q19" s="1809" t="str">
        <f>B19</f>
        <v>公共配套设施</v>
      </c>
      <c r="R19" s="773" t="s">
        <v>21</v>
      </c>
      <c r="S19" s="774">
        <f>F19</f>
        <v>100</v>
      </c>
      <c r="T19" s="773" t="s">
        <v>21</v>
      </c>
      <c r="U19" s="774">
        <f>H19</f>
        <v>100</v>
      </c>
      <c r="V19" s="773" t="s">
        <v>21</v>
      </c>
      <c r="W19" s="774">
        <f>J19</f>
        <v>100</v>
      </c>
      <c r="X19" s="1812"/>
      <c r="Y19" s="3278"/>
      <c r="Z19" s="1813" t="str">
        <f>Q19</f>
        <v>公共配套设施</v>
      </c>
      <c r="AA19" s="1810">
        <f t="shared" si="3"/>
        <v>1</v>
      </c>
      <c r="AB19" s="1810">
        <f t="shared" si="4"/>
        <v>1</v>
      </c>
      <c r="AC19" s="1810">
        <f t="shared" si="5"/>
        <v>1</v>
      </c>
    </row>
    <row r="20" spans="1:29" ht="15">
      <c r="A20" s="427"/>
      <c r="B20" s="455"/>
      <c r="C20" s="446"/>
      <c r="D20" s="447"/>
      <c r="E20" s="2604"/>
      <c r="F20" s="447"/>
      <c r="G20" s="2605"/>
      <c r="H20" s="447"/>
      <c r="I20" s="2605"/>
      <c r="J20" s="447"/>
      <c r="K20" s="2606"/>
      <c r="L20" s="1139"/>
      <c r="M20" s="1130"/>
      <c r="N20" s="1130"/>
      <c r="O20" s="1130"/>
      <c r="P20" s="3276"/>
      <c r="Q20" s="1809"/>
      <c r="R20" s="773"/>
      <c r="S20" s="774"/>
      <c r="T20" s="773"/>
      <c r="U20" s="774"/>
      <c r="V20" s="773"/>
      <c r="W20" s="774"/>
      <c r="X20" s="1812"/>
      <c r="Y20" s="3278"/>
      <c r="Z20" s="1813"/>
      <c r="AA20" s="1810">
        <v>1</v>
      </c>
      <c r="AB20" s="1810">
        <v>1</v>
      </c>
      <c r="AC20" s="1810">
        <v>1</v>
      </c>
    </row>
    <row r="21" spans="1:29" ht="28.5">
      <c r="A21" s="427"/>
      <c r="B21" s="1383" t="s">
        <v>2095</v>
      </c>
      <c r="C21" s="2607"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76"/>
      <c r="Q21" s="1809" t="str">
        <f>B21</f>
        <v>基础设施水平</v>
      </c>
      <c r="R21" s="773" t="s">
        <v>17</v>
      </c>
      <c r="S21" s="774">
        <f>F21</f>
        <v>100</v>
      </c>
      <c r="T21" s="773" t="s">
        <v>17</v>
      </c>
      <c r="U21" s="774">
        <f>H21</f>
        <v>100</v>
      </c>
      <c r="V21" s="773" t="s">
        <v>17</v>
      </c>
      <c r="W21" s="774">
        <f>J21</f>
        <v>100</v>
      </c>
      <c r="X21" s="1812"/>
      <c r="Y21" s="3278"/>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7"/>
      <c r="G22" s="2611"/>
      <c r="H22" s="447"/>
      <c r="I22" s="446"/>
      <c r="J22" s="447"/>
      <c r="K22" s="2612"/>
      <c r="L22" s="1139"/>
      <c r="M22" s="1130"/>
      <c r="N22" s="1130"/>
      <c r="O22" s="1130"/>
      <c r="P22" s="3276"/>
      <c r="Q22" s="1809"/>
      <c r="R22" s="773"/>
      <c r="S22" s="774"/>
      <c r="T22" s="773"/>
      <c r="U22" s="774"/>
      <c r="V22" s="773"/>
      <c r="W22" s="774"/>
      <c r="X22" s="1812"/>
      <c r="Y22" s="3278"/>
      <c r="Z22" s="1813"/>
      <c r="AA22" s="1810">
        <v>1</v>
      </c>
      <c r="AB22" s="1810">
        <v>1</v>
      </c>
      <c r="AC22" s="1810">
        <v>1</v>
      </c>
    </row>
    <row r="23" spans="1:29" ht="57">
      <c r="A23" s="427"/>
      <c r="B23" s="450" t="s">
        <v>2099</v>
      </c>
      <c r="C23" s="2607" t="str">
        <f>估价对象房地状况!C9</f>
        <v>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76"/>
      <c r="Q23" s="1809" t="str">
        <f>B23</f>
        <v>自然及人文环境</v>
      </c>
      <c r="R23" s="773" t="s">
        <v>21</v>
      </c>
      <c r="S23" s="774">
        <f>F23</f>
        <v>100</v>
      </c>
      <c r="T23" s="773" t="s">
        <v>21</v>
      </c>
      <c r="U23" s="774">
        <f>H23</f>
        <v>100</v>
      </c>
      <c r="V23" s="773" t="s">
        <v>21</v>
      </c>
      <c r="W23" s="774">
        <f>J23</f>
        <v>100</v>
      </c>
      <c r="X23" s="1812"/>
      <c r="Y23" s="3278"/>
      <c r="Z23" s="1813" t="str">
        <f>Q23</f>
        <v>自然及人文环境</v>
      </c>
      <c r="AA23" s="1810">
        <f>D23/F23</f>
        <v>1</v>
      </c>
      <c r="AB23" s="1810">
        <f>D23/H23</f>
        <v>1</v>
      </c>
      <c r="AC23" s="1810">
        <f>D23/J23</f>
        <v>1</v>
      </c>
    </row>
    <row r="24" spans="1:29" ht="15">
      <c r="A24" s="427"/>
      <c r="B24" s="455"/>
      <c r="C24" s="446"/>
      <c r="D24" s="447"/>
      <c r="E24" s="2604"/>
      <c r="F24" s="447"/>
      <c r="G24" s="2605"/>
      <c r="H24" s="447"/>
      <c r="I24" s="2605"/>
      <c r="J24" s="447"/>
      <c r="K24" s="2606"/>
      <c r="L24" s="1139"/>
      <c r="M24" s="1130"/>
      <c r="N24" s="1130"/>
      <c r="O24" s="1130"/>
      <c r="P24" s="3276"/>
      <c r="Q24" s="1809"/>
      <c r="R24" s="773"/>
      <c r="S24" s="774"/>
      <c r="T24" s="773"/>
      <c r="U24" s="774"/>
      <c r="V24" s="773"/>
      <c r="W24" s="774"/>
      <c r="X24" s="1812"/>
      <c r="Y24" s="3278"/>
      <c r="Z24" s="1813"/>
      <c r="AA24" s="1810">
        <v>1</v>
      </c>
      <c r="AB24" s="1810">
        <v>1</v>
      </c>
      <c r="AC24" s="1810">
        <v>1</v>
      </c>
    </row>
    <row r="25" spans="1:29" ht="15">
      <c r="A25" s="427"/>
      <c r="B25" s="421" t="s">
        <v>2558</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276"/>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78"/>
      <c r="Z25" s="1813" t="str">
        <f>Q25</f>
        <v>楼层-1</v>
      </c>
      <c r="AA25" s="1810">
        <f t="shared" ref="AA25:AA46" si="15">D25/F25</f>
        <v>1</v>
      </c>
      <c r="AB25" s="1810">
        <f t="shared" ref="AB25:AB46" si="16">D25/H25</f>
        <v>1</v>
      </c>
      <c r="AC25" s="1810">
        <f t="shared" ref="AC25:AC46" si="17">D25/J25</f>
        <v>1</v>
      </c>
    </row>
    <row r="26" spans="1:29" ht="15">
      <c r="A26" s="427"/>
      <c r="B26" s="421" t="s">
        <v>2559</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276"/>
      <c r="Q26" s="1809" t="str">
        <f t="shared" si="11"/>
        <v>朝向</v>
      </c>
      <c r="R26" s="773" t="s">
        <v>21</v>
      </c>
      <c r="S26" s="774">
        <f t="shared" si="12"/>
        <v>100</v>
      </c>
      <c r="T26" s="773" t="s">
        <v>21</v>
      </c>
      <c r="U26" s="774">
        <f t="shared" si="13"/>
        <v>100</v>
      </c>
      <c r="V26" s="773" t="s">
        <v>21</v>
      </c>
      <c r="W26" s="774">
        <f t="shared" si="14"/>
        <v>100</v>
      </c>
      <c r="X26" s="1812"/>
      <c r="Y26" s="3278"/>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276"/>
      <c r="Q27" s="1794">
        <f t="shared" si="11"/>
        <v>111</v>
      </c>
      <c r="R27" s="769" t="s">
        <v>21</v>
      </c>
      <c r="S27" s="770">
        <f t="shared" si="12"/>
        <v>100</v>
      </c>
      <c r="T27" s="769" t="s">
        <v>21</v>
      </c>
      <c r="U27" s="770">
        <f t="shared" si="13"/>
        <v>100</v>
      </c>
      <c r="V27" s="769" t="s">
        <v>21</v>
      </c>
      <c r="W27" s="770">
        <f t="shared" si="14"/>
        <v>100</v>
      </c>
      <c r="X27" s="771"/>
      <c r="Y27" s="3278"/>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276"/>
      <c r="Q28" s="1809">
        <f t="shared" si="11"/>
        <v>111</v>
      </c>
      <c r="R28" s="773" t="s">
        <v>21</v>
      </c>
      <c r="S28" s="774">
        <f t="shared" si="12"/>
        <v>100</v>
      </c>
      <c r="T28" s="773" t="s">
        <v>21</v>
      </c>
      <c r="U28" s="774">
        <f t="shared" si="13"/>
        <v>100</v>
      </c>
      <c r="V28" s="773" t="s">
        <v>21</v>
      </c>
      <c r="W28" s="774">
        <f t="shared" si="14"/>
        <v>100</v>
      </c>
      <c r="X28" s="1812"/>
      <c r="Y28" s="3278"/>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276"/>
      <c r="Q29" s="1809">
        <f t="shared" si="11"/>
        <v>111</v>
      </c>
      <c r="R29" s="773" t="s">
        <v>21</v>
      </c>
      <c r="S29" s="774">
        <f t="shared" si="12"/>
        <v>100</v>
      </c>
      <c r="T29" s="773" t="s">
        <v>21</v>
      </c>
      <c r="U29" s="774">
        <f t="shared" si="13"/>
        <v>100</v>
      </c>
      <c r="V29" s="773" t="s">
        <v>21</v>
      </c>
      <c r="W29" s="774">
        <f t="shared" si="14"/>
        <v>100</v>
      </c>
      <c r="X29" s="1812"/>
      <c r="Y29" s="3278"/>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276"/>
      <c r="Q30" s="1809">
        <f t="shared" si="11"/>
        <v>111</v>
      </c>
      <c r="R30" s="773" t="s">
        <v>21</v>
      </c>
      <c r="S30" s="774">
        <f t="shared" si="12"/>
        <v>100</v>
      </c>
      <c r="T30" s="773" t="s">
        <v>21</v>
      </c>
      <c r="U30" s="774">
        <f t="shared" si="13"/>
        <v>100</v>
      </c>
      <c r="V30" s="773" t="s">
        <v>21</v>
      </c>
      <c r="W30" s="774">
        <f t="shared" si="14"/>
        <v>100</v>
      </c>
      <c r="X30" s="1812"/>
      <c r="Y30" s="3278"/>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276"/>
      <c r="Q31" s="1809">
        <f t="shared" si="11"/>
        <v>111</v>
      </c>
      <c r="R31" s="773" t="s">
        <v>21</v>
      </c>
      <c r="S31" s="774">
        <f t="shared" si="12"/>
        <v>100</v>
      </c>
      <c r="T31" s="773" t="s">
        <v>21</v>
      </c>
      <c r="U31" s="774">
        <f t="shared" si="13"/>
        <v>100</v>
      </c>
      <c r="V31" s="773" t="s">
        <v>21</v>
      </c>
      <c r="W31" s="774">
        <f t="shared" si="14"/>
        <v>100</v>
      </c>
      <c r="X31" s="1812"/>
      <c r="Y31" s="3278"/>
      <c r="Z31" s="1813">
        <f t="shared" si="18"/>
        <v>111</v>
      </c>
      <c r="AA31" s="1810">
        <f t="shared" si="15"/>
        <v>1</v>
      </c>
      <c r="AB31" s="1810">
        <f t="shared" si="16"/>
        <v>1</v>
      </c>
      <c r="AC31" s="1810">
        <f t="shared" si="17"/>
        <v>1</v>
      </c>
    </row>
    <row r="32" spans="1:29" ht="15">
      <c r="A32" s="439" t="s">
        <v>2560</v>
      </c>
      <c r="B32" s="71" t="s">
        <v>2561</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39"/>
      <c r="M32" s="1130"/>
      <c r="N32" s="1130"/>
      <c r="O32" s="1130"/>
      <c r="P32" s="3279" t="s">
        <v>2562</v>
      </c>
      <c r="Q32" s="1809" t="str">
        <f t="shared" si="11"/>
        <v>建筑类型</v>
      </c>
      <c r="R32" s="773" t="s">
        <v>21</v>
      </c>
      <c r="S32" s="774">
        <f t="shared" si="12"/>
        <v>100</v>
      </c>
      <c r="T32" s="773" t="s">
        <v>21</v>
      </c>
      <c r="U32" s="774">
        <f t="shared" si="13"/>
        <v>100</v>
      </c>
      <c r="V32" s="773" t="s">
        <v>21</v>
      </c>
      <c r="W32" s="774">
        <f t="shared" si="14"/>
        <v>100</v>
      </c>
      <c r="X32" s="1812"/>
      <c r="Y32" s="3282" t="s">
        <v>2562</v>
      </c>
      <c r="Z32" s="1813" t="str">
        <f t="shared" si="18"/>
        <v>建筑类型</v>
      </c>
      <c r="AA32" s="1810">
        <f t="shared" si="15"/>
        <v>1</v>
      </c>
      <c r="AB32" s="1810">
        <f t="shared" si="16"/>
        <v>1</v>
      </c>
      <c r="AC32" s="1810">
        <f t="shared" si="17"/>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37"/>
      <c r="M33" s="1140"/>
      <c r="N33" s="1140"/>
      <c r="O33" s="1140"/>
      <c r="P33" s="3280"/>
      <c r="Q33" s="775" t="str">
        <f t="shared" si="11"/>
        <v>项目建筑规模</v>
      </c>
      <c r="R33" s="776" t="s">
        <v>21</v>
      </c>
      <c r="S33" s="777" t="e">
        <f t="shared" si="12"/>
        <v>#N/A</v>
      </c>
      <c r="T33" s="776" t="s">
        <v>21</v>
      </c>
      <c r="U33" s="777" t="e">
        <f t="shared" si="13"/>
        <v>#N/A</v>
      </c>
      <c r="V33" s="776" t="s">
        <v>21</v>
      </c>
      <c r="W33" s="777" t="e">
        <f t="shared" si="14"/>
        <v>#N/A</v>
      </c>
      <c r="X33" s="778"/>
      <c r="Y33" s="3282"/>
      <c r="Z33" s="779" t="str">
        <f t="shared" si="18"/>
        <v>项目建筑规模</v>
      </c>
      <c r="AA33" s="1810" t="e">
        <f t="shared" si="15"/>
        <v>#N/A</v>
      </c>
      <c r="AB33" s="1810" t="e">
        <f t="shared" si="16"/>
        <v>#N/A</v>
      </c>
      <c r="AC33" s="1810" t="e">
        <f t="shared" si="17"/>
        <v>#N/A</v>
      </c>
    </row>
    <row r="34" spans="1:29" ht="15">
      <c r="A34" s="471"/>
      <c r="B34" s="421" t="s">
        <v>2564</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39"/>
      <c r="M34" s="1130"/>
      <c r="N34" s="1130"/>
      <c r="O34" s="1130"/>
      <c r="P34" s="3280"/>
      <c r="Q34" s="1809" t="str">
        <f t="shared" si="11"/>
        <v>建筑结构</v>
      </c>
      <c r="R34" s="773" t="s">
        <v>21</v>
      </c>
      <c r="S34" s="774">
        <f t="shared" si="12"/>
        <v>100</v>
      </c>
      <c r="T34" s="773" t="s">
        <v>21</v>
      </c>
      <c r="U34" s="774">
        <f t="shared" si="13"/>
        <v>100</v>
      </c>
      <c r="V34" s="773" t="s">
        <v>21</v>
      </c>
      <c r="W34" s="774">
        <f t="shared" si="14"/>
        <v>100</v>
      </c>
      <c r="X34" s="1812"/>
      <c r="Y34" s="3282"/>
      <c r="Z34" s="1813" t="str">
        <f t="shared" si="18"/>
        <v>建筑结构</v>
      </c>
      <c r="AA34" s="1810">
        <f t="shared" si="15"/>
        <v>1</v>
      </c>
      <c r="AB34" s="1810">
        <f t="shared" si="16"/>
        <v>1</v>
      </c>
      <c r="AC34" s="1810">
        <f t="shared" si="17"/>
        <v>1</v>
      </c>
    </row>
    <row r="35" spans="1:29" ht="15">
      <c r="A35" s="471"/>
      <c r="B35" s="421" t="s">
        <v>2565</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39"/>
      <c r="M35" s="1130"/>
      <c r="N35" s="1130"/>
      <c r="O35" s="1130"/>
      <c r="P35" s="3280"/>
      <c r="Q35" s="1809" t="str">
        <f t="shared" si="11"/>
        <v>建筑品质</v>
      </c>
      <c r="R35" s="773" t="s">
        <v>21</v>
      </c>
      <c r="S35" s="774">
        <f t="shared" si="12"/>
        <v>100</v>
      </c>
      <c r="T35" s="773" t="s">
        <v>21</v>
      </c>
      <c r="U35" s="774">
        <f t="shared" si="13"/>
        <v>100</v>
      </c>
      <c r="V35" s="773" t="s">
        <v>21</v>
      </c>
      <c r="W35" s="774">
        <f t="shared" si="14"/>
        <v>100</v>
      </c>
      <c r="X35" s="1812"/>
      <c r="Y35" s="3282"/>
      <c r="Z35" s="1813" t="str">
        <f t="shared" si="18"/>
        <v>建筑品质</v>
      </c>
      <c r="AA35" s="1810">
        <f t="shared" si="15"/>
        <v>1</v>
      </c>
      <c r="AB35" s="1810">
        <f t="shared" si="16"/>
        <v>1</v>
      </c>
      <c r="AC35" s="1810">
        <f t="shared" si="17"/>
        <v>1</v>
      </c>
    </row>
    <row r="36" spans="1:29" ht="15">
      <c r="A36" s="471"/>
      <c r="B36" s="421" t="s">
        <v>2566</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39"/>
      <c r="M36" s="1130"/>
      <c r="N36" s="1130"/>
      <c r="O36" s="1130"/>
      <c r="P36" s="3280"/>
      <c r="Q36" s="1809" t="str">
        <f t="shared" si="11"/>
        <v>公共部分装修</v>
      </c>
      <c r="R36" s="773" t="s">
        <v>21</v>
      </c>
      <c r="S36" s="774">
        <f t="shared" si="12"/>
        <v>100</v>
      </c>
      <c r="T36" s="773" t="s">
        <v>21</v>
      </c>
      <c r="U36" s="774">
        <f t="shared" si="13"/>
        <v>100</v>
      </c>
      <c r="V36" s="773" t="s">
        <v>21</v>
      </c>
      <c r="W36" s="774">
        <f t="shared" si="14"/>
        <v>100</v>
      </c>
      <c r="X36" s="1812"/>
      <c r="Y36" s="3282"/>
      <c r="Z36" s="1813" t="str">
        <f t="shared" si="18"/>
        <v>公共部分装修</v>
      </c>
      <c r="AA36" s="1810">
        <f t="shared" si="15"/>
        <v>1</v>
      </c>
      <c r="AB36" s="1810">
        <f t="shared" si="16"/>
        <v>1</v>
      </c>
      <c r="AC36" s="1810">
        <f t="shared" si="17"/>
        <v>1</v>
      </c>
    </row>
    <row r="37" spans="1:29" s="116" customFormat="1" ht="15">
      <c r="A37" s="472"/>
      <c r="B37" s="421" t="s">
        <v>2567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80"/>
      <c r="Q37" s="1794" t="str">
        <f t="shared" si="11"/>
        <v>成新度</v>
      </c>
      <c r="R37" s="769" t="s">
        <v>21</v>
      </c>
      <c r="S37" s="770" t="e">
        <f t="shared" si="12"/>
        <v>#N/A</v>
      </c>
      <c r="T37" s="769" t="s">
        <v>21</v>
      </c>
      <c r="U37" s="770" t="e">
        <f t="shared" si="13"/>
        <v>#N/A</v>
      </c>
      <c r="V37" s="769" t="s">
        <v>21</v>
      </c>
      <c r="W37" s="770" t="e">
        <f t="shared" si="14"/>
        <v>#N/A</v>
      </c>
      <c r="X37" s="771"/>
      <c r="Y37" s="3282"/>
      <c r="Z37" s="55" t="str">
        <f t="shared" si="18"/>
        <v>成新度</v>
      </c>
      <c r="AA37" s="772" t="e">
        <f t="shared" si="15"/>
        <v>#N/A</v>
      </c>
      <c r="AB37" s="772" t="e">
        <f t="shared" si="16"/>
        <v>#N/A</v>
      </c>
      <c r="AC37" s="772" t="e">
        <f t="shared" si="17"/>
        <v>#N/A</v>
      </c>
    </row>
    <row r="38" spans="1:29" ht="15">
      <c r="A38" s="471"/>
      <c r="B38" s="421" t="s">
        <v>2568</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39"/>
      <c r="M38" s="1130"/>
      <c r="N38" s="1130"/>
      <c r="O38" s="1130"/>
      <c r="P38" s="3280" t="s">
        <v>2562</v>
      </c>
      <c r="Q38" s="1809" t="str">
        <f t="shared" si="11"/>
        <v>物业管理</v>
      </c>
      <c r="R38" s="773" t="s">
        <v>21</v>
      </c>
      <c r="S38" s="774">
        <f t="shared" si="12"/>
        <v>100</v>
      </c>
      <c r="T38" s="773" t="s">
        <v>21</v>
      </c>
      <c r="U38" s="774">
        <f t="shared" si="13"/>
        <v>100</v>
      </c>
      <c r="V38" s="773" t="s">
        <v>21</v>
      </c>
      <c r="W38" s="774">
        <f t="shared" si="14"/>
        <v>100</v>
      </c>
      <c r="X38" s="1812"/>
      <c r="Y38" s="3282" t="s">
        <v>2562</v>
      </c>
      <c r="Z38" s="1813" t="str">
        <f t="shared" si="18"/>
        <v>物业管理</v>
      </c>
      <c r="AA38" s="1810">
        <f t="shared" si="15"/>
        <v>1</v>
      </c>
      <c r="AB38" s="1810">
        <f t="shared" si="16"/>
        <v>1</v>
      </c>
      <c r="AC38" s="1810">
        <f t="shared" si="17"/>
        <v>1</v>
      </c>
    </row>
    <row r="39" spans="1:29" ht="15">
      <c r="A39" s="471"/>
      <c r="B39" s="421" t="s">
        <v>2569</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39"/>
      <c r="M39" s="1130"/>
      <c r="N39" s="1130"/>
      <c r="O39" s="1130"/>
      <c r="P39" s="3280"/>
      <c r="Q39" s="1809" t="str">
        <f t="shared" si="11"/>
        <v>市政基础设施</v>
      </c>
      <c r="R39" s="773" t="s">
        <v>21</v>
      </c>
      <c r="S39" s="774">
        <f t="shared" si="12"/>
        <v>100</v>
      </c>
      <c r="T39" s="773" t="s">
        <v>21</v>
      </c>
      <c r="U39" s="774">
        <f t="shared" si="13"/>
        <v>100</v>
      </c>
      <c r="V39" s="773" t="s">
        <v>21</v>
      </c>
      <c r="W39" s="774">
        <f t="shared" si="14"/>
        <v>100</v>
      </c>
      <c r="X39" s="1812"/>
      <c r="Y39" s="3282"/>
      <c r="Z39" s="1813" t="str">
        <f t="shared" si="18"/>
        <v>市政基础设施</v>
      </c>
      <c r="AA39" s="1810">
        <f t="shared" si="15"/>
        <v>1</v>
      </c>
      <c r="AB39" s="1810">
        <f t="shared" si="16"/>
        <v>1</v>
      </c>
      <c r="AC39" s="1810">
        <f t="shared" si="17"/>
        <v>1</v>
      </c>
    </row>
    <row r="40" spans="1:29" ht="15">
      <c r="A40" s="471"/>
      <c r="B40" s="421" t="s">
        <v>2570</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280"/>
      <c r="Q40" s="1809" t="str">
        <f t="shared" si="11"/>
        <v>房型</v>
      </c>
      <c r="R40" s="773" t="s">
        <v>21</v>
      </c>
      <c r="S40" s="774">
        <f t="shared" si="12"/>
        <v>100</v>
      </c>
      <c r="T40" s="773" t="s">
        <v>21</v>
      </c>
      <c r="U40" s="774">
        <f t="shared" si="13"/>
        <v>100</v>
      </c>
      <c r="V40" s="773" t="s">
        <v>21</v>
      </c>
      <c r="W40" s="774">
        <f t="shared" si="14"/>
        <v>100</v>
      </c>
      <c r="X40" s="1812"/>
      <c r="Y40" s="3282"/>
      <c r="Z40" s="1813" t="str">
        <f t="shared" si="18"/>
        <v>房型</v>
      </c>
      <c r="AA40" s="1810">
        <f t="shared" si="15"/>
        <v>1</v>
      </c>
      <c r="AB40" s="1810">
        <f t="shared" si="16"/>
        <v>1</v>
      </c>
      <c r="AC40" s="1810">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7"/>
      <c r="M41" s="1140"/>
      <c r="N41" s="1140"/>
      <c r="O41" s="1140"/>
      <c r="P41" s="3280"/>
      <c r="Q41" s="775" t="str">
        <f t="shared" si="11"/>
        <v>单套/主力户型建筑面积</v>
      </c>
      <c r="R41" s="776" t="s">
        <v>21</v>
      </c>
      <c r="S41" s="777">
        <f t="shared" si="12"/>
        <v>100</v>
      </c>
      <c r="T41" s="776" t="s">
        <v>21</v>
      </c>
      <c r="U41" s="777">
        <f t="shared" si="13"/>
        <v>100</v>
      </c>
      <c r="V41" s="776" t="s">
        <v>21</v>
      </c>
      <c r="W41" s="777">
        <f t="shared" si="14"/>
        <v>100</v>
      </c>
      <c r="X41" s="778"/>
      <c r="Y41" s="3282"/>
      <c r="Z41" s="779" t="str">
        <f t="shared" si="18"/>
        <v>单套/主力户型建筑面积</v>
      </c>
      <c r="AA41" s="1810">
        <f t="shared" si="15"/>
        <v>1</v>
      </c>
      <c r="AB41" s="1810">
        <f t="shared" si="16"/>
        <v>1</v>
      </c>
      <c r="AC41" s="1810">
        <f t="shared" si="17"/>
        <v>1</v>
      </c>
    </row>
    <row r="42" spans="1:29" ht="15">
      <c r="A42" s="471"/>
      <c r="B42" s="421" t="s">
        <v>2572</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39"/>
      <c r="M42" s="1130"/>
      <c r="N42" s="1130"/>
      <c r="O42" s="1130"/>
      <c r="P42" s="3280"/>
      <c r="Q42" s="1809" t="str">
        <f t="shared" si="11"/>
        <v>内部装修</v>
      </c>
      <c r="R42" s="773" t="s">
        <v>21</v>
      </c>
      <c r="S42" s="774">
        <f t="shared" si="12"/>
        <v>100</v>
      </c>
      <c r="T42" s="773" t="s">
        <v>21</v>
      </c>
      <c r="U42" s="774">
        <f t="shared" si="13"/>
        <v>100</v>
      </c>
      <c r="V42" s="773" t="s">
        <v>21</v>
      </c>
      <c r="W42" s="774">
        <f t="shared" si="14"/>
        <v>100</v>
      </c>
      <c r="X42" s="1812"/>
      <c r="Y42" s="3282"/>
      <c r="Z42" s="1813" t="str">
        <f t="shared" si="18"/>
        <v>内部装修</v>
      </c>
      <c r="AA42" s="1810">
        <f t="shared" si="15"/>
        <v>1</v>
      </c>
      <c r="AB42" s="1810">
        <f t="shared" si="16"/>
        <v>1</v>
      </c>
      <c r="AC42" s="1810">
        <f t="shared" si="17"/>
        <v>1</v>
      </c>
    </row>
    <row r="43" spans="1:29" ht="15">
      <c r="A43" s="471"/>
      <c r="B43" s="421" t="s">
        <v>2573</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39"/>
      <c r="M43" s="1130"/>
      <c r="N43" s="1130"/>
      <c r="O43" s="1130"/>
      <c r="P43" s="3280"/>
      <c r="Q43" s="1809" t="str">
        <f t="shared" si="11"/>
        <v>内部装修维护情况</v>
      </c>
      <c r="R43" s="773" t="s">
        <v>21</v>
      </c>
      <c r="S43" s="774">
        <f t="shared" si="12"/>
        <v>100</v>
      </c>
      <c r="T43" s="773" t="s">
        <v>21</v>
      </c>
      <c r="U43" s="774">
        <f t="shared" si="13"/>
        <v>100</v>
      </c>
      <c r="V43" s="773" t="s">
        <v>21</v>
      </c>
      <c r="W43" s="774">
        <f t="shared" si="14"/>
        <v>100</v>
      </c>
      <c r="X43" s="1812"/>
      <c r="Y43" s="3282"/>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280"/>
      <c r="Q44" s="1794">
        <f t="shared" si="11"/>
        <v>111</v>
      </c>
      <c r="R44" s="769" t="s">
        <v>21</v>
      </c>
      <c r="S44" s="770">
        <f t="shared" si="12"/>
        <v>100</v>
      </c>
      <c r="T44" s="769" t="s">
        <v>21</v>
      </c>
      <c r="U44" s="770">
        <f t="shared" si="13"/>
        <v>100</v>
      </c>
      <c r="V44" s="769" t="s">
        <v>21</v>
      </c>
      <c r="W44" s="770">
        <f t="shared" si="14"/>
        <v>100</v>
      </c>
      <c r="X44" s="771"/>
      <c r="Y44" s="3282"/>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280"/>
      <c r="Q45" s="1809">
        <f t="shared" si="11"/>
        <v>111</v>
      </c>
      <c r="R45" s="773" t="s">
        <v>21</v>
      </c>
      <c r="S45" s="774">
        <f t="shared" si="12"/>
        <v>100</v>
      </c>
      <c r="T45" s="773" t="s">
        <v>21</v>
      </c>
      <c r="U45" s="774">
        <f t="shared" si="13"/>
        <v>100</v>
      </c>
      <c r="V45" s="773" t="s">
        <v>21</v>
      </c>
      <c r="W45" s="774">
        <f t="shared" si="14"/>
        <v>100</v>
      </c>
      <c r="X45" s="1812"/>
      <c r="Y45" s="3282"/>
      <c r="Z45" s="1813">
        <f t="shared" si="18"/>
        <v>111</v>
      </c>
      <c r="AA45" s="1810">
        <f t="shared" si="15"/>
        <v>1</v>
      </c>
      <c r="AB45" s="1810">
        <f t="shared" si="16"/>
        <v>1</v>
      </c>
      <c r="AC45" s="1810">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281"/>
      <c r="Q46" s="1809">
        <f t="shared" si="11"/>
        <v>111</v>
      </c>
      <c r="R46" s="773" t="s">
        <v>20</v>
      </c>
      <c r="S46" s="774">
        <f t="shared" si="12"/>
        <v>100</v>
      </c>
      <c r="T46" s="773" t="s">
        <v>20</v>
      </c>
      <c r="U46" s="774">
        <f t="shared" si="13"/>
        <v>100</v>
      </c>
      <c r="V46" s="773" t="s">
        <v>20</v>
      </c>
      <c r="W46" s="774">
        <f t="shared" si="14"/>
        <v>100</v>
      </c>
      <c r="X46" s="1812"/>
      <c r="Y46" s="3283"/>
      <c r="Z46" s="1813">
        <f t="shared" si="18"/>
        <v>111</v>
      </c>
      <c r="AA46" s="1810">
        <f t="shared" si="15"/>
        <v>1</v>
      </c>
      <c r="AB46" s="1810">
        <f t="shared" si="16"/>
        <v>1</v>
      </c>
      <c r="AC46" s="1810">
        <f t="shared" si="17"/>
        <v>1</v>
      </c>
    </row>
    <row r="47" spans="1:29" ht="15">
      <c r="A47" s="478" t="s">
        <v>2574</v>
      </c>
      <c r="B47" s="479"/>
      <c r="C47" s="1406" t="s">
        <v>19</v>
      </c>
      <c r="D47" s="1407"/>
      <c r="E47" s="1408"/>
      <c r="F47" s="1409"/>
      <c r="G47" s="1410"/>
      <c r="H47" s="1411"/>
      <c r="I47" s="1408"/>
      <c r="J47" s="1411"/>
      <c r="K47" s="2621"/>
      <c r="L47" s="1142"/>
      <c r="M47" s="1143"/>
      <c r="N47" s="1130"/>
      <c r="O47" s="1143"/>
      <c r="P47" s="3284" t="str">
        <f>A47</f>
        <v>成交单价（元/平方米）</v>
      </c>
      <c r="Q47" s="3284"/>
      <c r="R47" s="3285">
        <f>E47</f>
        <v>0</v>
      </c>
      <c r="S47" s="3285"/>
      <c r="T47" s="3285">
        <f>G47</f>
        <v>0</v>
      </c>
      <c r="U47" s="3285"/>
      <c r="V47" s="3285">
        <f>I47</f>
        <v>0</v>
      </c>
      <c r="W47" s="3285"/>
      <c r="X47" s="758"/>
      <c r="Y47" s="780"/>
      <c r="Z47" s="758"/>
      <c r="AA47" s="758"/>
      <c r="AB47" s="758"/>
      <c r="AC47" s="758"/>
    </row>
    <row r="48" spans="1:29" ht="15.75" thickBot="1">
      <c r="A48" s="485" t="s">
        <v>2575</v>
      </c>
      <c r="B48" s="486"/>
      <c r="C48" s="1412" t="e">
        <f>R49</f>
        <v>#DIV/0!</v>
      </c>
      <c r="D48" s="1413"/>
      <c r="E48" s="1414" t="e">
        <f>R48</f>
        <v>#DIV/0!</v>
      </c>
      <c r="F48" s="1414"/>
      <c r="G48" s="1412" t="e">
        <f>T48</f>
        <v>#DIV/0!</v>
      </c>
      <c r="H48" s="1413"/>
      <c r="I48" s="1414" t="e">
        <f>V48</f>
        <v>#DIV/0!</v>
      </c>
      <c r="J48" s="1413"/>
      <c r="K48" s="2622"/>
      <c r="L48" s="1142"/>
      <c r="M48" s="1143"/>
      <c r="N48" s="1143"/>
      <c r="O48" s="1143"/>
      <c r="P48" s="3284" t="str">
        <f>A48</f>
        <v>比较价值（元/平方米）</v>
      </c>
      <c r="Q48" s="3284"/>
      <c r="R48" s="3285" t="e">
        <f>IF(F1="售价",ROUND(PRODUCT(R47,AA7:AA46),0),ROUND(PRODUCT(R47,AA7:AA46),1))</f>
        <v>#DIV/0!</v>
      </c>
      <c r="S48" s="3285"/>
      <c r="T48" s="3285" t="e">
        <f>IF(F1="售价",ROUND(PRODUCT(T47,AB7:AB46),0),ROUND(PRODUCT(T47,AB7:AB46),1))</f>
        <v>#DIV/0!</v>
      </c>
      <c r="U48" s="3285"/>
      <c r="V48" s="3285" t="e">
        <f>IF(F1="售价",ROUND(PRODUCT(V47,AC7:AC46),0),ROUND(PRODUCT(V47,AC7:AC46),1))</f>
        <v>#DIV/0!</v>
      </c>
      <c r="W48" s="3285"/>
      <c r="X48" s="758"/>
      <c r="Y48" s="758"/>
      <c r="Z48" s="758"/>
      <c r="AA48" s="758"/>
      <c r="AB48" s="758"/>
      <c r="AC48" s="758"/>
    </row>
    <row r="49" spans="1:29" ht="15.75" thickBot="1">
      <c r="A49" s="491" t="s">
        <v>2576</v>
      </c>
      <c r="B49" s="492"/>
      <c r="C49" s="1415" t="e">
        <f>R49</f>
        <v>#DIV/0!</v>
      </c>
      <c r="D49" s="1416"/>
      <c r="E49" s="1416"/>
      <c r="F49" s="1416"/>
      <c r="G49" s="1416"/>
      <c r="H49" s="1416"/>
      <c r="I49" s="1416"/>
      <c r="J49" s="1416"/>
      <c r="K49" s="2623"/>
      <c r="L49" s="1142"/>
      <c r="M49" s="1143"/>
      <c r="N49" s="1143"/>
      <c r="O49" s="1143"/>
      <c r="P49" s="3286" t="str">
        <f>A49</f>
        <v>估价对象XX用房的比较价值（楼面单价，元/平方米）</v>
      </c>
      <c r="Q49" s="3287"/>
      <c r="R49" s="3288" t="e">
        <f>IF(F1="售价",ROUND(AVERAGE(R48:V48),0),ROUND(AVERAGE(R48:V48),1))</f>
        <v>#DIV/0!</v>
      </c>
      <c r="S49" s="3288"/>
      <c r="T49" s="3288"/>
      <c r="U49" s="3288"/>
      <c r="V49" s="3288"/>
      <c r="W49" s="328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2580</v>
      </c>
      <c r="B57" s="758"/>
      <c r="C57" s="763"/>
      <c r="D57" s="763"/>
      <c r="E57" s="763"/>
      <c r="F57" s="764"/>
      <c r="G57" s="764"/>
      <c r="H57" s="763"/>
      <c r="I57" s="763"/>
      <c r="J57" s="763"/>
      <c r="K57" s="1159"/>
      <c r="L57" s="1160"/>
      <c r="M57" s="1158"/>
      <c r="N57" s="1158"/>
      <c r="O57" s="1158"/>
      <c r="P57" s="2626"/>
      <c r="Q57" s="503"/>
    </row>
    <row r="58" spans="1:29" s="507" customFormat="1" ht="15">
      <c r="A58" s="504" t="s">
        <v>2581</v>
      </c>
      <c r="B58" s="505"/>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6" customFormat="1" ht="15">
      <c r="A59" s="508"/>
      <c r="B59" s="2627"/>
      <c r="C59" s="1572">
        <v>100</v>
      </c>
      <c r="D59" s="510"/>
      <c r="E59" s="511"/>
      <c r="F59" s="511"/>
      <c r="G59" s="511"/>
      <c r="H59" s="511"/>
      <c r="I59" s="511"/>
      <c r="J59" s="511"/>
      <c r="K59" s="511"/>
      <c r="L59" s="511"/>
      <c r="M59" s="512"/>
      <c r="N59" s="511"/>
      <c r="O59" s="512"/>
      <c r="P59" s="2628"/>
    </row>
    <row r="60" spans="1:29" s="116" customFormat="1" ht="15.75" thickBot="1">
      <c r="A60" s="514" t="s">
        <v>2582</v>
      </c>
      <c r="B60" s="515"/>
      <c r="C60" s="516"/>
      <c r="D60" s="517"/>
      <c r="E60" s="517"/>
      <c r="F60" s="517"/>
      <c r="G60" s="517"/>
      <c r="H60" s="517"/>
      <c r="I60" s="517"/>
      <c r="J60" s="517"/>
      <c r="K60" s="517"/>
      <c r="L60" s="517"/>
      <c r="M60" s="518"/>
      <c r="N60" s="517"/>
      <c r="O60" s="518"/>
      <c r="P60" s="2628"/>
      <c r="Q60" s="503"/>
    </row>
    <row r="61" spans="1:29" s="116" customFormat="1" ht="15">
      <c r="A61" s="520" t="s">
        <v>2583</v>
      </c>
      <c r="B61" s="509"/>
      <c r="C61" s="521" t="s">
        <v>2584</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2585</v>
      </c>
      <c r="B63" s="527" t="s">
        <v>2551</v>
      </c>
      <c r="C63" s="528">
        <f>C9</f>
        <v>0</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30"/>
      <c r="Q66" s="503"/>
    </row>
    <row r="67" spans="1:17" ht="15.7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ht="15">
      <c r="A68" s="533"/>
      <c r="B68" s="547"/>
      <c r="C68" s="548"/>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59"/>
      <c r="E73" s="559"/>
      <c r="F73" s="559"/>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2095</v>
      </c>
      <c r="C82" s="538" t="s">
        <v>2601</v>
      </c>
      <c r="D82" s="538" t="s">
        <v>2602</v>
      </c>
      <c r="E82" s="538" t="s">
        <v>2603</v>
      </c>
      <c r="F82" s="538" t="s">
        <v>2604</v>
      </c>
      <c r="G82" s="538" t="s">
        <v>2605</v>
      </c>
      <c r="H82" s="538"/>
      <c r="I82" s="538"/>
      <c r="J82" s="538"/>
      <c r="K82" s="538"/>
      <c r="L82" s="538"/>
      <c r="M82" s="1381"/>
      <c r="N82" s="1152"/>
      <c r="O82" s="1152"/>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0"/>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6" customFormat="1" ht="15.75" thickTop="1">
      <c r="A86" s="578"/>
      <c r="B86" s="537" t="s">
        <v>2607</v>
      </c>
      <c r="C86" s="553"/>
      <c r="D86" s="553"/>
      <c r="E86" s="553"/>
      <c r="F86" s="553"/>
      <c r="G86" s="553"/>
      <c r="H86" s="553"/>
      <c r="I86" s="553"/>
      <c r="J86" s="553"/>
      <c r="K86" s="553"/>
      <c r="L86" s="579"/>
      <c r="M86" s="580"/>
      <c r="N86" s="1150"/>
      <c r="O86" s="1150"/>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6" customFormat="1" ht="15.75" thickTop="1">
      <c r="A88" s="578"/>
      <c r="B88" s="537" t="s">
        <v>2608</v>
      </c>
      <c r="C88" s="553"/>
      <c r="D88" s="553"/>
      <c r="E88" s="553"/>
      <c r="F88" s="2635"/>
      <c r="G88" s="553"/>
      <c r="H88" s="553"/>
      <c r="I88" s="553"/>
      <c r="J88" s="553"/>
      <c r="K88" s="553"/>
      <c r="L88" s="553"/>
      <c r="M88" s="580"/>
      <c r="N88" s="1150"/>
      <c r="O88" s="1150"/>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5.75" thickTop="1">
      <c r="A90" s="552"/>
      <c r="B90" s="537">
        <f>B27</f>
        <v>111</v>
      </c>
      <c r="C90" s="553"/>
      <c r="D90" s="553"/>
      <c r="E90" s="553"/>
      <c r="F90" s="553"/>
      <c r="G90" s="553"/>
      <c r="H90" s="554"/>
      <c r="I90" s="554"/>
      <c r="J90" s="554"/>
      <c r="K90" s="554"/>
      <c r="L90" s="555"/>
      <c r="M90" s="556"/>
      <c r="N90" s="1153"/>
      <c r="O90" s="1153"/>
      <c r="P90" s="2631"/>
      <c r="Q90" s="558"/>
    </row>
    <row r="91" spans="1:17" s="470" customFormat="1" ht="15.75" thickBot="1">
      <c r="A91" s="552"/>
      <c r="B91" s="542"/>
      <c r="C91" s="559"/>
      <c r="D91" s="559"/>
      <c r="E91" s="559"/>
      <c r="F91" s="559"/>
      <c r="G91" s="559"/>
      <c r="H91" s="561"/>
      <c r="I91" s="561"/>
      <c r="J91" s="561"/>
      <c r="K91" s="561"/>
      <c r="L91" s="561"/>
      <c r="M91" s="562"/>
      <c r="N91" s="1153"/>
      <c r="O91" s="1153"/>
      <c r="P91" s="2631"/>
      <c r="Q91" s="558"/>
    </row>
    <row r="92" spans="1:17" ht="15.75" thickTop="1">
      <c r="A92" s="533"/>
      <c r="B92" s="537">
        <f>B28</f>
        <v>111</v>
      </c>
      <c r="C92" s="553"/>
      <c r="D92" s="553"/>
      <c r="E92" s="553"/>
      <c r="F92" s="553"/>
      <c r="G92" s="582"/>
      <c r="H92" s="582"/>
      <c r="I92" s="582"/>
      <c r="J92" s="582"/>
      <c r="K92" s="583"/>
      <c r="L92" s="584"/>
      <c r="M92" s="585"/>
      <c r="N92" s="1151"/>
      <c r="O92" s="1151"/>
      <c r="P92" s="2630"/>
      <c r="Q92" s="503"/>
    </row>
    <row r="93" spans="1:17" ht="15.75" thickBot="1">
      <c r="A93" s="533"/>
      <c r="B93" s="542"/>
      <c r="C93" s="559"/>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59"/>
      <c r="E95" s="559"/>
      <c r="F95" s="559"/>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69"/>
      <c r="D97" s="569"/>
      <c r="E97" s="569"/>
      <c r="F97" s="569"/>
      <c r="G97" s="535"/>
      <c r="H97" s="535"/>
      <c r="I97" s="535"/>
      <c r="J97" s="535"/>
      <c r="K97" s="535"/>
      <c r="L97" s="535"/>
      <c r="M97" s="536"/>
      <c r="N97" s="1152"/>
      <c r="O97" s="1152"/>
      <c r="P97" s="2630"/>
      <c r="Q97" s="503"/>
    </row>
    <row r="98" spans="1:17" ht="15.75" thickTop="1">
      <c r="A98" s="533"/>
      <c r="B98" s="545">
        <f>B31</f>
        <v>111</v>
      </c>
      <c r="C98" s="586"/>
      <c r="D98" s="586"/>
      <c r="E98" s="586"/>
      <c r="F98" s="586"/>
      <c r="G98" s="586"/>
      <c r="H98" s="586"/>
      <c r="I98" s="586"/>
      <c r="J98" s="586"/>
      <c r="K98" s="587"/>
      <c r="L98" s="588"/>
      <c r="M98" s="589"/>
      <c r="N98" s="1151"/>
      <c r="O98" s="1151"/>
      <c r="P98" s="2630"/>
      <c r="Q98" s="503"/>
    </row>
    <row r="99" spans="1:17" ht="15.75" thickBot="1">
      <c r="A99" s="2636"/>
      <c r="B99" s="568"/>
      <c r="C99" s="590"/>
      <c r="D99" s="590"/>
      <c r="E99" s="590"/>
      <c r="F99" s="590"/>
      <c r="G99" s="590"/>
      <c r="H99" s="590"/>
      <c r="I99" s="590"/>
      <c r="J99" s="590"/>
      <c r="K99" s="590"/>
      <c r="L99" s="590"/>
      <c r="M99" s="591"/>
      <c r="N99" s="1152"/>
      <c r="O99" s="1152"/>
      <c r="P99" s="2630"/>
      <c r="Q99" s="503"/>
    </row>
    <row r="100" spans="1:17">
      <c r="A100" s="526" t="s">
        <v>2560</v>
      </c>
      <c r="B100" s="527" t="s">
        <v>2609</v>
      </c>
      <c r="C100" s="529"/>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0"/>
      <c r="Q101" s="503"/>
    </row>
    <row r="102" spans="1:17" ht="15.7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1"/>
      <c r="Q104" s="558"/>
    </row>
    <row r="105" spans="1:17" ht="15" thickTop="1">
      <c r="A105" s="598"/>
      <c r="B105" s="537" t="s">
        <v>2611</v>
      </c>
      <c r="C105" s="553"/>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0"/>
      <c r="Q106" s="503"/>
    </row>
    <row r="107" spans="1:17" ht="15" thickTop="1">
      <c r="A107" s="598"/>
      <c r="B107" s="537" t="s">
        <v>2612</v>
      </c>
      <c r="C107" s="582"/>
      <c r="D107" s="582"/>
      <c r="E107" s="582"/>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0"/>
      <c r="Q108" s="503"/>
    </row>
    <row r="109" spans="1:17" ht="15" thickTop="1">
      <c r="A109" s="598"/>
      <c r="B109" s="537" t="s">
        <v>2613</v>
      </c>
      <c r="C109" s="553"/>
      <c r="D109" s="553"/>
      <c r="E109" s="553"/>
      <c r="F109" s="582"/>
      <c r="G109" s="582"/>
      <c r="H109" s="582"/>
      <c r="I109" s="582"/>
      <c r="J109" s="582"/>
      <c r="K109" s="583"/>
      <c r="L109" s="584"/>
      <c r="M109" s="585"/>
      <c r="N109" s="1151"/>
      <c r="O109" s="1151"/>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1"/>
      <c r="Q113" s="558"/>
    </row>
    <row r="114" spans="1:17" ht="15" thickTop="1">
      <c r="A114" s="598"/>
      <c r="B114" s="537" t="s">
        <v>2614</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0"/>
      <c r="Q115" s="503"/>
    </row>
    <row r="116" spans="1:17" ht="15" thickTop="1">
      <c r="A116" s="598"/>
      <c r="B116" s="537" t="s">
        <v>2615</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2616</v>
      </c>
      <c r="C118" s="582"/>
      <c r="D118" s="582"/>
      <c r="E118" s="582"/>
      <c r="F118" s="582"/>
      <c r="G118" s="582"/>
      <c r="H118" s="582"/>
      <c r="I118" s="582"/>
      <c r="J118" s="582"/>
      <c r="K118" s="583"/>
      <c r="L118" s="584"/>
      <c r="M118" s="585"/>
      <c r="N118" s="1151"/>
      <c r="O118" s="1151"/>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8.5" thickTop="1">
      <c r="A120" s="592"/>
      <c r="B120" s="537" t="s">
        <v>2571</v>
      </c>
      <c r="C120" s="553"/>
      <c r="D120" s="553"/>
      <c r="E120" s="553"/>
      <c r="F120" s="553"/>
      <c r="G120" s="553"/>
      <c r="H120" s="553"/>
      <c r="I120" s="553"/>
      <c r="J120" s="553"/>
      <c r="K120" s="553"/>
      <c r="L120" s="579"/>
      <c r="M120" s="580"/>
      <c r="N120" s="1153"/>
      <c r="O120" s="1153"/>
      <c r="P120" s="2631"/>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1"/>
      <c r="Q121" s="558"/>
    </row>
    <row r="122" spans="1:17" ht="15" thickTop="1">
      <c r="A122" s="598"/>
      <c r="B122" s="537" t="s">
        <v>2617</v>
      </c>
      <c r="C122" s="553"/>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30"/>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59"/>
      <c r="E129" s="559"/>
      <c r="F129" s="559"/>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5" t="s">
        <v>2622</v>
      </c>
      <c r="D138" s="145" t="s">
        <v>2623</v>
      </c>
      <c r="E138" s="2645" t="s">
        <v>2624</v>
      </c>
      <c r="F138" s="2646" t="s">
        <v>2625</v>
      </c>
      <c r="G138" s="145" t="s">
        <v>2623</v>
      </c>
      <c r="H138" s="146" t="s">
        <v>2624</v>
      </c>
      <c r="I138" s="2647"/>
      <c r="J138" s="145" t="s">
        <v>2626</v>
      </c>
      <c r="K138" s="146" t="s">
        <v>2627</v>
      </c>
    </row>
    <row r="139" spans="1:17" ht="15">
      <c r="B139" s="1083">
        <v>6</v>
      </c>
      <c r="C139" s="1084">
        <v>96</v>
      </c>
      <c r="D139" s="2648" t="s">
        <v>2628</v>
      </c>
      <c r="E139" s="1085">
        <v>100</v>
      </c>
      <c r="F139" s="1086">
        <v>102.5</v>
      </c>
      <c r="G139" s="2648" t="s">
        <v>2628</v>
      </c>
      <c r="H139" s="1087">
        <v>105</v>
      </c>
      <c r="I139" s="2649" t="s">
        <v>2629</v>
      </c>
      <c r="J139" s="1084">
        <v>20</v>
      </c>
      <c r="K139" s="1088">
        <f>C145/(J139-2)</f>
        <v>4.0555555555555553E-3</v>
      </c>
    </row>
    <row r="140" spans="1:17" ht="15">
      <c r="B140" s="1089">
        <v>5</v>
      </c>
      <c r="C140" s="1090">
        <v>100</v>
      </c>
      <c r="D140" s="1090"/>
      <c r="E140" s="1091"/>
      <c r="F140" s="1092">
        <v>102</v>
      </c>
      <c r="G140" s="1090"/>
      <c r="H140" s="1093"/>
      <c r="I140" s="2650" t="s">
        <v>2630</v>
      </c>
      <c r="J140" s="314">
        <f>ROUNDUP((J139-1)/2,0)</f>
        <v>10</v>
      </c>
      <c r="K140" s="1094">
        <v>100</v>
      </c>
    </row>
    <row r="141" spans="1:17" ht="15">
      <c r="B141" s="1089">
        <v>4</v>
      </c>
      <c r="C141" s="1090">
        <v>102</v>
      </c>
      <c r="D141" s="1090"/>
      <c r="E141" s="1091"/>
      <c r="F141" s="1092">
        <v>101.5</v>
      </c>
      <c r="G141" s="1090"/>
      <c r="H141" s="1093"/>
      <c r="I141" s="2650" t="s">
        <v>2631</v>
      </c>
      <c r="J141" s="314">
        <v>1</v>
      </c>
      <c r="K141" s="1095">
        <f>ROUND(100+(J141-J140)*K139*100,1)</f>
        <v>96.4</v>
      </c>
    </row>
    <row r="142" spans="1:17" ht="15">
      <c r="B142" s="1089">
        <v>3</v>
      </c>
      <c r="C142" s="1090">
        <v>103</v>
      </c>
      <c r="D142" s="1090"/>
      <c r="E142" s="1091"/>
      <c r="F142" s="1092">
        <v>101</v>
      </c>
      <c r="G142" s="1090"/>
      <c r="H142" s="1093"/>
      <c r="I142" s="2650" t="s">
        <v>2632</v>
      </c>
      <c r="J142" s="314">
        <f>J139</f>
        <v>20</v>
      </c>
      <c r="K142" s="1096">
        <v>95</v>
      </c>
    </row>
    <row r="143" spans="1:17" ht="15">
      <c r="B143" s="1089">
        <v>2</v>
      </c>
      <c r="C143" s="1090">
        <v>100</v>
      </c>
      <c r="D143" s="1090"/>
      <c r="E143" s="1091"/>
      <c r="F143" s="1092">
        <v>100.5</v>
      </c>
      <c r="G143" s="1090"/>
      <c r="H143" s="1093"/>
      <c r="I143" s="2650" t="s">
        <v>2633</v>
      </c>
      <c r="J143" s="1090">
        <v>15</v>
      </c>
      <c r="K143" s="1095">
        <f>ROUND(100+(J143-J140)*K139*100,1)</f>
        <v>102</v>
      </c>
    </row>
    <row r="144" spans="1:17" ht="15">
      <c r="B144" s="1089">
        <v>1</v>
      </c>
      <c r="C144" s="1090">
        <v>98</v>
      </c>
      <c r="D144" s="2651" t="s">
        <v>2634</v>
      </c>
      <c r="E144" s="1091">
        <v>102</v>
      </c>
      <c r="F144" s="1097">
        <v>100</v>
      </c>
      <c r="G144" s="2651" t="s">
        <v>2634</v>
      </c>
      <c r="H144" s="1093">
        <v>105</v>
      </c>
      <c r="I144" s="2650" t="s">
        <v>2633</v>
      </c>
      <c r="J144" s="1090">
        <v>18</v>
      </c>
      <c r="K144" s="1095">
        <f>ROUND(100+(J144-J140)*K139*100,1)</f>
        <v>103.2</v>
      </c>
    </row>
    <row r="145" spans="2:11" ht="15.75" thickBot="1">
      <c r="B145" s="2652" t="s">
        <v>2635</v>
      </c>
      <c r="C145" s="1098">
        <f>ROUND(MAX(C139:C144)/MIN(C139:C144)-1,3)</f>
        <v>7.2999999999999995E-2</v>
      </c>
      <c r="D145" s="1099"/>
      <c r="E145" s="1099"/>
      <c r="F145" s="2653" t="s">
        <v>2636</v>
      </c>
      <c r="G145" s="2654"/>
      <c r="H145" s="2655"/>
      <c r="I145" s="2656" t="s">
        <v>2633</v>
      </c>
      <c r="J145" s="1100">
        <v>8</v>
      </c>
      <c r="K145" s="1101">
        <f>ROUND(100+(J145-J140)*K139*100,1)</f>
        <v>99.2</v>
      </c>
    </row>
    <row r="147" spans="2:11">
      <c r="B147" s="2637" t="s">
        <v>2637</v>
      </c>
    </row>
    <row r="148" spans="2:11">
      <c r="B148" s="263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北京道乐科技发展有限公司：</v>
      </c>
    </row>
    <row r="4" spans="1:1" ht="36">
      <c r="A4" s="1947" t="str">
        <f>"受贵公司委托，我公司对"&amp;项目基本情况!S1&amp;"进行了预评估。"</f>
        <v>受贵公司委托，我公司对北京市朝阳区北苑路28号院1号楼房地产抵押价值进行了预评估。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估价对象为北京市朝阳区北苑路28号院1号楼房地产，为北京道乐科技发展有限公司所有。根据《国有土地使用证》[]，估价对象（分摊）出让国有建设用地使用权面积为10186.06平方米，建筑面积为34740.85平方米。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2019年6月18日（评估专业人员实地查勘之日）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本次评估采用的主估价方法为收益法和基准地价系数修正法。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69" t="s">
        <v>2683</v>
      </c>
      <c r="C1" s="1619" t="s">
        <v>2527</v>
      </c>
      <c r="D1" s="1620"/>
      <c r="E1" s="1629"/>
      <c r="F1" s="2584"/>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IF(C2="——",ROUND(C50*D3/10000,0),ROUND(C50*D3/10000,0)-D2)</f>
        <v>#DIV/0!</v>
      </c>
      <c r="C2" s="2586"/>
      <c r="D2" s="1364" t="e">
        <f ca="1">SUMIF(INDIRECT("'"&amp;F2&amp;"'"&amp;"!A:A"),"承租人权益价值",INDIRECT("'"&amp;F2&amp;"'"&amp;"!c:c"))</f>
        <v>#REF!</v>
      </c>
      <c r="E2" s="2587" t="s">
        <v>2325</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IF(C2="——",C50,ROUND(B2*10000/D3,0))</f>
        <v>#DIV/0!</v>
      </c>
      <c r="C3" s="399" t="s">
        <v>2641</v>
      </c>
      <c r="D3" s="398">
        <f>IF(D1="",'数据-汇总表'!E3,SUMIF('数据-汇总表'!$C19:$C33,D1,'数据-汇总表'!$E19:$E33))</f>
        <v>34740.85</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2642</v>
      </c>
      <c r="B4" s="401"/>
      <c r="C4" s="3262" t="s">
        <v>2643</v>
      </c>
      <c r="D4" s="3263"/>
      <c r="E4" s="3264" t="s">
        <v>2644</v>
      </c>
      <c r="F4" s="3265"/>
      <c r="G4" s="3262" t="s">
        <v>2645</v>
      </c>
      <c r="H4" s="3263"/>
      <c r="I4" s="3262" t="s">
        <v>2646</v>
      </c>
      <c r="J4" s="3263"/>
      <c r="K4" s="609" t="s">
        <v>2647</v>
      </c>
      <c r="L4" s="1129"/>
      <c r="M4" s="1130"/>
      <c r="N4" s="1130"/>
      <c r="O4" s="1130"/>
      <c r="P4" s="3322" t="s">
        <v>2648</v>
      </c>
      <c r="Q4" s="3323"/>
      <c r="R4" s="3317" t="s">
        <v>2644</v>
      </c>
      <c r="S4" s="3318"/>
      <c r="T4" s="3317" t="s">
        <v>2645</v>
      </c>
      <c r="U4" s="3318"/>
      <c r="V4" s="3326" t="s">
        <v>2646</v>
      </c>
      <c r="W4" s="3326"/>
      <c r="X4" s="2670"/>
      <c r="Y4" s="3317" t="s">
        <v>2648</v>
      </c>
      <c r="Z4" s="3318"/>
      <c r="AA4" s="3316" t="s">
        <v>2644</v>
      </c>
      <c r="AB4" s="3316" t="s">
        <v>2645</v>
      </c>
      <c r="AC4" s="3319" t="s">
        <v>2646</v>
      </c>
    </row>
    <row r="5" spans="1:29" ht="15">
      <c r="A5" s="403"/>
      <c r="B5" s="404"/>
      <c r="C5" s="3254" t="s">
        <v>2539</v>
      </c>
      <c r="D5" s="3255"/>
      <c r="E5" s="3315" t="s">
        <v>2540</v>
      </c>
      <c r="F5" s="3253"/>
      <c r="G5" s="3254" t="s">
        <v>2541</v>
      </c>
      <c r="H5" s="3255"/>
      <c r="I5" s="3254" t="s">
        <v>2542</v>
      </c>
      <c r="J5" s="3255"/>
      <c r="K5" s="609"/>
      <c r="L5" s="1129"/>
      <c r="M5" s="1130"/>
      <c r="N5" s="1130"/>
      <c r="O5" s="1130"/>
      <c r="P5" s="3324"/>
      <c r="Q5" s="3269"/>
      <c r="R5" s="3250"/>
      <c r="S5" s="3251"/>
      <c r="T5" s="3250"/>
      <c r="U5" s="3251"/>
      <c r="V5" s="3245"/>
      <c r="W5" s="3245"/>
      <c r="X5" s="1812"/>
      <c r="Y5" s="3250"/>
      <c r="Z5" s="3251"/>
      <c r="AA5" s="3243"/>
      <c r="AB5" s="3243"/>
      <c r="AC5" s="3320"/>
    </row>
    <row r="6" spans="1:29" ht="15.75" thickBot="1">
      <c r="A6" s="405"/>
      <c r="B6" s="406"/>
      <c r="C6" s="3256" t="s">
        <v>2543</v>
      </c>
      <c r="D6" s="3257"/>
      <c r="E6" s="3259" t="s">
        <v>2543</v>
      </c>
      <c r="F6" s="3260"/>
      <c r="G6" s="3256" t="s">
        <v>2543</v>
      </c>
      <c r="H6" s="3257"/>
      <c r="I6" s="3256" t="s">
        <v>2543</v>
      </c>
      <c r="J6" s="3257"/>
      <c r="K6" s="609" t="s">
        <v>2544</v>
      </c>
      <c r="L6" s="1129"/>
      <c r="M6" s="1130"/>
      <c r="N6" s="1130"/>
      <c r="O6" s="1130"/>
      <c r="P6" s="3325"/>
      <c r="Q6" s="3271"/>
      <c r="R6" s="3250"/>
      <c r="S6" s="3251"/>
      <c r="T6" s="3272"/>
      <c r="U6" s="3273"/>
      <c r="V6" s="3245"/>
      <c r="W6" s="3245"/>
      <c r="X6" s="1812"/>
      <c r="Y6" s="3272"/>
      <c r="Z6" s="3273"/>
      <c r="AA6" s="3244"/>
      <c r="AB6" s="3244"/>
      <c r="AC6" s="3321"/>
    </row>
    <row r="7" spans="1:29" s="116" customFormat="1" ht="15.75" thickBot="1">
      <c r="A7" s="407" t="s">
        <v>2545</v>
      </c>
      <c r="B7" s="408"/>
      <c r="C7" s="409">
        <f>'数据-取费表'!B2</f>
        <v>43634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27" t="s">
        <v>2546</v>
      </c>
      <c r="Q7" s="3274"/>
      <c r="R7" s="769" t="s">
        <v>17</v>
      </c>
      <c r="S7" s="770">
        <f t="shared" ref="S7:S15" si="0">F7</f>
        <v>0</v>
      </c>
      <c r="T7" s="769" t="s">
        <v>17</v>
      </c>
      <c r="U7" s="770">
        <f t="shared" ref="U7:U15" si="1">H7</f>
        <v>0</v>
      </c>
      <c r="V7" s="769" t="s">
        <v>17</v>
      </c>
      <c r="W7" s="770">
        <f t="shared" ref="W7:W15" si="2">J7</f>
        <v>0</v>
      </c>
      <c r="X7" s="771"/>
      <c r="Y7" s="3246" t="s">
        <v>2546</v>
      </c>
      <c r="Z7" s="3247"/>
      <c r="AA7" s="772" t="e">
        <f>D7/F7</f>
        <v>#DIV/0!</v>
      </c>
      <c r="AB7" s="772" t="e">
        <f>D7/H7</f>
        <v>#DIV/0!</v>
      </c>
      <c r="AC7" s="2671" t="e">
        <f>D7/J7</f>
        <v>#DIV/0!</v>
      </c>
    </row>
    <row r="8" spans="1:29" s="116"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27" t="s">
        <v>2549</v>
      </c>
      <c r="Q8" s="3247"/>
      <c r="R8" s="769" t="s">
        <v>17</v>
      </c>
      <c r="S8" s="770">
        <f t="shared" si="0"/>
        <v>0</v>
      </c>
      <c r="T8" s="769" t="s">
        <v>17</v>
      </c>
      <c r="U8" s="770">
        <f t="shared" si="1"/>
        <v>0</v>
      </c>
      <c r="V8" s="769" t="s">
        <v>17</v>
      </c>
      <c r="W8" s="770">
        <f t="shared" si="2"/>
        <v>0</v>
      </c>
      <c r="X8" s="771"/>
      <c r="Y8" s="3246" t="s">
        <v>2549</v>
      </c>
      <c r="Z8" s="3247"/>
      <c r="AA8" s="772" t="e">
        <f t="shared" ref="AA8:AA47" si="3">D8/F8</f>
        <v>#DIV/0!</v>
      </c>
      <c r="AB8" s="772" t="e">
        <f t="shared" ref="AB8:AB47" si="4">D8/H8</f>
        <v>#DIV/0!</v>
      </c>
      <c r="AC8" s="2671" t="e">
        <f t="shared" ref="AC8:AC47" si="5">D8/J8</f>
        <v>#DIV/0!</v>
      </c>
    </row>
    <row r="9" spans="1:29" s="116" customFormat="1">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61" t="s">
        <v>2552</v>
      </c>
      <c r="Q9" s="1794" t="str">
        <f t="shared" ref="Q9:Q15" si="6">B9</f>
        <v>用途</v>
      </c>
      <c r="R9" s="769" t="s">
        <v>17</v>
      </c>
      <c r="S9" s="770">
        <f t="shared" si="0"/>
        <v>100</v>
      </c>
      <c r="T9" s="769" t="s">
        <v>17</v>
      </c>
      <c r="U9" s="770">
        <f t="shared" si="1"/>
        <v>100</v>
      </c>
      <c r="V9" s="769" t="s">
        <v>17</v>
      </c>
      <c r="W9" s="770">
        <f t="shared" si="2"/>
        <v>100</v>
      </c>
      <c r="X9" s="771"/>
      <c r="Y9" s="3114" t="s">
        <v>2553</v>
      </c>
      <c r="Z9" s="55" t="str">
        <f t="shared" ref="Z9:Z15" si="7">Q9</f>
        <v>用途</v>
      </c>
      <c r="AA9" s="772">
        <f t="shared" si="3"/>
        <v>1</v>
      </c>
      <c r="AB9" s="772">
        <f t="shared" si="4"/>
        <v>1</v>
      </c>
      <c r="AC9" s="2671">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61"/>
      <c r="Q10" s="1794" t="str">
        <f t="shared" si="6"/>
        <v>土地使用年限（年）</v>
      </c>
      <c r="R10" s="769" t="s">
        <v>17</v>
      </c>
      <c r="S10" s="770">
        <f t="shared" si="0"/>
        <v>100</v>
      </c>
      <c r="T10" s="769" t="s">
        <v>17</v>
      </c>
      <c r="U10" s="770">
        <f t="shared" si="1"/>
        <v>100</v>
      </c>
      <c r="V10" s="769" t="s">
        <v>17</v>
      </c>
      <c r="W10" s="770">
        <f t="shared" si="2"/>
        <v>100</v>
      </c>
      <c r="X10" s="771"/>
      <c r="Y10" s="3114"/>
      <c r="Z10" s="55" t="str">
        <f t="shared" si="7"/>
        <v>土地使用年限（年）</v>
      </c>
      <c r="AA10" s="772">
        <f t="shared" si="3"/>
        <v>1</v>
      </c>
      <c r="AB10" s="772">
        <f t="shared" si="4"/>
        <v>1</v>
      </c>
      <c r="AC10" s="2671">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61"/>
      <c r="Q11" s="1794" t="str">
        <f t="shared" si="6"/>
        <v>容积率</v>
      </c>
      <c r="R11" s="769" t="s">
        <v>17</v>
      </c>
      <c r="S11" s="770" t="e">
        <f t="shared" si="0"/>
        <v>#N/A</v>
      </c>
      <c r="T11" s="769" t="s">
        <v>17</v>
      </c>
      <c r="U11" s="770" t="e">
        <f t="shared" si="1"/>
        <v>#N/A</v>
      </c>
      <c r="V11" s="769" t="s">
        <v>17</v>
      </c>
      <c r="W11" s="770" t="e">
        <f t="shared" si="2"/>
        <v>#N/A</v>
      </c>
      <c r="X11" s="771"/>
      <c r="Y11" s="3114"/>
      <c r="Z11" s="55" t="str">
        <f t="shared" si="7"/>
        <v>容积率</v>
      </c>
      <c r="AA11" s="772" t="e">
        <f t="shared" si="3"/>
        <v>#N/A</v>
      </c>
      <c r="AB11" s="772"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61"/>
      <c r="Q12" s="1794">
        <f t="shared" si="6"/>
        <v>111</v>
      </c>
      <c r="R12" s="769" t="s">
        <v>17</v>
      </c>
      <c r="S12" s="770">
        <f t="shared" si="0"/>
        <v>100</v>
      </c>
      <c r="T12" s="769" t="s">
        <v>17</v>
      </c>
      <c r="U12" s="770">
        <f t="shared" si="1"/>
        <v>100</v>
      </c>
      <c r="V12" s="769" t="s">
        <v>17</v>
      </c>
      <c r="W12" s="770">
        <f t="shared" si="2"/>
        <v>100</v>
      </c>
      <c r="X12" s="771"/>
      <c r="Y12" s="3114"/>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61"/>
      <c r="Q13" s="1794">
        <f t="shared" si="6"/>
        <v>111</v>
      </c>
      <c r="R13" s="769" t="s">
        <v>17</v>
      </c>
      <c r="S13" s="770">
        <f t="shared" si="0"/>
        <v>100</v>
      </c>
      <c r="T13" s="769" t="s">
        <v>17</v>
      </c>
      <c r="U13" s="770">
        <f t="shared" si="1"/>
        <v>100</v>
      </c>
      <c r="V13" s="769" t="s">
        <v>17</v>
      </c>
      <c r="W13" s="770">
        <f t="shared" si="2"/>
        <v>100</v>
      </c>
      <c r="X13" s="771"/>
      <c r="Y13" s="3114"/>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61"/>
      <c r="Q14" s="1794">
        <f t="shared" si="6"/>
        <v>111</v>
      </c>
      <c r="R14" s="769" t="s">
        <v>17</v>
      </c>
      <c r="S14" s="770">
        <f t="shared" si="0"/>
        <v>100</v>
      </c>
      <c r="T14" s="769" t="s">
        <v>17</v>
      </c>
      <c r="U14" s="770">
        <f t="shared" si="1"/>
        <v>100</v>
      </c>
      <c r="V14" s="769" t="s">
        <v>17</v>
      </c>
      <c r="W14" s="770">
        <f t="shared" si="2"/>
        <v>100</v>
      </c>
      <c r="X14" s="771"/>
      <c r="Y14" s="3114"/>
      <c r="Z14" s="55">
        <f t="shared" si="7"/>
        <v>111</v>
      </c>
      <c r="AA14" s="772">
        <f t="shared" si="3"/>
        <v>1</v>
      </c>
      <c r="AB14" s="772">
        <f t="shared" si="4"/>
        <v>1</v>
      </c>
      <c r="AC14" s="2671">
        <f t="shared" si="5"/>
        <v>1</v>
      </c>
    </row>
    <row r="15" spans="1:29" ht="71.25">
      <c r="A15" s="439" t="s">
        <v>2556</v>
      </c>
      <c r="B15" s="628" t="s">
        <v>2684</v>
      </c>
      <c r="C15" s="2673">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75" t="s">
        <v>2557</v>
      </c>
      <c r="Q15" s="1809" t="str">
        <f t="shared" si="6"/>
        <v>办公集聚程度</v>
      </c>
      <c r="R15" s="773" t="s">
        <v>17</v>
      </c>
      <c r="S15" s="774">
        <f t="shared" si="0"/>
        <v>100</v>
      </c>
      <c r="T15" s="773" t="s">
        <v>17</v>
      </c>
      <c r="U15" s="774">
        <f t="shared" si="1"/>
        <v>100</v>
      </c>
      <c r="V15" s="773" t="s">
        <v>17</v>
      </c>
      <c r="W15" s="774">
        <f t="shared" si="2"/>
        <v>100</v>
      </c>
      <c r="X15" s="1812"/>
      <c r="Y15" s="3277" t="s">
        <v>2557</v>
      </c>
      <c r="Z15" s="1813" t="str">
        <f t="shared" si="7"/>
        <v>办公集聚程度</v>
      </c>
      <c r="AA15" s="1810">
        <f t="shared" si="3"/>
        <v>1</v>
      </c>
      <c r="AB15" s="1810">
        <f t="shared" si="4"/>
        <v>1</v>
      </c>
      <c r="AC15" s="2674">
        <f t="shared" si="5"/>
        <v>1</v>
      </c>
    </row>
    <row r="16" spans="1:29" ht="15">
      <c r="A16" s="427"/>
      <c r="B16" s="629"/>
      <c r="C16" s="2611"/>
      <c r="D16" s="447"/>
      <c r="E16" s="446"/>
      <c r="F16" s="447"/>
      <c r="G16" s="2611"/>
      <c r="H16" s="449"/>
      <c r="I16" s="446"/>
      <c r="J16" s="447"/>
      <c r="K16" s="614"/>
      <c r="L16" s="1139"/>
      <c r="M16" s="1130"/>
      <c r="N16" s="1130"/>
      <c r="O16" s="1130"/>
      <c r="P16" s="3276"/>
      <c r="Q16" s="1809"/>
      <c r="R16" s="773"/>
      <c r="S16" s="774"/>
      <c r="T16" s="773"/>
      <c r="U16" s="774"/>
      <c r="V16" s="773"/>
      <c r="W16" s="774"/>
      <c r="X16" s="1812"/>
      <c r="Y16" s="3278"/>
      <c r="Z16" s="1813"/>
      <c r="AA16" s="1810">
        <v>1</v>
      </c>
      <c r="AB16" s="1810">
        <v>1</v>
      </c>
      <c r="AC16" s="2674">
        <v>1</v>
      </c>
    </row>
    <row r="17" spans="1:29" ht="71.25">
      <c r="A17" s="427"/>
      <c r="B17" s="630" t="s">
        <v>2094</v>
      </c>
      <c r="C17" s="2675"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76"/>
      <c r="Q17" s="1809" t="str">
        <f>B17</f>
        <v>交通便捷度</v>
      </c>
      <c r="R17" s="773" t="s">
        <v>17</v>
      </c>
      <c r="S17" s="774">
        <f>F17</f>
        <v>100</v>
      </c>
      <c r="T17" s="773" t="s">
        <v>17</v>
      </c>
      <c r="U17" s="774">
        <f>H17</f>
        <v>100</v>
      </c>
      <c r="V17" s="773" t="s">
        <v>17</v>
      </c>
      <c r="W17" s="774">
        <f>J17</f>
        <v>100</v>
      </c>
      <c r="X17" s="1812"/>
      <c r="Y17" s="3278"/>
      <c r="Z17" s="1813" t="str">
        <f>Q17</f>
        <v>交通便捷度</v>
      </c>
      <c r="AA17" s="1810">
        <f t="shared" si="3"/>
        <v>1</v>
      </c>
      <c r="AB17" s="1810">
        <f t="shared" si="4"/>
        <v>1</v>
      </c>
      <c r="AC17" s="2674">
        <f t="shared" si="5"/>
        <v>1</v>
      </c>
    </row>
    <row r="18" spans="1:29" ht="15">
      <c r="A18" s="427"/>
      <c r="B18" s="631"/>
      <c r="C18" s="2676"/>
      <c r="D18" s="449"/>
      <c r="E18" s="2609"/>
      <c r="F18" s="449"/>
      <c r="G18" s="2610"/>
      <c r="H18" s="447"/>
      <c r="I18" s="2610"/>
      <c r="J18" s="447"/>
      <c r="K18" s="614"/>
      <c r="L18" s="1139"/>
      <c r="M18" s="1130"/>
      <c r="N18" s="1130"/>
      <c r="O18" s="1130"/>
      <c r="P18" s="3276"/>
      <c r="Q18" s="1809"/>
      <c r="R18" s="773"/>
      <c r="S18" s="774"/>
      <c r="T18" s="773"/>
      <c r="U18" s="774"/>
      <c r="V18" s="773"/>
      <c r="W18" s="774"/>
      <c r="X18" s="1812"/>
      <c r="Y18" s="3278"/>
      <c r="Z18" s="1813"/>
      <c r="AA18" s="1810">
        <v>1</v>
      </c>
      <c r="AB18" s="1810">
        <v>1</v>
      </c>
      <c r="AC18" s="2674">
        <v>1</v>
      </c>
    </row>
    <row r="19" spans="1:29" ht="42.75">
      <c r="A19" s="427"/>
      <c r="B19" s="630" t="s">
        <v>2685</v>
      </c>
      <c r="C19" s="2675"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76"/>
      <c r="Q19" s="1809" t="str">
        <f>B19</f>
        <v>公共配套设施</v>
      </c>
      <c r="R19" s="773" t="s">
        <v>17</v>
      </c>
      <c r="S19" s="774">
        <f>F19</f>
        <v>100</v>
      </c>
      <c r="T19" s="773" t="s">
        <v>17</v>
      </c>
      <c r="U19" s="774">
        <f>H19</f>
        <v>100</v>
      </c>
      <c r="V19" s="773" t="s">
        <v>17</v>
      </c>
      <c r="W19" s="774">
        <f>J19</f>
        <v>100</v>
      </c>
      <c r="X19" s="1812"/>
      <c r="Y19" s="3278"/>
      <c r="Z19" s="1813" t="str">
        <f>Q19</f>
        <v>公共配套设施</v>
      </c>
      <c r="AA19" s="1810">
        <f t="shared" si="3"/>
        <v>1</v>
      </c>
      <c r="AB19" s="1810">
        <f t="shared" si="4"/>
        <v>1</v>
      </c>
      <c r="AC19" s="2674">
        <f t="shared" si="5"/>
        <v>1</v>
      </c>
    </row>
    <row r="20" spans="1:29" ht="15">
      <c r="A20" s="427"/>
      <c r="B20" s="631"/>
      <c r="C20" s="2611"/>
      <c r="D20" s="447"/>
      <c r="E20" s="2604"/>
      <c r="F20" s="447"/>
      <c r="G20" s="2605"/>
      <c r="H20" s="447"/>
      <c r="I20" s="2605"/>
      <c r="J20" s="447"/>
      <c r="K20" s="614"/>
      <c r="L20" s="1139"/>
      <c r="M20" s="1130"/>
      <c r="N20" s="1130"/>
      <c r="O20" s="1130"/>
      <c r="P20" s="3276"/>
      <c r="Q20" s="1809"/>
      <c r="R20" s="773"/>
      <c r="S20" s="774"/>
      <c r="T20" s="773"/>
      <c r="U20" s="774"/>
      <c r="V20" s="773"/>
      <c r="W20" s="774"/>
      <c r="X20" s="1812"/>
      <c r="Y20" s="3278"/>
      <c r="Z20" s="1813"/>
      <c r="AA20" s="1810">
        <v>1</v>
      </c>
      <c r="AB20" s="1810">
        <v>1</v>
      </c>
      <c r="AC20" s="2674">
        <v>1</v>
      </c>
    </row>
    <row r="21" spans="1:29" ht="28.5">
      <c r="A21" s="427"/>
      <c r="B21" s="632" t="s">
        <v>2686</v>
      </c>
      <c r="C21" s="2675"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76"/>
      <c r="Q21" s="1809" t="str">
        <f>B21</f>
        <v>基础设施水平</v>
      </c>
      <c r="R21" s="773" t="s">
        <v>17</v>
      </c>
      <c r="S21" s="774">
        <f>F21</f>
        <v>100</v>
      </c>
      <c r="T21" s="773" t="s">
        <v>17</v>
      </c>
      <c r="U21" s="774">
        <f>H21</f>
        <v>100</v>
      </c>
      <c r="V21" s="773" t="s">
        <v>17</v>
      </c>
      <c r="W21" s="774">
        <f>J21</f>
        <v>100</v>
      </c>
      <c r="X21" s="1812"/>
      <c r="Y21" s="3278"/>
      <c r="Z21" s="1813" t="str">
        <f>Q21</f>
        <v>基础设施水平</v>
      </c>
      <c r="AA21" s="1810">
        <f t="shared" ref="AA21" si="8">D21/F21</f>
        <v>1</v>
      </c>
      <c r="AB21" s="1810">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276"/>
      <c r="Q22" s="1809"/>
      <c r="R22" s="773"/>
      <c r="S22" s="774"/>
      <c r="T22" s="773"/>
      <c r="U22" s="774"/>
      <c r="V22" s="773"/>
      <c r="W22" s="774"/>
      <c r="X22" s="1812"/>
      <c r="Y22" s="3278"/>
      <c r="Z22" s="1813"/>
      <c r="AA22" s="1810">
        <v>1</v>
      </c>
      <c r="AB22" s="1810">
        <v>1</v>
      </c>
      <c r="AC22" s="2674">
        <v>1</v>
      </c>
    </row>
    <row r="23" spans="1:29" ht="42.75">
      <c r="A23" s="427"/>
      <c r="B23" s="630" t="s">
        <v>2687</v>
      </c>
      <c r="C23" s="2675" t="str">
        <f>估价对象房地状况!C9</f>
        <v>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76"/>
      <c r="Q23" s="1809" t="str">
        <f>B23</f>
        <v>环境质量</v>
      </c>
      <c r="R23" s="773" t="s">
        <v>17</v>
      </c>
      <c r="S23" s="774">
        <f>F23</f>
        <v>100</v>
      </c>
      <c r="T23" s="773" t="s">
        <v>17</v>
      </c>
      <c r="U23" s="774">
        <f>H23</f>
        <v>100</v>
      </c>
      <c r="V23" s="773" t="s">
        <v>17</v>
      </c>
      <c r="W23" s="774">
        <f>J23</f>
        <v>100</v>
      </c>
      <c r="X23" s="1812"/>
      <c r="Y23" s="3278"/>
      <c r="Z23" s="1813" t="str">
        <f>Q23</f>
        <v>环境质量</v>
      </c>
      <c r="AA23" s="1810">
        <f t="shared" si="3"/>
        <v>1</v>
      </c>
      <c r="AB23" s="1810">
        <f t="shared" si="4"/>
        <v>1</v>
      </c>
      <c r="AC23" s="2674">
        <f t="shared" si="5"/>
        <v>1</v>
      </c>
    </row>
    <row r="24" spans="1:29" ht="15">
      <c r="A24" s="427"/>
      <c r="B24" s="632"/>
      <c r="C24" s="2611"/>
      <c r="D24" s="447"/>
      <c r="E24" s="2604"/>
      <c r="F24" s="447"/>
      <c r="G24" s="2605"/>
      <c r="H24" s="447"/>
      <c r="I24" s="2605"/>
      <c r="J24" s="447"/>
      <c r="K24" s="614"/>
      <c r="L24" s="1139"/>
      <c r="M24" s="1130"/>
      <c r="N24" s="1130"/>
      <c r="O24" s="1130"/>
      <c r="P24" s="3276"/>
      <c r="Q24" s="1809"/>
      <c r="R24" s="773"/>
      <c r="S24" s="774"/>
      <c r="T24" s="773"/>
      <c r="U24" s="774"/>
      <c r="V24" s="773"/>
      <c r="W24" s="774"/>
      <c r="X24" s="1812"/>
      <c r="Y24" s="3278"/>
      <c r="Z24" s="1813"/>
      <c r="AA24" s="1810">
        <v>1</v>
      </c>
      <c r="AB24" s="1810">
        <v>1</v>
      </c>
      <c r="AC24" s="2674">
        <v>1</v>
      </c>
    </row>
    <row r="25" spans="1:29" ht="27">
      <c r="A25" s="403"/>
      <c r="B25" s="630" t="s">
        <v>2688</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276"/>
      <c r="Q25" s="1809" t="str">
        <f>B25</f>
        <v>毗邻道路的类型与等级</v>
      </c>
      <c r="R25" s="773" t="s">
        <v>17</v>
      </c>
      <c r="S25" s="774">
        <f>F25</f>
        <v>100</v>
      </c>
      <c r="T25" s="773" t="s">
        <v>17</v>
      </c>
      <c r="U25" s="774">
        <f>H25</f>
        <v>100</v>
      </c>
      <c r="V25" s="773" t="s">
        <v>17</v>
      </c>
      <c r="W25" s="774">
        <f>J25</f>
        <v>100</v>
      </c>
      <c r="X25" s="1812"/>
      <c r="Y25" s="3278"/>
      <c r="Z25" s="1813" t="str">
        <f>Q25</f>
        <v>毗邻道路的类型与等级</v>
      </c>
      <c r="AA25" s="1810">
        <f t="shared" si="3"/>
        <v>1</v>
      </c>
      <c r="AB25" s="1810">
        <f t="shared" si="4"/>
        <v>1</v>
      </c>
      <c r="AC25" s="2674">
        <f t="shared" si="5"/>
        <v>1</v>
      </c>
    </row>
    <row r="26" spans="1:29" ht="15">
      <c r="A26" s="403"/>
      <c r="B26" s="631"/>
      <c r="C26" s="633"/>
      <c r="D26" s="434"/>
      <c r="E26" s="615"/>
      <c r="F26" s="434"/>
      <c r="G26" s="633"/>
      <c r="H26" s="434"/>
      <c r="I26" s="615"/>
      <c r="J26" s="434"/>
      <c r="K26" s="614"/>
      <c r="L26" s="1139"/>
      <c r="M26" s="1130"/>
      <c r="N26" s="1130"/>
      <c r="O26" s="1130"/>
      <c r="P26" s="3276"/>
      <c r="Q26" s="1809"/>
      <c r="R26" s="773"/>
      <c r="S26" s="774"/>
      <c r="T26" s="773"/>
      <c r="U26" s="774"/>
      <c r="V26" s="773"/>
      <c r="W26" s="774"/>
      <c r="X26" s="1812"/>
      <c r="Y26" s="3278"/>
      <c r="Z26" s="1813"/>
      <c r="AA26" s="1810">
        <v>1</v>
      </c>
      <c r="AB26" s="1810">
        <v>1</v>
      </c>
      <c r="AC26" s="2674">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76"/>
      <c r="Q27" s="1809" t="str">
        <f t="shared" ref="Q27:Q47" si="11">B27</f>
        <v>楼层</v>
      </c>
      <c r="R27" s="773" t="s">
        <v>17</v>
      </c>
      <c r="S27" s="774">
        <f>F27</f>
        <v>100</v>
      </c>
      <c r="T27" s="773" t="s">
        <v>17</v>
      </c>
      <c r="U27" s="774">
        <f>H27</f>
        <v>100</v>
      </c>
      <c r="V27" s="773" t="s">
        <v>17</v>
      </c>
      <c r="W27" s="774">
        <f>J27</f>
        <v>100</v>
      </c>
      <c r="X27" s="1812"/>
      <c r="Y27" s="3278"/>
      <c r="Z27" s="1813" t="str">
        <f>Q27</f>
        <v>楼层</v>
      </c>
      <c r="AA27" s="1810">
        <f t="shared" si="3"/>
        <v>1</v>
      </c>
      <c r="AB27" s="1810">
        <f t="shared" si="4"/>
        <v>1</v>
      </c>
      <c r="AC27" s="2674">
        <f t="shared" si="5"/>
        <v>1</v>
      </c>
    </row>
    <row r="28" spans="1:29" s="116" customFormat="1" ht="15">
      <c r="A28" s="430"/>
      <c r="B28" s="630" t="s">
        <v>2689</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276"/>
      <c r="Q28" s="1794" t="str">
        <f t="shared" si="11"/>
        <v>朝向</v>
      </c>
      <c r="R28" s="769" t="s">
        <v>17</v>
      </c>
      <c r="S28" s="770">
        <f>F28</f>
        <v>100</v>
      </c>
      <c r="T28" s="769" t="s">
        <v>17</v>
      </c>
      <c r="U28" s="770">
        <f>H28</f>
        <v>100</v>
      </c>
      <c r="V28" s="769" t="s">
        <v>17</v>
      </c>
      <c r="W28" s="770">
        <f>J28</f>
        <v>100</v>
      </c>
      <c r="X28" s="771"/>
      <c r="Y28" s="3278"/>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276"/>
      <c r="Q29" s="1809">
        <f t="shared" si="11"/>
        <v>111</v>
      </c>
      <c r="R29" s="773" t="s">
        <v>17</v>
      </c>
      <c r="S29" s="774">
        <f t="shared" ref="S29:S47" si="12">F29</f>
        <v>100</v>
      </c>
      <c r="T29" s="773" t="s">
        <v>17</v>
      </c>
      <c r="U29" s="774">
        <f t="shared" ref="U29:U47" si="13">H29</f>
        <v>100</v>
      </c>
      <c r="V29" s="773" t="s">
        <v>17</v>
      </c>
      <c r="W29" s="774">
        <f t="shared" ref="W29:W47" si="14">J29</f>
        <v>100</v>
      </c>
      <c r="X29" s="1812"/>
      <c r="Y29" s="3278"/>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276"/>
      <c r="Q30" s="1809">
        <f t="shared" si="11"/>
        <v>111</v>
      </c>
      <c r="R30" s="773" t="s">
        <v>17</v>
      </c>
      <c r="S30" s="774">
        <f t="shared" si="12"/>
        <v>100</v>
      </c>
      <c r="T30" s="773" t="s">
        <v>17</v>
      </c>
      <c r="U30" s="774">
        <f t="shared" si="13"/>
        <v>100</v>
      </c>
      <c r="V30" s="773" t="s">
        <v>17</v>
      </c>
      <c r="W30" s="774">
        <f t="shared" si="14"/>
        <v>100</v>
      </c>
      <c r="X30" s="1812"/>
      <c r="Y30" s="3278"/>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276"/>
      <c r="Q31" s="1809">
        <f t="shared" si="11"/>
        <v>111</v>
      </c>
      <c r="R31" s="773" t="s">
        <v>17</v>
      </c>
      <c r="S31" s="774">
        <f t="shared" si="12"/>
        <v>100</v>
      </c>
      <c r="T31" s="773" t="s">
        <v>17</v>
      </c>
      <c r="U31" s="774">
        <f t="shared" si="13"/>
        <v>100</v>
      </c>
      <c r="V31" s="773" t="s">
        <v>17</v>
      </c>
      <c r="W31" s="774">
        <f t="shared" si="14"/>
        <v>100</v>
      </c>
      <c r="X31" s="1812"/>
      <c r="Y31" s="3278"/>
      <c r="Z31" s="1813">
        <f t="shared" si="15"/>
        <v>111</v>
      </c>
      <c r="AA31" s="1810">
        <f t="shared" si="3"/>
        <v>1</v>
      </c>
      <c r="AB31" s="1810">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276"/>
      <c r="Q32" s="1809">
        <f t="shared" si="11"/>
        <v>111</v>
      </c>
      <c r="R32" s="773" t="s">
        <v>17</v>
      </c>
      <c r="S32" s="774">
        <f t="shared" si="12"/>
        <v>100</v>
      </c>
      <c r="T32" s="773" t="s">
        <v>17</v>
      </c>
      <c r="U32" s="774">
        <f t="shared" si="13"/>
        <v>100</v>
      </c>
      <c r="V32" s="773" t="s">
        <v>17</v>
      </c>
      <c r="W32" s="774">
        <f t="shared" si="14"/>
        <v>100</v>
      </c>
      <c r="X32" s="1812"/>
      <c r="Y32" s="3278"/>
      <c r="Z32" s="1813">
        <f t="shared" si="15"/>
        <v>111</v>
      </c>
      <c r="AA32" s="1810">
        <f t="shared" si="3"/>
        <v>1</v>
      </c>
      <c r="AB32" s="1810">
        <f t="shared" si="4"/>
        <v>1</v>
      </c>
      <c r="AC32" s="2674">
        <f t="shared" si="5"/>
        <v>1</v>
      </c>
    </row>
    <row r="33" spans="1:29" ht="15">
      <c r="A33" s="439" t="s">
        <v>2560</v>
      </c>
      <c r="B33" s="71" t="s">
        <v>2690</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279" t="s">
        <v>2562</v>
      </c>
      <c r="Q33" s="1809" t="str">
        <f t="shared" si="11"/>
        <v>建筑类型</v>
      </c>
      <c r="R33" s="773" t="s">
        <v>17</v>
      </c>
      <c r="S33" s="774">
        <f t="shared" si="12"/>
        <v>100</v>
      </c>
      <c r="T33" s="773" t="s">
        <v>17</v>
      </c>
      <c r="U33" s="774">
        <f t="shared" si="13"/>
        <v>100</v>
      </c>
      <c r="V33" s="773" t="s">
        <v>17</v>
      </c>
      <c r="W33" s="774">
        <f t="shared" si="14"/>
        <v>100</v>
      </c>
      <c r="X33" s="1812"/>
      <c r="Y33" s="3282" t="s">
        <v>2562</v>
      </c>
      <c r="Z33" s="1813" t="str">
        <f t="shared" si="15"/>
        <v>建筑类型</v>
      </c>
      <c r="AA33" s="1810">
        <f t="shared" si="3"/>
        <v>1</v>
      </c>
      <c r="AB33" s="1810">
        <f t="shared" si="4"/>
        <v>1</v>
      </c>
      <c r="AC33" s="2674">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80"/>
      <c r="Q34" s="775" t="str">
        <f t="shared" si="11"/>
        <v>项目建筑规模</v>
      </c>
      <c r="R34" s="776" t="s">
        <v>17</v>
      </c>
      <c r="S34" s="777" t="e">
        <f t="shared" si="12"/>
        <v>#N/A</v>
      </c>
      <c r="T34" s="776" t="s">
        <v>17</v>
      </c>
      <c r="U34" s="777" t="e">
        <f t="shared" si="13"/>
        <v>#N/A</v>
      </c>
      <c r="V34" s="776" t="s">
        <v>17</v>
      </c>
      <c r="W34" s="777" t="e">
        <f t="shared" si="14"/>
        <v>#N/A</v>
      </c>
      <c r="X34" s="778"/>
      <c r="Y34" s="3282"/>
      <c r="Z34" s="779" t="str">
        <f t="shared" si="15"/>
        <v>项目建筑规模</v>
      </c>
      <c r="AA34" s="1810" t="e">
        <f t="shared" si="3"/>
        <v>#N/A</v>
      </c>
      <c r="AB34" s="1810" t="e">
        <f t="shared" si="4"/>
        <v>#N/A</v>
      </c>
      <c r="AC34" s="2674"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80"/>
      <c r="Q35" s="1809" t="str">
        <f t="shared" si="11"/>
        <v>建筑结构</v>
      </c>
      <c r="R35" s="773" t="s">
        <v>17</v>
      </c>
      <c r="S35" s="774">
        <f t="shared" si="12"/>
        <v>100</v>
      </c>
      <c r="T35" s="773" t="s">
        <v>17</v>
      </c>
      <c r="U35" s="774">
        <f t="shared" si="13"/>
        <v>100</v>
      </c>
      <c r="V35" s="773" t="s">
        <v>17</v>
      </c>
      <c r="W35" s="774">
        <f t="shared" si="14"/>
        <v>100</v>
      </c>
      <c r="X35" s="1812"/>
      <c r="Y35" s="3282"/>
      <c r="Z35" s="1813" t="str">
        <f t="shared" si="15"/>
        <v>建筑结构</v>
      </c>
      <c r="AA35" s="1810">
        <f t="shared" si="3"/>
        <v>1</v>
      </c>
      <c r="AB35" s="1810">
        <f t="shared" si="4"/>
        <v>1</v>
      </c>
      <c r="AC35" s="2674">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80"/>
      <c r="Q36" s="1809" t="str">
        <f t="shared" si="11"/>
        <v>公共部分装修</v>
      </c>
      <c r="R36" s="773" t="s">
        <v>17</v>
      </c>
      <c r="S36" s="774">
        <f t="shared" si="12"/>
        <v>100</v>
      </c>
      <c r="T36" s="773" t="s">
        <v>17</v>
      </c>
      <c r="U36" s="774">
        <f t="shared" si="13"/>
        <v>100</v>
      </c>
      <c r="V36" s="773" t="s">
        <v>17</v>
      </c>
      <c r="W36" s="774">
        <f t="shared" si="14"/>
        <v>100</v>
      </c>
      <c r="X36" s="1812"/>
      <c r="Y36" s="3282"/>
      <c r="Z36" s="1813" t="str">
        <f t="shared" si="15"/>
        <v>公共部分装修</v>
      </c>
      <c r="AA36" s="1810">
        <f t="shared" si="3"/>
        <v>1</v>
      </c>
      <c r="AB36" s="1810">
        <f t="shared" si="4"/>
        <v>1</v>
      </c>
      <c r="AC36" s="2674">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80"/>
      <c r="Q37" s="1809" t="str">
        <f t="shared" si="11"/>
        <v>成新度</v>
      </c>
      <c r="R37" s="773" t="s">
        <v>17</v>
      </c>
      <c r="S37" s="774" t="e">
        <f t="shared" si="12"/>
        <v>#N/A</v>
      </c>
      <c r="T37" s="773" t="s">
        <v>17</v>
      </c>
      <c r="U37" s="774" t="e">
        <f t="shared" si="13"/>
        <v>#N/A</v>
      </c>
      <c r="V37" s="773" t="s">
        <v>17</v>
      </c>
      <c r="W37" s="774" t="e">
        <f t="shared" si="14"/>
        <v>#N/A</v>
      </c>
      <c r="X37" s="1812"/>
      <c r="Y37" s="3282"/>
      <c r="Z37" s="1813" t="str">
        <f t="shared" si="15"/>
        <v>成新度</v>
      </c>
      <c r="AA37" s="1810" t="e">
        <f t="shared" si="3"/>
        <v>#N/A</v>
      </c>
      <c r="AB37" s="1810" t="e">
        <f t="shared" si="4"/>
        <v>#N/A</v>
      </c>
      <c r="AC37" s="2674"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80"/>
      <c r="Q38" s="1794" t="str">
        <f t="shared" si="11"/>
        <v>写字楼等级</v>
      </c>
      <c r="R38" s="769" t="s">
        <v>17</v>
      </c>
      <c r="S38" s="770">
        <f t="shared" si="12"/>
        <v>100</v>
      </c>
      <c r="T38" s="769" t="s">
        <v>17</v>
      </c>
      <c r="U38" s="770">
        <f t="shared" si="13"/>
        <v>100</v>
      </c>
      <c r="V38" s="769" t="s">
        <v>17</v>
      </c>
      <c r="W38" s="770">
        <f t="shared" si="14"/>
        <v>100</v>
      </c>
      <c r="X38" s="771"/>
      <c r="Y38" s="3282"/>
      <c r="Z38" s="55" t="str">
        <f t="shared" si="15"/>
        <v>写字楼等级</v>
      </c>
      <c r="AA38" s="772">
        <f t="shared" si="3"/>
        <v>1</v>
      </c>
      <c r="AB38" s="772">
        <f t="shared" si="4"/>
        <v>1</v>
      </c>
      <c r="AC38" s="2671">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80" t="s">
        <v>2562</v>
      </c>
      <c r="Q39" s="1809" t="str">
        <f t="shared" si="11"/>
        <v>物业管理</v>
      </c>
      <c r="R39" s="773" t="s">
        <v>17</v>
      </c>
      <c r="S39" s="774">
        <f t="shared" si="12"/>
        <v>100</v>
      </c>
      <c r="T39" s="773" t="s">
        <v>17</v>
      </c>
      <c r="U39" s="774">
        <f t="shared" si="13"/>
        <v>100</v>
      </c>
      <c r="V39" s="773" t="s">
        <v>17</v>
      </c>
      <c r="W39" s="774">
        <f t="shared" si="14"/>
        <v>100</v>
      </c>
      <c r="X39" s="1812"/>
      <c r="Y39" s="3282" t="s">
        <v>2562</v>
      </c>
      <c r="Z39" s="1813" t="str">
        <f t="shared" si="15"/>
        <v>物业管理</v>
      </c>
      <c r="AA39" s="1810">
        <f t="shared" si="3"/>
        <v>1</v>
      </c>
      <c r="AB39" s="1810">
        <f t="shared" si="4"/>
        <v>1</v>
      </c>
      <c r="AC39" s="2674">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80"/>
      <c r="Q40" s="1809" t="str">
        <f t="shared" si="11"/>
        <v>市政基础设施</v>
      </c>
      <c r="R40" s="773" t="s">
        <v>17</v>
      </c>
      <c r="S40" s="774">
        <f t="shared" si="12"/>
        <v>100</v>
      </c>
      <c r="T40" s="773" t="s">
        <v>17</v>
      </c>
      <c r="U40" s="774">
        <f t="shared" si="13"/>
        <v>100</v>
      </c>
      <c r="V40" s="773" t="s">
        <v>17</v>
      </c>
      <c r="W40" s="774">
        <f t="shared" si="14"/>
        <v>100</v>
      </c>
      <c r="X40" s="1812"/>
      <c r="Y40" s="3282"/>
      <c r="Z40" s="1813" t="str">
        <f t="shared" si="15"/>
        <v>市政基础设施</v>
      </c>
      <c r="AA40" s="1810">
        <f t="shared" si="3"/>
        <v>1</v>
      </c>
      <c r="AB40" s="1810">
        <f t="shared" si="4"/>
        <v>1</v>
      </c>
      <c r="AC40" s="2674">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80"/>
      <c r="Q41" s="1809" t="str">
        <f t="shared" si="11"/>
        <v>层高</v>
      </c>
      <c r="R41" s="773" t="s">
        <v>17</v>
      </c>
      <c r="S41" s="774">
        <f t="shared" si="12"/>
        <v>100</v>
      </c>
      <c r="T41" s="773" t="s">
        <v>17</v>
      </c>
      <c r="U41" s="774">
        <f t="shared" si="13"/>
        <v>100</v>
      </c>
      <c r="V41" s="773" t="s">
        <v>17</v>
      </c>
      <c r="W41" s="774">
        <f t="shared" si="14"/>
        <v>100</v>
      </c>
      <c r="X41" s="1812"/>
      <c r="Y41" s="3282"/>
      <c r="Z41" s="1813" t="str">
        <f t="shared" si="15"/>
        <v>层高</v>
      </c>
      <c r="AA41" s="1810">
        <f t="shared" si="3"/>
        <v>1</v>
      </c>
      <c r="AB41" s="1810">
        <f t="shared" si="4"/>
        <v>1</v>
      </c>
      <c r="AC41" s="2674">
        <f t="shared" si="5"/>
        <v>1</v>
      </c>
    </row>
    <row r="42" spans="1:29" s="470" customFormat="1" ht="15">
      <c r="A42" s="467"/>
      <c r="B42" s="1811"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80"/>
      <c r="Q42" s="775" t="str">
        <f t="shared" si="11"/>
        <v>单套建筑面积</v>
      </c>
      <c r="R42" s="776" t="s">
        <v>17</v>
      </c>
      <c r="S42" s="777">
        <f t="shared" si="12"/>
        <v>100</v>
      </c>
      <c r="T42" s="776" t="s">
        <v>17</v>
      </c>
      <c r="U42" s="777">
        <f t="shared" si="13"/>
        <v>100</v>
      </c>
      <c r="V42" s="776" t="s">
        <v>17</v>
      </c>
      <c r="W42" s="777">
        <f t="shared" si="14"/>
        <v>100</v>
      </c>
      <c r="X42" s="778"/>
      <c r="Y42" s="3282"/>
      <c r="Z42" s="779" t="str">
        <f t="shared" si="15"/>
        <v>单套建筑面积</v>
      </c>
      <c r="AA42" s="1810">
        <f t="shared" si="3"/>
        <v>1</v>
      </c>
      <c r="AB42" s="1810">
        <f t="shared" si="4"/>
        <v>1</v>
      </c>
      <c r="AC42" s="2674">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80"/>
      <c r="Q43" s="1809" t="str">
        <f t="shared" si="11"/>
        <v>内部装修</v>
      </c>
      <c r="R43" s="773" t="s">
        <v>17</v>
      </c>
      <c r="S43" s="774">
        <f t="shared" si="12"/>
        <v>100</v>
      </c>
      <c r="T43" s="773" t="s">
        <v>17</v>
      </c>
      <c r="U43" s="774">
        <f t="shared" si="13"/>
        <v>100</v>
      </c>
      <c r="V43" s="773" t="s">
        <v>17</v>
      </c>
      <c r="W43" s="774">
        <f t="shared" si="14"/>
        <v>100</v>
      </c>
      <c r="X43" s="1812"/>
      <c r="Y43" s="3282"/>
      <c r="Z43" s="1813" t="str">
        <f t="shared" si="15"/>
        <v>内部装修</v>
      </c>
      <c r="AA43" s="1810">
        <f t="shared" si="3"/>
        <v>1</v>
      </c>
      <c r="AB43" s="1810">
        <f t="shared" si="4"/>
        <v>1</v>
      </c>
      <c r="AC43" s="2674">
        <f t="shared" si="5"/>
        <v>1</v>
      </c>
    </row>
    <row r="44" spans="1:29" ht="15">
      <c r="A44" s="471"/>
      <c r="B44" s="421" t="s">
        <v>2573</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280"/>
      <c r="Q44" s="1809" t="str">
        <f t="shared" si="11"/>
        <v>内部装修维护情况</v>
      </c>
      <c r="R44" s="773" t="s">
        <v>17</v>
      </c>
      <c r="S44" s="774">
        <f t="shared" si="12"/>
        <v>100</v>
      </c>
      <c r="T44" s="773" t="s">
        <v>17</v>
      </c>
      <c r="U44" s="774">
        <f t="shared" si="13"/>
        <v>100</v>
      </c>
      <c r="V44" s="773" t="s">
        <v>17</v>
      </c>
      <c r="W44" s="774">
        <f t="shared" si="14"/>
        <v>100</v>
      </c>
      <c r="X44" s="1812"/>
      <c r="Y44" s="3282"/>
      <c r="Z44" s="1813" t="str">
        <f t="shared" si="15"/>
        <v>内部装修维护情况</v>
      </c>
      <c r="AA44" s="1810">
        <f t="shared" si="3"/>
        <v>1</v>
      </c>
      <c r="AB44" s="1810">
        <f t="shared" si="4"/>
        <v>1</v>
      </c>
      <c r="AC44" s="2674">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80"/>
      <c r="Q45" s="1794">
        <f t="shared" si="11"/>
        <v>111</v>
      </c>
      <c r="R45" s="769" t="s">
        <v>17</v>
      </c>
      <c r="S45" s="770">
        <f t="shared" si="12"/>
        <v>100</v>
      </c>
      <c r="T45" s="769" t="s">
        <v>17</v>
      </c>
      <c r="U45" s="770">
        <f t="shared" si="13"/>
        <v>100</v>
      </c>
      <c r="V45" s="769" t="s">
        <v>17</v>
      </c>
      <c r="W45" s="770">
        <f t="shared" si="14"/>
        <v>100</v>
      </c>
      <c r="X45" s="771"/>
      <c r="Y45" s="3282"/>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80"/>
      <c r="Q46" s="1809">
        <f t="shared" si="11"/>
        <v>111</v>
      </c>
      <c r="R46" s="773" t="s">
        <v>17</v>
      </c>
      <c r="S46" s="774">
        <f t="shared" si="12"/>
        <v>100</v>
      </c>
      <c r="T46" s="773" t="s">
        <v>17</v>
      </c>
      <c r="U46" s="774">
        <f t="shared" si="13"/>
        <v>100</v>
      </c>
      <c r="V46" s="773" t="s">
        <v>17</v>
      </c>
      <c r="W46" s="774">
        <f t="shared" si="14"/>
        <v>100</v>
      </c>
      <c r="X46" s="1812"/>
      <c r="Y46" s="3282"/>
      <c r="Z46" s="1813">
        <f t="shared" si="15"/>
        <v>111</v>
      </c>
      <c r="AA46" s="1810">
        <f t="shared" si="3"/>
        <v>1</v>
      </c>
      <c r="AB46" s="1810">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81"/>
      <c r="Q47" s="1809">
        <f t="shared" si="11"/>
        <v>111</v>
      </c>
      <c r="R47" s="773" t="s">
        <v>17</v>
      </c>
      <c r="S47" s="774">
        <f t="shared" si="12"/>
        <v>100</v>
      </c>
      <c r="T47" s="773" t="s">
        <v>17</v>
      </c>
      <c r="U47" s="774">
        <f t="shared" si="13"/>
        <v>100</v>
      </c>
      <c r="V47" s="773" t="s">
        <v>17</v>
      </c>
      <c r="W47" s="774">
        <f t="shared" si="14"/>
        <v>100</v>
      </c>
      <c r="X47" s="1812"/>
      <c r="Y47" s="3283"/>
      <c r="Z47" s="1813">
        <f t="shared" si="15"/>
        <v>111</v>
      </c>
      <c r="AA47" s="1810">
        <f t="shared" si="3"/>
        <v>1</v>
      </c>
      <c r="AB47" s="1810">
        <f t="shared" si="4"/>
        <v>1</v>
      </c>
      <c r="AC47" s="2674">
        <f t="shared" si="5"/>
        <v>1</v>
      </c>
    </row>
    <row r="48" spans="1:29" ht="15">
      <c r="A48" s="478" t="s">
        <v>2574</v>
      </c>
      <c r="B48" s="479"/>
      <c r="C48" s="1406" t="s">
        <v>1</v>
      </c>
      <c r="D48" s="1407"/>
      <c r="E48" s="1408"/>
      <c r="F48" s="1409"/>
      <c r="G48" s="1410"/>
      <c r="H48" s="1411"/>
      <c r="I48" s="1408"/>
      <c r="J48" s="484"/>
      <c r="K48" s="782"/>
      <c r="L48" s="1142"/>
      <c r="M48" s="1130"/>
      <c r="N48" s="1130"/>
      <c r="O48" s="1130"/>
      <c r="P48" s="3261" t="str">
        <f>A48</f>
        <v>成交单价（元/平方米）</v>
      </c>
      <c r="Q48" s="3284"/>
      <c r="R48" s="3285">
        <f>E48</f>
        <v>0</v>
      </c>
      <c r="S48" s="3285"/>
      <c r="T48" s="3285">
        <f>G48</f>
        <v>0</v>
      </c>
      <c r="U48" s="3285"/>
      <c r="V48" s="3285">
        <f>I48</f>
        <v>0</v>
      </c>
      <c r="W48" s="3285"/>
      <c r="X48" s="445"/>
      <c r="Y48" s="780"/>
      <c r="Z48" s="445"/>
      <c r="AA48" s="445"/>
      <c r="AB48" s="445"/>
      <c r="AC48" s="629"/>
    </row>
    <row r="49" spans="1:29" ht="15.75" thickBot="1">
      <c r="A49" s="485" t="s">
        <v>2666</v>
      </c>
      <c r="B49" s="486"/>
      <c r="C49" s="1412" t="e">
        <f>R50</f>
        <v>#DIV/0!</v>
      </c>
      <c r="D49" s="1413"/>
      <c r="E49" s="1414" t="e">
        <f>R49</f>
        <v>#DIV/0!</v>
      </c>
      <c r="F49" s="1414"/>
      <c r="G49" s="1412" t="e">
        <f>T49</f>
        <v>#DIV/0!</v>
      </c>
      <c r="H49" s="1413"/>
      <c r="I49" s="1414" t="e">
        <f>V49</f>
        <v>#DIV/0!</v>
      </c>
      <c r="J49" s="488"/>
      <c r="K49" s="783"/>
      <c r="L49" s="1142"/>
      <c r="M49" s="1130"/>
      <c r="N49" s="1130"/>
      <c r="O49" s="1130"/>
      <c r="P49" s="3261" t="str">
        <f>A49</f>
        <v>比较价值（元/平方米）</v>
      </c>
      <c r="Q49" s="3284"/>
      <c r="R49" s="3285" t="e">
        <f>IF(F1="售价",ROUND(PRODUCT(R48,AA7:AA47),0),ROUND(PRODUCT(R48,AA7:AA47),1))</f>
        <v>#DIV/0!</v>
      </c>
      <c r="S49" s="3285"/>
      <c r="T49" s="3285" t="e">
        <f>IF(F1="售价",ROUND(PRODUCT(T48,AB7:AB47),0),ROUND(PRODUCT(T48,AB7:AB47),1))</f>
        <v>#DIV/0!</v>
      </c>
      <c r="U49" s="3285"/>
      <c r="V49" s="3285" t="e">
        <f>IF(F1="售价",ROUND(PRODUCT(V48,AC7:AC47),0),ROUND(PRODUCT(V48,AC7:AC47),1))</f>
        <v>#DIV/0!</v>
      </c>
      <c r="W49" s="3285"/>
      <c r="X49" s="445"/>
      <c r="Y49" s="445"/>
      <c r="Z49" s="445"/>
      <c r="AA49" s="445"/>
      <c r="AB49" s="445"/>
      <c r="AC49" s="629"/>
    </row>
    <row r="50" spans="1:29" ht="15.75" thickBot="1">
      <c r="A50" s="491" t="s">
        <v>2667</v>
      </c>
      <c r="B50" s="492"/>
      <c r="C50" s="1416" t="e">
        <f>R50</f>
        <v>#DIV/0!</v>
      </c>
      <c r="D50" s="1416"/>
      <c r="E50" s="1416"/>
      <c r="F50" s="1416"/>
      <c r="G50" s="1416"/>
      <c r="H50" s="1416"/>
      <c r="I50" s="1416"/>
      <c r="J50" s="493"/>
      <c r="K50" s="784"/>
      <c r="L50" s="1142"/>
      <c r="M50" s="1130"/>
      <c r="N50" s="1130"/>
      <c r="O50" s="1130"/>
      <c r="P50" s="3328" t="str">
        <f>A50</f>
        <v>估价对象XX用房的比较价值（楼面单价，元/平方米）</v>
      </c>
      <c r="Q50" s="3329"/>
      <c r="R50" s="3330" t="e">
        <f>IF(F1="售价",ROUND(AVERAGE(R49:V49),0),ROUND(AVERAGE(R49:V49),1))</f>
        <v>#DIV/0!</v>
      </c>
      <c r="S50" s="3330"/>
      <c r="T50" s="3330"/>
      <c r="U50" s="3330"/>
      <c r="V50" s="3330"/>
      <c r="W50" s="3330"/>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2671</v>
      </c>
      <c r="B58" s="758"/>
      <c r="C58" s="763"/>
      <c r="D58" s="763"/>
      <c r="E58" s="763"/>
      <c r="F58" s="764"/>
      <c r="G58" s="764"/>
      <c r="H58" s="763"/>
      <c r="I58" s="763"/>
      <c r="J58" s="763"/>
      <c r="K58" s="765"/>
      <c r="L58" s="1160"/>
      <c r="M58" s="1158"/>
      <c r="N58" s="1158"/>
      <c r="O58" s="1158"/>
      <c r="P58" s="2681"/>
      <c r="Q58" s="503"/>
    </row>
    <row r="59" spans="1:29" s="507" customFormat="1" ht="15">
      <c r="A59" s="504" t="s">
        <v>2545</v>
      </c>
      <c r="B59" s="505"/>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6" customFormat="1" ht="15">
      <c r="A60" s="508"/>
      <c r="B60" s="509"/>
      <c r="C60" s="1572">
        <v>100</v>
      </c>
      <c r="D60" s="511"/>
      <c r="E60" s="511"/>
      <c r="F60" s="511"/>
      <c r="G60" s="511"/>
      <c r="H60" s="511"/>
      <c r="I60" s="511"/>
      <c r="J60" s="511"/>
      <c r="K60" s="511"/>
      <c r="L60" s="511"/>
      <c r="M60" s="512"/>
      <c r="N60" s="511"/>
      <c r="O60" s="512"/>
      <c r="P60" s="2682"/>
    </row>
    <row r="61" spans="1:29" s="116" customFormat="1" ht="15.75" thickBot="1">
      <c r="A61" s="514" t="s">
        <v>2582</v>
      </c>
      <c r="B61" s="515"/>
      <c r="C61" s="516"/>
      <c r="D61" s="517"/>
      <c r="E61" s="517"/>
      <c r="F61" s="517"/>
      <c r="G61" s="517"/>
      <c r="H61" s="517"/>
      <c r="I61" s="517"/>
      <c r="J61" s="517"/>
      <c r="K61" s="517"/>
      <c r="L61" s="517"/>
      <c r="M61" s="518"/>
      <c r="N61" s="517"/>
      <c r="O61" s="518"/>
      <c r="P61" s="2682"/>
      <c r="Q61" s="503"/>
    </row>
    <row r="62" spans="1:29" s="116" customFormat="1" ht="15">
      <c r="A62" s="520" t="s">
        <v>2547</v>
      </c>
      <c r="B62" s="509"/>
      <c r="C62" s="521" t="s">
        <v>2649</v>
      </c>
      <c r="D62" s="522"/>
      <c r="E62" s="522"/>
      <c r="F62" s="522"/>
      <c r="G62" s="522"/>
      <c r="H62" s="522"/>
      <c r="I62" s="522"/>
      <c r="J62" s="522"/>
      <c r="K62" s="522"/>
      <c r="L62" s="523"/>
      <c r="M62" s="524"/>
      <c r="N62" s="1150"/>
      <c r="O62" s="1150"/>
      <c r="P62" s="2683"/>
      <c r="Q62" s="503"/>
    </row>
    <row r="63" spans="1:29" s="116" customFormat="1" ht="15.75" thickBot="1">
      <c r="A63" s="520"/>
      <c r="B63" s="509"/>
      <c r="C63" s="510">
        <v>100</v>
      </c>
      <c r="D63" s="511"/>
      <c r="E63" s="511"/>
      <c r="F63" s="511"/>
      <c r="G63" s="511"/>
      <c r="H63" s="511"/>
      <c r="I63" s="511"/>
      <c r="J63" s="511"/>
      <c r="K63" s="511"/>
      <c r="L63" s="511"/>
      <c r="M63" s="513"/>
      <c r="N63" s="1150"/>
      <c r="O63" s="1150"/>
      <c r="P63" s="2682"/>
      <c r="Q63" s="503"/>
    </row>
    <row r="64" spans="1:29">
      <c r="A64" s="526" t="s">
        <v>2585</v>
      </c>
      <c r="B64" s="527" t="s">
        <v>2551</v>
      </c>
      <c r="C64" s="528">
        <f>C9</f>
        <v>0</v>
      </c>
      <c r="D64" s="529"/>
      <c r="E64" s="529"/>
      <c r="F64" s="529"/>
      <c r="G64" s="529"/>
      <c r="H64" s="529"/>
      <c r="I64" s="529"/>
      <c r="J64" s="529"/>
      <c r="K64" s="530"/>
      <c r="L64" s="531"/>
      <c r="M64" s="532"/>
      <c r="N64" s="1151"/>
      <c r="O64" s="1151"/>
      <c r="P64" s="2684"/>
      <c r="Q64" s="503"/>
    </row>
    <row r="65" spans="1:17" ht="15.75" thickBot="1">
      <c r="A65" s="533"/>
      <c r="B65" s="534"/>
      <c r="C65" s="535">
        <v>100</v>
      </c>
      <c r="D65" s="535"/>
      <c r="E65" s="535"/>
      <c r="F65" s="535"/>
      <c r="G65" s="535"/>
      <c r="H65" s="535"/>
      <c r="I65" s="535"/>
      <c r="J65" s="535"/>
      <c r="K65" s="535"/>
      <c r="L65" s="535"/>
      <c r="M65" s="536"/>
      <c r="N65" s="1152"/>
      <c r="O65" s="1152"/>
      <c r="P65" s="2684"/>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1"/>
      <c r="O66" s="1151"/>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ht="15">
      <c r="A69" s="533"/>
      <c r="B69" s="547"/>
      <c r="C69" s="548"/>
      <c r="D69" s="548"/>
      <c r="E69" s="548"/>
      <c r="F69" s="548"/>
      <c r="G69" s="548"/>
      <c r="H69" s="548"/>
      <c r="I69" s="548"/>
      <c r="J69" s="548"/>
      <c r="K69" s="549"/>
      <c r="L69" s="550"/>
      <c r="M69" s="551"/>
      <c r="N69" s="1151"/>
      <c r="O69" s="1151"/>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5.75" thickTop="1">
      <c r="A71" s="552"/>
      <c r="B71" s="537">
        <f>B12</f>
        <v>111</v>
      </c>
      <c r="C71" s="553"/>
      <c r="D71" s="553"/>
      <c r="E71" s="553"/>
      <c r="F71" s="553"/>
      <c r="G71" s="553"/>
      <c r="H71" s="554"/>
      <c r="I71" s="554"/>
      <c r="J71" s="554"/>
      <c r="K71" s="554"/>
      <c r="L71" s="555"/>
      <c r="M71" s="556"/>
      <c r="N71" s="1153"/>
      <c r="O71" s="1153"/>
      <c r="P71" s="2685"/>
      <c r="Q71" s="558"/>
    </row>
    <row r="72" spans="1:17" s="470" customFormat="1" ht="15.75" thickBot="1">
      <c r="A72" s="552"/>
      <c r="B72" s="542"/>
      <c r="C72" s="559"/>
      <c r="D72" s="535"/>
      <c r="E72" s="535"/>
      <c r="F72" s="535"/>
      <c r="G72" s="535"/>
      <c r="H72" s="535"/>
      <c r="I72" s="535"/>
      <c r="J72" s="535"/>
      <c r="K72" s="535"/>
      <c r="L72" s="535"/>
      <c r="M72" s="536"/>
      <c r="N72" s="1152"/>
      <c r="O72" s="1152"/>
      <c r="P72" s="2685"/>
      <c r="Q72" s="558"/>
    </row>
    <row r="73" spans="1:17" s="470" customFormat="1" ht="15.75" thickTop="1">
      <c r="A73" s="552"/>
      <c r="B73" s="537">
        <f>B13</f>
        <v>111</v>
      </c>
      <c r="C73" s="553"/>
      <c r="D73" s="553"/>
      <c r="E73" s="553"/>
      <c r="F73" s="553"/>
      <c r="G73" s="553"/>
      <c r="H73" s="554"/>
      <c r="I73" s="554"/>
      <c r="J73" s="554"/>
      <c r="K73" s="554"/>
      <c r="L73" s="555"/>
      <c r="M73" s="556"/>
      <c r="N73" s="1153"/>
      <c r="O73" s="1153"/>
      <c r="P73" s="2686"/>
      <c r="Q73" s="560"/>
    </row>
    <row r="74" spans="1:17" s="470" customFormat="1" ht="15.75" thickBot="1">
      <c r="A74" s="552"/>
      <c r="B74" s="542"/>
      <c r="C74" s="559"/>
      <c r="D74" s="559"/>
      <c r="E74" s="559"/>
      <c r="F74" s="559"/>
      <c r="G74" s="559"/>
      <c r="H74" s="561"/>
      <c r="I74" s="561"/>
      <c r="J74" s="561"/>
      <c r="K74" s="561"/>
      <c r="L74" s="561"/>
      <c r="M74" s="562"/>
      <c r="N74" s="1153"/>
      <c r="O74" s="1153"/>
      <c r="P74" s="2685"/>
      <c r="Q74" s="558"/>
    </row>
    <row r="75" spans="1:17" s="470" customFormat="1" ht="15.75" thickTop="1">
      <c r="A75" s="552"/>
      <c r="B75" s="545">
        <f>B14</f>
        <v>111</v>
      </c>
      <c r="C75" s="522"/>
      <c r="D75" s="522"/>
      <c r="E75" s="522"/>
      <c r="F75" s="522"/>
      <c r="G75" s="522"/>
      <c r="H75" s="563"/>
      <c r="I75" s="563"/>
      <c r="J75" s="563"/>
      <c r="K75" s="563"/>
      <c r="L75" s="564"/>
      <c r="M75" s="565"/>
      <c r="N75" s="1153"/>
      <c r="O75" s="1153"/>
      <c r="P75" s="2687"/>
      <c r="Q75" s="558"/>
    </row>
    <row r="76" spans="1:17" s="470" customFormat="1" ht="15.75" thickBot="1">
      <c r="A76" s="567"/>
      <c r="B76" s="568"/>
      <c r="C76" s="569"/>
      <c r="D76" s="569"/>
      <c r="E76" s="569"/>
      <c r="F76" s="569"/>
      <c r="G76" s="569"/>
      <c r="H76" s="570"/>
      <c r="I76" s="570"/>
      <c r="J76" s="570"/>
      <c r="K76" s="570"/>
      <c r="L76" s="570"/>
      <c r="M76" s="571"/>
      <c r="N76" s="1153"/>
      <c r="O76" s="1153"/>
      <c r="P76" s="2685"/>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1"/>
      <c r="O77" s="1151"/>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1"/>
      <c r="O79" s="1151"/>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1"/>
      <c r="O81" s="1151"/>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75" thickTop="1">
      <c r="A83" s="533"/>
      <c r="B83" s="545" t="s">
        <v>2686</v>
      </c>
      <c r="C83" s="659" t="s">
        <v>2672</v>
      </c>
      <c r="D83" s="659" t="s">
        <v>2673</v>
      </c>
      <c r="E83" s="659" t="s">
        <v>2674</v>
      </c>
      <c r="F83" s="659" t="s">
        <v>2675</v>
      </c>
      <c r="G83" s="659" t="s">
        <v>2676</v>
      </c>
      <c r="H83" s="538"/>
      <c r="I83" s="538"/>
      <c r="J83" s="538"/>
      <c r="K83" s="538"/>
      <c r="L83" s="538"/>
      <c r="M83" s="1381"/>
      <c r="N83" s="1152"/>
      <c r="O83" s="1152"/>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1"/>
      <c r="O85" s="1151"/>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6" customFormat="1" ht="27.75" thickTop="1">
      <c r="A87" s="578"/>
      <c r="B87" s="537" t="s">
        <v>2696</v>
      </c>
      <c r="C87" s="553"/>
      <c r="D87" s="553"/>
      <c r="E87" s="553"/>
      <c r="F87" s="553"/>
      <c r="G87" s="553"/>
      <c r="H87" s="553"/>
      <c r="I87" s="553"/>
      <c r="J87" s="553"/>
      <c r="K87" s="553"/>
      <c r="L87" s="579"/>
      <c r="M87" s="580"/>
      <c r="N87" s="1150"/>
      <c r="O87" s="1150"/>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6" customFormat="1" ht="15.75" thickTop="1">
      <c r="A89" s="578"/>
      <c r="B89" s="537" t="str">
        <f>B27</f>
        <v>楼层</v>
      </c>
      <c r="C89" s="553"/>
      <c r="D89" s="553"/>
      <c r="E89" s="553"/>
      <c r="F89" s="2635"/>
      <c r="G89" s="553"/>
      <c r="H89" s="553"/>
      <c r="I89" s="553"/>
      <c r="J89" s="553"/>
      <c r="K89" s="553"/>
      <c r="L89" s="553"/>
      <c r="M89" s="580"/>
      <c r="N89" s="1150"/>
      <c r="O89" s="1150"/>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5.75" thickTop="1">
      <c r="A93" s="533"/>
      <c r="B93" s="537">
        <f>B29</f>
        <v>111</v>
      </c>
      <c r="C93" s="553"/>
      <c r="D93" s="553"/>
      <c r="E93" s="553"/>
      <c r="F93" s="553"/>
      <c r="G93" s="553"/>
      <c r="H93" s="553"/>
      <c r="I93" s="553"/>
      <c r="J93" s="553"/>
      <c r="K93" s="553"/>
      <c r="L93" s="579"/>
      <c r="M93" s="580"/>
      <c r="N93" s="1151"/>
      <c r="O93" s="1151"/>
      <c r="P93" s="2684"/>
      <c r="Q93" s="503"/>
    </row>
    <row r="94" spans="1:17" ht="15.75" thickBot="1">
      <c r="A94" s="533"/>
      <c r="B94" s="542"/>
      <c r="C94" s="559"/>
      <c r="D94" s="535"/>
      <c r="E94" s="535"/>
      <c r="F94" s="535"/>
      <c r="G94" s="535"/>
      <c r="H94" s="535"/>
      <c r="I94" s="535"/>
      <c r="J94" s="535"/>
      <c r="K94" s="535"/>
      <c r="L94" s="535"/>
      <c r="M94" s="536"/>
      <c r="N94" s="1152"/>
      <c r="O94" s="1152"/>
      <c r="P94" s="2684"/>
      <c r="Q94" s="503"/>
    </row>
    <row r="95" spans="1:17" ht="15.75" thickTop="1">
      <c r="A95" s="533"/>
      <c r="B95" s="537">
        <f>B30</f>
        <v>111</v>
      </c>
      <c r="C95" s="553"/>
      <c r="D95" s="553"/>
      <c r="E95" s="553"/>
      <c r="F95" s="553"/>
      <c r="G95" s="582"/>
      <c r="H95" s="582"/>
      <c r="I95" s="582"/>
      <c r="J95" s="582"/>
      <c r="K95" s="583"/>
      <c r="L95" s="584"/>
      <c r="M95" s="585"/>
      <c r="N95" s="1151"/>
      <c r="O95" s="1151"/>
      <c r="P95" s="2684"/>
      <c r="Q95" s="503"/>
    </row>
    <row r="96" spans="1:17" ht="15.75" thickBot="1">
      <c r="A96" s="533"/>
      <c r="B96" s="542"/>
      <c r="C96" s="559"/>
      <c r="D96" s="559"/>
      <c r="E96" s="559"/>
      <c r="F96" s="559"/>
      <c r="G96" s="535"/>
      <c r="H96" s="535"/>
      <c r="I96" s="535"/>
      <c r="J96" s="535"/>
      <c r="K96" s="535"/>
      <c r="L96" s="535"/>
      <c r="M96" s="536"/>
      <c r="N96" s="1152"/>
      <c r="O96" s="1152"/>
      <c r="P96" s="2684"/>
      <c r="Q96" s="503"/>
    </row>
    <row r="97" spans="1:17" ht="15.75" thickTop="1">
      <c r="A97" s="533"/>
      <c r="B97" s="537">
        <f>B31</f>
        <v>111</v>
      </c>
      <c r="C97" s="553"/>
      <c r="D97" s="553"/>
      <c r="E97" s="553"/>
      <c r="F97" s="553"/>
      <c r="G97" s="582"/>
      <c r="H97" s="582"/>
      <c r="I97" s="582"/>
      <c r="J97" s="582"/>
      <c r="K97" s="583"/>
      <c r="L97" s="584"/>
      <c r="M97" s="585"/>
      <c r="N97" s="1151"/>
      <c r="O97" s="1151"/>
      <c r="P97" s="2684"/>
      <c r="Q97" s="503"/>
    </row>
    <row r="98" spans="1:17" ht="15.75" thickBot="1">
      <c r="A98" s="533"/>
      <c r="B98" s="542"/>
      <c r="C98" s="559"/>
      <c r="D98" s="535"/>
      <c r="E98" s="535"/>
      <c r="F98" s="535"/>
      <c r="G98" s="535"/>
      <c r="H98" s="535"/>
      <c r="I98" s="535"/>
      <c r="J98" s="535"/>
      <c r="K98" s="535"/>
      <c r="L98" s="535"/>
      <c r="M98" s="536"/>
      <c r="N98" s="1152"/>
      <c r="O98" s="1152"/>
      <c r="P98" s="2684"/>
      <c r="Q98" s="503"/>
    </row>
    <row r="99" spans="1:17" ht="15.75" thickTop="1">
      <c r="A99" s="533"/>
      <c r="B99" s="545">
        <f>B32</f>
        <v>111</v>
      </c>
      <c r="C99" s="522"/>
      <c r="D99" s="522"/>
      <c r="E99" s="522"/>
      <c r="F99" s="522"/>
      <c r="G99" s="586"/>
      <c r="H99" s="586"/>
      <c r="I99" s="586"/>
      <c r="J99" s="586"/>
      <c r="K99" s="587"/>
      <c r="L99" s="588"/>
      <c r="M99" s="589"/>
      <c r="N99" s="1151"/>
      <c r="O99" s="1151"/>
      <c r="P99" s="2684"/>
      <c r="Q99" s="503"/>
    </row>
    <row r="100" spans="1:17" ht="15.75" thickBot="1">
      <c r="A100" s="2636"/>
      <c r="B100" s="568"/>
      <c r="C100" s="569"/>
      <c r="D100" s="569"/>
      <c r="E100" s="569"/>
      <c r="F100" s="569"/>
      <c r="G100" s="590"/>
      <c r="H100" s="590"/>
      <c r="I100" s="590"/>
      <c r="J100" s="590"/>
      <c r="K100" s="590"/>
      <c r="L100" s="590"/>
      <c r="M100" s="591"/>
      <c r="N100" s="1152"/>
      <c r="O100" s="1152"/>
      <c r="P100" s="2684"/>
      <c r="Q100" s="503"/>
    </row>
    <row r="101" spans="1:17">
      <c r="A101" s="526" t="s">
        <v>2560</v>
      </c>
      <c r="B101" s="527" t="s">
        <v>2609</v>
      </c>
      <c r="C101" s="529"/>
      <c r="D101" s="529"/>
      <c r="E101" s="529"/>
      <c r="F101" s="529"/>
      <c r="G101" s="529"/>
      <c r="H101" s="529"/>
      <c r="I101" s="529"/>
      <c r="J101" s="529"/>
      <c r="K101" s="530"/>
      <c r="L101" s="531"/>
      <c r="M101" s="532"/>
      <c r="N101" s="1151"/>
      <c r="O101" s="1151"/>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2611</v>
      </c>
      <c r="C106" s="553"/>
      <c r="D106" s="553"/>
      <c r="E106" s="582"/>
      <c r="F106" s="582"/>
      <c r="G106" s="582"/>
      <c r="H106" s="582"/>
      <c r="I106" s="582"/>
      <c r="J106" s="582"/>
      <c r="K106" s="583"/>
      <c r="L106" s="584"/>
      <c r="M106" s="585"/>
      <c r="N106" s="1151"/>
      <c r="O106" s="1151"/>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2613</v>
      </c>
      <c r="C108" s="553"/>
      <c r="D108" s="553"/>
      <c r="E108" s="553"/>
      <c r="F108" s="582"/>
      <c r="G108" s="582"/>
      <c r="H108" s="582"/>
      <c r="I108" s="582"/>
      <c r="J108" s="582"/>
      <c r="K108" s="583"/>
      <c r="L108" s="584"/>
      <c r="M108" s="585"/>
      <c r="N108" s="1151"/>
      <c r="O108" s="1151"/>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2697</v>
      </c>
      <c r="C113" s="553"/>
      <c r="D113" s="553"/>
      <c r="E113" s="553"/>
      <c r="F113" s="553"/>
      <c r="G113" s="553"/>
      <c r="H113" s="582"/>
      <c r="I113" s="582"/>
      <c r="J113" s="582"/>
      <c r="K113" s="583"/>
      <c r="L113" s="584"/>
      <c r="M113" s="585"/>
      <c r="N113" s="1153"/>
      <c r="O113" s="1153"/>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2614</v>
      </c>
      <c r="C115" s="553"/>
      <c r="D115" s="553"/>
      <c r="E115" s="582"/>
      <c r="F115" s="582"/>
      <c r="G115" s="582"/>
      <c r="H115" s="582"/>
      <c r="I115" s="582"/>
      <c r="J115" s="582"/>
      <c r="K115" s="583"/>
      <c r="L115" s="584"/>
      <c r="M115" s="585"/>
      <c r="N115" s="1151"/>
      <c r="O115" s="1151"/>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2615</v>
      </c>
      <c r="C117" s="553"/>
      <c r="D117" s="553"/>
      <c r="E117" s="553"/>
      <c r="F117" s="553"/>
      <c r="G117" s="553"/>
      <c r="H117" s="582"/>
      <c r="I117" s="582"/>
      <c r="J117" s="582"/>
      <c r="K117" s="583"/>
      <c r="L117" s="584"/>
      <c r="M117" s="585"/>
      <c r="N117" s="1151"/>
      <c r="O117" s="1151"/>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2698</v>
      </c>
      <c r="C119" s="582"/>
      <c r="D119" s="582"/>
      <c r="E119" s="582"/>
      <c r="F119" s="582"/>
      <c r="G119" s="582"/>
      <c r="H119" s="582"/>
      <c r="I119" s="582"/>
      <c r="J119" s="582"/>
      <c r="K119" s="582"/>
      <c r="L119" s="2689"/>
      <c r="M119" s="2690"/>
      <c r="N119" s="1152"/>
      <c r="O119" s="1152"/>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2681</v>
      </c>
      <c r="C121" s="553"/>
      <c r="D121" s="553"/>
      <c r="E121" s="553"/>
      <c r="F121" s="582"/>
      <c r="G121" s="554"/>
      <c r="H121" s="554"/>
      <c r="I121" s="554"/>
      <c r="J121" s="554"/>
      <c r="K121" s="554"/>
      <c r="L121" s="555"/>
      <c r="M121" s="556"/>
      <c r="N121" s="1153"/>
      <c r="O121" s="1153"/>
      <c r="P121" s="268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2617</v>
      </c>
      <c r="C123" s="553"/>
      <c r="D123" s="553"/>
      <c r="E123" s="553"/>
      <c r="F123" s="582"/>
      <c r="G123" s="582"/>
      <c r="H123" s="582"/>
      <c r="I123" s="582"/>
      <c r="J123" s="582"/>
      <c r="K123" s="583"/>
      <c r="L123" s="584"/>
      <c r="M123" s="585"/>
      <c r="N123" s="1151"/>
      <c r="O123" s="1151"/>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1"/>
      <c r="O125" s="1151"/>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5"/>
      <c r="Q128" s="558"/>
    </row>
    <row r="129" spans="1:17" ht="15" thickTop="1">
      <c r="A129" s="598"/>
      <c r="B129" s="537">
        <f>B46</f>
        <v>111</v>
      </c>
      <c r="C129" s="553"/>
      <c r="D129" s="553"/>
      <c r="E129" s="553"/>
      <c r="F129" s="553"/>
      <c r="G129" s="582"/>
      <c r="H129" s="582"/>
      <c r="I129" s="582"/>
      <c r="J129" s="582"/>
      <c r="K129" s="583"/>
      <c r="L129" s="584"/>
      <c r="M129" s="585"/>
      <c r="N129" s="1151"/>
      <c r="O129" s="1151"/>
      <c r="P129" s="2684"/>
      <c r="Q129" s="503"/>
    </row>
    <row r="130" spans="1:17" ht="15.75" thickBot="1">
      <c r="A130" s="533"/>
      <c r="B130" s="542"/>
      <c r="C130" s="559"/>
      <c r="D130" s="559"/>
      <c r="E130" s="559"/>
      <c r="F130" s="559"/>
      <c r="G130" s="535"/>
      <c r="H130" s="535"/>
      <c r="I130" s="535"/>
      <c r="J130" s="535"/>
      <c r="K130" s="535"/>
      <c r="L130" s="535"/>
      <c r="M130" s="536"/>
      <c r="N130" s="1152"/>
      <c r="O130" s="1152"/>
      <c r="P130" s="2684"/>
      <c r="Q130" s="503"/>
    </row>
    <row r="131" spans="1:17" ht="15" thickTop="1">
      <c r="A131" s="598"/>
      <c r="B131" s="545">
        <f>B47</f>
        <v>111</v>
      </c>
      <c r="C131" s="522"/>
      <c r="D131" s="522"/>
      <c r="E131" s="522"/>
      <c r="F131" s="522"/>
      <c r="G131" s="586"/>
      <c r="H131" s="586"/>
      <c r="I131" s="586"/>
      <c r="J131" s="586"/>
      <c r="K131" s="522"/>
      <c r="L131" s="523"/>
      <c r="M131" s="589"/>
      <c r="N131" s="1151"/>
      <c r="O131" s="1151"/>
      <c r="P131" s="2684"/>
      <c r="Q131" s="503"/>
    </row>
    <row r="132" spans="1:17" ht="15.75"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2525</v>
      </c>
      <c r="B1" s="2669" t="s">
        <v>2699</v>
      </c>
      <c r="C1" s="1619" t="s">
        <v>2527</v>
      </c>
      <c r="D1" s="1620"/>
      <c r="E1" s="1629"/>
      <c r="F1" s="2584"/>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IF(C2="——",ROUND(C43*D3/10000,0),ROUND(C43*D3/10000,0)-D2)</f>
        <v>#DIV/0!</v>
      </c>
      <c r="C2" s="2586"/>
      <c r="D2" s="1123" t="e">
        <f ca="1">SUMIF(INDIRECT("'"&amp;F2&amp;"'"&amp;"!A:A"),"承租人权益价值",INDIRECT("'"&amp;F2&amp;"'"&amp;"!c:c"))</f>
        <v>#REF!</v>
      </c>
      <c r="E2" s="2587" t="s">
        <v>2325</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2326</v>
      </c>
      <c r="B3" s="608" t="e">
        <f ca="1">IF(C2="——",C43,ROUND(B2*10000/D3,0))</f>
        <v>#DIV/0!</v>
      </c>
      <c r="C3" s="399" t="s">
        <v>2641</v>
      </c>
      <c r="D3" s="398">
        <f>IF(D1="",'数据-汇总表'!E3,SUMIF('数据-汇总表'!$C19:$C33,D1,'数据-汇总表'!$E19:$E33))</f>
        <v>34740.85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62" t="s">
        <v>2643</v>
      </c>
      <c r="D4" s="3263"/>
      <c r="E4" s="3264" t="s">
        <v>2644</v>
      </c>
      <c r="F4" s="3265"/>
      <c r="G4" s="3262" t="s">
        <v>2645</v>
      </c>
      <c r="H4" s="3263"/>
      <c r="I4" s="3262" t="s">
        <v>2646</v>
      </c>
      <c r="J4" s="3263"/>
      <c r="K4" s="609" t="s">
        <v>2647</v>
      </c>
      <c r="L4" s="1129"/>
      <c r="M4" s="1130"/>
      <c r="N4" s="1130"/>
      <c r="O4" s="1130"/>
      <c r="P4" s="3266" t="s">
        <v>2648</v>
      </c>
      <c r="Q4" s="3267"/>
      <c r="R4" s="3248" t="s">
        <v>2644</v>
      </c>
      <c r="S4" s="3249"/>
      <c r="T4" s="3248" t="s">
        <v>2645</v>
      </c>
      <c r="U4" s="3249"/>
      <c r="V4" s="3245" t="s">
        <v>2646</v>
      </c>
      <c r="W4" s="3245"/>
      <c r="X4" s="1812"/>
      <c r="Y4" s="3248" t="s">
        <v>2648</v>
      </c>
      <c r="Z4" s="3249"/>
      <c r="AA4" s="3242" t="s">
        <v>2644</v>
      </c>
      <c r="AB4" s="3243" t="s">
        <v>2645</v>
      </c>
      <c r="AC4" s="3242" t="s">
        <v>2646</v>
      </c>
    </row>
    <row r="5" spans="1:29" ht="15">
      <c r="A5" s="403"/>
      <c r="B5" s="404"/>
      <c r="C5" s="3254" t="s">
        <v>2539</v>
      </c>
      <c r="D5" s="3255"/>
      <c r="E5" s="3315" t="s">
        <v>2540</v>
      </c>
      <c r="F5" s="3253"/>
      <c r="G5" s="3254" t="s">
        <v>2541</v>
      </c>
      <c r="H5" s="3255"/>
      <c r="I5" s="3254" t="s">
        <v>2542</v>
      </c>
      <c r="J5" s="3255"/>
      <c r="K5" s="609"/>
      <c r="L5" s="1129"/>
      <c r="M5" s="1130"/>
      <c r="N5" s="1130"/>
      <c r="O5" s="1130"/>
      <c r="P5" s="3268"/>
      <c r="Q5" s="3269"/>
      <c r="R5" s="3250"/>
      <c r="S5" s="3251"/>
      <c r="T5" s="3250"/>
      <c r="U5" s="3251"/>
      <c r="V5" s="3245"/>
      <c r="W5" s="3245"/>
      <c r="X5" s="1812"/>
      <c r="Y5" s="3250"/>
      <c r="Z5" s="3251"/>
      <c r="AA5" s="3243"/>
      <c r="AB5" s="3243"/>
      <c r="AC5" s="3243"/>
    </row>
    <row r="6" spans="1:29" ht="15.75" thickBot="1">
      <c r="A6" s="405"/>
      <c r="B6" s="406"/>
      <c r="C6" s="3256" t="s">
        <v>2543</v>
      </c>
      <c r="D6" s="3257"/>
      <c r="E6" s="3259" t="s">
        <v>2543</v>
      </c>
      <c r="F6" s="3260"/>
      <c r="G6" s="3256" t="s">
        <v>2543</v>
      </c>
      <c r="H6" s="3257"/>
      <c r="I6" s="3256" t="s">
        <v>2543</v>
      </c>
      <c r="J6" s="3257"/>
      <c r="K6" s="609" t="s">
        <v>2544</v>
      </c>
      <c r="L6" s="1129"/>
      <c r="M6" s="1130"/>
      <c r="N6" s="1130"/>
      <c r="O6" s="1130"/>
      <c r="P6" s="3270"/>
      <c r="Q6" s="3271"/>
      <c r="R6" s="3250"/>
      <c r="S6" s="3251"/>
      <c r="T6" s="3272"/>
      <c r="U6" s="3273"/>
      <c r="V6" s="3245"/>
      <c r="W6" s="3245"/>
      <c r="X6" s="1812"/>
      <c r="Y6" s="3272"/>
      <c r="Z6" s="3273"/>
      <c r="AA6" s="3244"/>
      <c r="AB6" s="3244"/>
      <c r="AC6" s="3244"/>
    </row>
    <row r="7" spans="1:29" s="116" customFormat="1" ht="15.75" thickBot="1">
      <c r="A7" s="407" t="s">
        <v>2545</v>
      </c>
      <c r="B7" s="408"/>
      <c r="C7" s="409">
        <f>'数据-取费表'!B2</f>
        <v>43634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6" t="s">
        <v>2546</v>
      </c>
      <c r="Q7" s="3274"/>
      <c r="R7" s="769" t="s">
        <v>17</v>
      </c>
      <c r="S7" s="770">
        <f t="shared" ref="S7:S15" si="0">F7</f>
        <v>0</v>
      </c>
      <c r="T7" s="769" t="s">
        <v>17</v>
      </c>
      <c r="U7" s="770">
        <f t="shared" ref="U7:U15" si="1">H7</f>
        <v>0</v>
      </c>
      <c r="V7" s="769" t="s">
        <v>17</v>
      </c>
      <c r="W7" s="770">
        <f t="shared" ref="W7:W15" si="2">J7</f>
        <v>0</v>
      </c>
      <c r="X7" s="771"/>
      <c r="Y7" s="3246" t="s">
        <v>2546</v>
      </c>
      <c r="Z7" s="3247"/>
      <c r="AA7" s="772" t="e">
        <f>D7/F7</f>
        <v>#DIV/0!</v>
      </c>
      <c r="AB7" s="772" t="e">
        <f>D7/H7</f>
        <v>#DIV/0!</v>
      </c>
      <c r="AC7" s="772" t="e">
        <f>D7/J7</f>
        <v>#DIV/0!</v>
      </c>
    </row>
    <row r="8" spans="1:29" s="116"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6" t="s">
        <v>2549</v>
      </c>
      <c r="Q8" s="3247"/>
      <c r="R8" s="769" t="s">
        <v>17</v>
      </c>
      <c r="S8" s="770">
        <f t="shared" si="0"/>
        <v>0</v>
      </c>
      <c r="T8" s="769" t="s">
        <v>17</v>
      </c>
      <c r="U8" s="770">
        <f t="shared" si="1"/>
        <v>0</v>
      </c>
      <c r="V8" s="769" t="s">
        <v>17</v>
      </c>
      <c r="W8" s="770">
        <f t="shared" si="2"/>
        <v>0</v>
      </c>
      <c r="X8" s="771"/>
      <c r="Y8" s="3246" t="s">
        <v>2549</v>
      </c>
      <c r="Z8" s="3247"/>
      <c r="AA8" s="772" t="e">
        <f t="shared" ref="AA8:AA40" si="3">D8/F8</f>
        <v>#DIV/0!</v>
      </c>
      <c r="AB8" s="772" t="e">
        <f t="shared" ref="AB8:AB40" si="4">D8/H8</f>
        <v>#DIV/0!</v>
      </c>
      <c r="AC8" s="772" t="e">
        <f t="shared" ref="AC8:AC40" si="5">D8/J8</f>
        <v>#DIV/0!</v>
      </c>
    </row>
    <row r="9" spans="1:29" s="116" customFormat="1">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84" t="s">
        <v>2552</v>
      </c>
      <c r="Q9" s="1794" t="str">
        <f t="shared" ref="Q9:Q15" si="6">B9</f>
        <v>用途</v>
      </c>
      <c r="R9" s="769" t="s">
        <v>17</v>
      </c>
      <c r="S9" s="770">
        <f t="shared" si="0"/>
        <v>100</v>
      </c>
      <c r="T9" s="769" t="s">
        <v>17</v>
      </c>
      <c r="U9" s="770">
        <f t="shared" si="1"/>
        <v>100</v>
      </c>
      <c r="V9" s="769" t="s">
        <v>17</v>
      </c>
      <c r="W9" s="770">
        <f t="shared" si="2"/>
        <v>100</v>
      </c>
      <c r="X9" s="771"/>
      <c r="Y9" s="3114"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84"/>
      <c r="Q10" s="1794" t="str">
        <f t="shared" si="6"/>
        <v>土地使用年限（年）</v>
      </c>
      <c r="R10" s="769" t="s">
        <v>17</v>
      </c>
      <c r="S10" s="770">
        <f t="shared" si="0"/>
        <v>100</v>
      </c>
      <c r="T10" s="769" t="s">
        <v>17</v>
      </c>
      <c r="U10" s="770">
        <f t="shared" si="1"/>
        <v>100</v>
      </c>
      <c r="V10" s="769" t="s">
        <v>17</v>
      </c>
      <c r="W10" s="770">
        <f t="shared" si="2"/>
        <v>100</v>
      </c>
      <c r="X10" s="771"/>
      <c r="Y10" s="3114"/>
      <c r="Z10" s="55"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84"/>
      <c r="Q11" s="1794" t="str">
        <f t="shared" si="6"/>
        <v>容积率</v>
      </c>
      <c r="R11" s="769" t="s">
        <v>17</v>
      </c>
      <c r="S11" s="770" t="e">
        <f t="shared" si="0"/>
        <v>#N/A</v>
      </c>
      <c r="T11" s="769" t="s">
        <v>17</v>
      </c>
      <c r="U11" s="770" t="e">
        <f t="shared" si="1"/>
        <v>#N/A</v>
      </c>
      <c r="V11" s="769" t="s">
        <v>17</v>
      </c>
      <c r="W11" s="770" t="e">
        <f t="shared" si="2"/>
        <v>#N/A</v>
      </c>
      <c r="X11" s="771"/>
      <c r="Y11" s="3114"/>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84"/>
      <c r="Q12" s="1794">
        <f t="shared" si="6"/>
        <v>111</v>
      </c>
      <c r="R12" s="769" t="s">
        <v>17</v>
      </c>
      <c r="S12" s="770">
        <f t="shared" si="0"/>
        <v>100</v>
      </c>
      <c r="T12" s="769" t="s">
        <v>17</v>
      </c>
      <c r="U12" s="770">
        <f t="shared" si="1"/>
        <v>100</v>
      </c>
      <c r="V12" s="769" t="s">
        <v>17</v>
      </c>
      <c r="W12" s="770">
        <f t="shared" si="2"/>
        <v>100</v>
      </c>
      <c r="X12" s="771"/>
      <c r="Y12" s="3114"/>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84"/>
      <c r="Q13" s="1794">
        <f t="shared" si="6"/>
        <v>111</v>
      </c>
      <c r="R13" s="769" t="s">
        <v>17</v>
      </c>
      <c r="S13" s="770">
        <f t="shared" si="0"/>
        <v>100</v>
      </c>
      <c r="T13" s="769" t="s">
        <v>17</v>
      </c>
      <c r="U13" s="770">
        <f t="shared" si="1"/>
        <v>100</v>
      </c>
      <c r="V13" s="769" t="s">
        <v>17</v>
      </c>
      <c r="W13" s="770">
        <f t="shared" si="2"/>
        <v>100</v>
      </c>
      <c r="X13" s="771"/>
      <c r="Y13" s="3114"/>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84"/>
      <c r="Q14" s="1794">
        <f t="shared" si="6"/>
        <v>111</v>
      </c>
      <c r="R14" s="769" t="s">
        <v>17</v>
      </c>
      <c r="S14" s="770">
        <f t="shared" si="0"/>
        <v>100</v>
      </c>
      <c r="T14" s="769" t="s">
        <v>17</v>
      </c>
      <c r="U14" s="770">
        <f t="shared" si="1"/>
        <v>100</v>
      </c>
      <c r="V14" s="769" t="s">
        <v>17</v>
      </c>
      <c r="W14" s="770">
        <f t="shared" si="2"/>
        <v>100</v>
      </c>
      <c r="X14" s="771"/>
      <c r="Y14" s="3114"/>
      <c r="Z14" s="55">
        <f t="shared" si="7"/>
        <v>111</v>
      </c>
      <c r="AA14" s="772">
        <f t="shared" si="3"/>
        <v>1</v>
      </c>
      <c r="AB14" s="772">
        <f t="shared" si="4"/>
        <v>1</v>
      </c>
      <c r="AC14" s="772">
        <f t="shared" si="5"/>
        <v>1</v>
      </c>
    </row>
    <row r="15" spans="1:29" ht="57">
      <c r="A15" s="439" t="s">
        <v>2556</v>
      </c>
      <c r="B15" s="69" t="s">
        <v>2700</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77" t="s">
        <v>2557</v>
      </c>
      <c r="Q15" s="1809" t="str">
        <f t="shared" si="6"/>
        <v>产业集聚程度</v>
      </c>
      <c r="R15" s="773" t="s">
        <v>17</v>
      </c>
      <c r="S15" s="774">
        <f t="shared" si="0"/>
        <v>100</v>
      </c>
      <c r="T15" s="773" t="s">
        <v>17</v>
      </c>
      <c r="U15" s="774">
        <f t="shared" si="1"/>
        <v>100</v>
      </c>
      <c r="V15" s="773" t="s">
        <v>17</v>
      </c>
      <c r="W15" s="774">
        <f t="shared" si="2"/>
        <v>100</v>
      </c>
      <c r="X15" s="1812"/>
      <c r="Y15" s="3277" t="s">
        <v>2557</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78"/>
      <c r="Q16" s="1809"/>
      <c r="R16" s="773"/>
      <c r="S16" s="774"/>
      <c r="T16" s="773"/>
      <c r="U16" s="774"/>
      <c r="V16" s="773"/>
      <c r="W16" s="774"/>
      <c r="X16" s="1812"/>
      <c r="Y16" s="3278"/>
      <c r="Z16" s="1813"/>
      <c r="AA16" s="1810">
        <v>1</v>
      </c>
      <c r="AB16" s="1810">
        <v>1</v>
      </c>
      <c r="AC16" s="1810">
        <v>1</v>
      </c>
    </row>
    <row r="17" spans="1:29" ht="85.5">
      <c r="A17" s="427"/>
      <c r="B17" s="450" t="s">
        <v>2094</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78"/>
      <c r="Q17" s="1809" t="str">
        <f>B17</f>
        <v>交通便捷度</v>
      </c>
      <c r="R17" s="773" t="s">
        <v>17</v>
      </c>
      <c r="S17" s="774">
        <f>F17</f>
        <v>100</v>
      </c>
      <c r="T17" s="773" t="s">
        <v>17</v>
      </c>
      <c r="U17" s="774">
        <f>H17</f>
        <v>100</v>
      </c>
      <c r="V17" s="773" t="s">
        <v>17</v>
      </c>
      <c r="W17" s="774">
        <f>J17</f>
        <v>100</v>
      </c>
      <c r="X17" s="1812"/>
      <c r="Y17" s="3278"/>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278"/>
      <c r="Q18" s="1809"/>
      <c r="R18" s="773"/>
      <c r="S18" s="774"/>
      <c r="T18" s="773"/>
      <c r="U18" s="774"/>
      <c r="V18" s="773"/>
      <c r="W18" s="774"/>
      <c r="X18" s="1812"/>
      <c r="Y18" s="3278"/>
      <c r="Z18" s="1813"/>
      <c r="AA18" s="1810">
        <v>1</v>
      </c>
      <c r="AB18" s="1810">
        <v>1</v>
      </c>
      <c r="AC18" s="1810">
        <v>1</v>
      </c>
    </row>
    <row r="19" spans="1:29" ht="42.75">
      <c r="A19" s="427"/>
      <c r="B19" s="450" t="s">
        <v>2685</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78"/>
      <c r="Q19" s="1809" t="str">
        <f>B19</f>
        <v>公共配套设施</v>
      </c>
      <c r="R19" s="773" t="s">
        <v>17</v>
      </c>
      <c r="S19" s="774">
        <f>F19</f>
        <v>100</v>
      </c>
      <c r="T19" s="773" t="s">
        <v>17</v>
      </c>
      <c r="U19" s="774">
        <f>H19</f>
        <v>100</v>
      </c>
      <c r="V19" s="773" t="s">
        <v>17</v>
      </c>
      <c r="W19" s="774">
        <f>J19</f>
        <v>100</v>
      </c>
      <c r="X19" s="1812"/>
      <c r="Y19" s="3278"/>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278"/>
      <c r="Q20" s="1809"/>
      <c r="R20" s="773"/>
      <c r="S20" s="774"/>
      <c r="T20" s="773"/>
      <c r="U20" s="774"/>
      <c r="V20" s="773"/>
      <c r="W20" s="774"/>
      <c r="X20" s="1812"/>
      <c r="Y20" s="3278"/>
      <c r="Z20" s="1813"/>
      <c r="AA20" s="1810">
        <v>1</v>
      </c>
      <c r="AB20" s="1810">
        <v>1</v>
      </c>
      <c r="AC20" s="1810">
        <v>1</v>
      </c>
    </row>
    <row r="21" spans="1:29" ht="28.5">
      <c r="A21" s="427"/>
      <c r="B21" s="1383" t="s">
        <v>2686</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78"/>
      <c r="Q21" s="1809" t="str">
        <f>B21</f>
        <v>基础设施水平</v>
      </c>
      <c r="R21" s="773" t="s">
        <v>17</v>
      </c>
      <c r="S21" s="774">
        <f>F21</f>
        <v>100</v>
      </c>
      <c r="T21" s="773" t="s">
        <v>17</v>
      </c>
      <c r="U21" s="774">
        <f>H21</f>
        <v>100</v>
      </c>
      <c r="V21" s="773" t="s">
        <v>17</v>
      </c>
      <c r="W21" s="774">
        <f>J21</f>
        <v>100</v>
      </c>
      <c r="X21" s="1812"/>
      <c r="Y21" s="3278"/>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278"/>
      <c r="Q22" s="1809"/>
      <c r="R22" s="773"/>
      <c r="S22" s="774"/>
      <c r="T22" s="773"/>
      <c r="U22" s="774"/>
      <c r="V22" s="773"/>
      <c r="W22" s="774"/>
      <c r="X22" s="1812"/>
      <c r="Y22" s="3278"/>
      <c r="Z22" s="1813"/>
      <c r="AA22" s="1810">
        <v>1</v>
      </c>
      <c r="AB22" s="1810">
        <v>1</v>
      </c>
      <c r="AC22" s="1810">
        <v>1</v>
      </c>
    </row>
    <row r="23" spans="1:29" ht="71.25">
      <c r="A23" s="427"/>
      <c r="B23" s="450" t="s">
        <v>2687</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78"/>
      <c r="Q23" s="1809" t="str">
        <f>B23</f>
        <v>环境质量</v>
      </c>
      <c r="R23" s="773" t="s">
        <v>17</v>
      </c>
      <c r="S23" s="774">
        <f>F23</f>
        <v>100</v>
      </c>
      <c r="T23" s="773" t="s">
        <v>17</v>
      </c>
      <c r="U23" s="774">
        <f>H23</f>
        <v>100</v>
      </c>
      <c r="V23" s="773" t="s">
        <v>17</v>
      </c>
      <c r="W23" s="774">
        <f>J23</f>
        <v>100</v>
      </c>
      <c r="X23" s="1812"/>
      <c r="Y23" s="3278"/>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278"/>
      <c r="Q24" s="1809"/>
      <c r="R24" s="773"/>
      <c r="S24" s="774"/>
      <c r="T24" s="773"/>
      <c r="U24" s="774"/>
      <c r="V24" s="773"/>
      <c r="W24" s="774"/>
      <c r="X24" s="1812"/>
      <c r="Y24" s="3278"/>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78"/>
      <c r="Q25" s="1809">
        <f>B25</f>
        <v>111</v>
      </c>
      <c r="R25" s="773" t="s">
        <v>17</v>
      </c>
      <c r="S25" s="774">
        <f>F25</f>
        <v>100</v>
      </c>
      <c r="T25" s="773" t="s">
        <v>17</v>
      </c>
      <c r="U25" s="774">
        <f>H25</f>
        <v>100</v>
      </c>
      <c r="V25" s="773" t="s">
        <v>17</v>
      </c>
      <c r="W25" s="774">
        <f>J25</f>
        <v>100</v>
      </c>
      <c r="X25" s="1812"/>
      <c r="Y25" s="3278"/>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78"/>
      <c r="Q26" s="1809">
        <f t="shared" ref="Q26:Q40" si="11">B26</f>
        <v>111</v>
      </c>
      <c r="R26" s="773" t="s">
        <v>17</v>
      </c>
      <c r="S26" s="774">
        <f>F26</f>
        <v>100</v>
      </c>
      <c r="T26" s="773" t="s">
        <v>17</v>
      </c>
      <c r="U26" s="774">
        <f>H26</f>
        <v>100</v>
      </c>
      <c r="V26" s="773" t="s">
        <v>17</v>
      </c>
      <c r="W26" s="774">
        <f>J26</f>
        <v>100</v>
      </c>
      <c r="X26" s="1812"/>
      <c r="Y26" s="3278"/>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78"/>
      <c r="Q27" s="1794">
        <f t="shared" si="11"/>
        <v>111</v>
      </c>
      <c r="R27" s="769" t="s">
        <v>17</v>
      </c>
      <c r="S27" s="770">
        <f>F27</f>
        <v>100</v>
      </c>
      <c r="T27" s="769" t="s">
        <v>17</v>
      </c>
      <c r="U27" s="770">
        <f>H27</f>
        <v>100</v>
      </c>
      <c r="V27" s="769" t="s">
        <v>17</v>
      </c>
      <c r="W27" s="770">
        <f>J27</f>
        <v>100</v>
      </c>
      <c r="X27" s="771"/>
      <c r="Y27" s="3278"/>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78"/>
      <c r="Q28" s="1809">
        <f t="shared" si="11"/>
        <v>111</v>
      </c>
      <c r="R28" s="773" t="s">
        <v>17</v>
      </c>
      <c r="S28" s="774">
        <f t="shared" ref="S28:S40" si="12">F28</f>
        <v>100</v>
      </c>
      <c r="T28" s="773" t="s">
        <v>17</v>
      </c>
      <c r="U28" s="774">
        <f t="shared" ref="U28:U40" si="13">H28</f>
        <v>100</v>
      </c>
      <c r="V28" s="773" t="s">
        <v>17</v>
      </c>
      <c r="W28" s="774">
        <f t="shared" ref="W28:W40" si="14">J28</f>
        <v>100</v>
      </c>
      <c r="X28" s="1812"/>
      <c r="Y28" s="3278"/>
      <c r="Z28" s="1813">
        <f t="shared" ref="Z28:Z40" si="15">Q28</f>
        <v>111</v>
      </c>
      <c r="AA28" s="1810">
        <f t="shared" si="3"/>
        <v>1</v>
      </c>
      <c r="AB28" s="1810">
        <f t="shared" si="4"/>
        <v>1</v>
      </c>
      <c r="AC28" s="1810">
        <f t="shared" si="5"/>
        <v>1</v>
      </c>
    </row>
    <row r="29" spans="1:29" ht="28.5">
      <c r="A29" s="465" t="s">
        <v>2560</v>
      </c>
      <c r="B29" s="71" t="s">
        <v>2690</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331" t="s">
        <v>2562</v>
      </c>
      <c r="Q29" s="1809" t="str">
        <f t="shared" si="11"/>
        <v>建筑类型</v>
      </c>
      <c r="R29" s="773" t="s">
        <v>17</v>
      </c>
      <c r="S29" s="774">
        <f t="shared" si="12"/>
        <v>100</v>
      </c>
      <c r="T29" s="773" t="s">
        <v>17</v>
      </c>
      <c r="U29" s="774">
        <f t="shared" si="13"/>
        <v>100</v>
      </c>
      <c r="V29" s="773" t="s">
        <v>17</v>
      </c>
      <c r="W29" s="774">
        <f t="shared" si="14"/>
        <v>100</v>
      </c>
      <c r="X29" s="1812"/>
      <c r="Y29" s="3282" t="s">
        <v>2562</v>
      </c>
      <c r="Z29" s="1813" t="str">
        <f t="shared" si="15"/>
        <v>建筑类型</v>
      </c>
      <c r="AA29" s="1810">
        <f t="shared" si="3"/>
        <v>1</v>
      </c>
      <c r="AB29" s="1810">
        <f t="shared" si="4"/>
        <v>1</v>
      </c>
      <c r="AC29" s="1810">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82"/>
      <c r="Q30" s="775" t="str">
        <f t="shared" si="11"/>
        <v>项目建筑规模</v>
      </c>
      <c r="R30" s="776" t="s">
        <v>17</v>
      </c>
      <c r="S30" s="777" t="e">
        <f t="shared" si="12"/>
        <v>#N/A</v>
      </c>
      <c r="T30" s="776" t="s">
        <v>17</v>
      </c>
      <c r="U30" s="777" t="e">
        <f t="shared" si="13"/>
        <v>#N/A</v>
      </c>
      <c r="V30" s="776" t="s">
        <v>17</v>
      </c>
      <c r="W30" s="777" t="e">
        <f t="shared" si="14"/>
        <v>#N/A</v>
      </c>
      <c r="X30" s="778"/>
      <c r="Y30" s="3282"/>
      <c r="Z30" s="779" t="str">
        <f t="shared" si="15"/>
        <v>项目建筑规模</v>
      </c>
      <c r="AA30" s="1810" t="e">
        <f t="shared" si="3"/>
        <v>#N/A</v>
      </c>
      <c r="AB30" s="1810" t="e">
        <f t="shared" si="4"/>
        <v>#N/A</v>
      </c>
      <c r="AC30" s="1810"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82"/>
      <c r="Q31" s="1809" t="str">
        <f t="shared" si="11"/>
        <v>建筑结构</v>
      </c>
      <c r="R31" s="773" t="s">
        <v>17</v>
      </c>
      <c r="S31" s="774">
        <f t="shared" si="12"/>
        <v>100</v>
      </c>
      <c r="T31" s="773" t="s">
        <v>17</v>
      </c>
      <c r="U31" s="774">
        <f t="shared" si="13"/>
        <v>100</v>
      </c>
      <c r="V31" s="773" t="s">
        <v>17</v>
      </c>
      <c r="W31" s="774">
        <f t="shared" si="14"/>
        <v>100</v>
      </c>
      <c r="X31" s="1812"/>
      <c r="Y31" s="3282"/>
      <c r="Z31" s="1813" t="str">
        <f t="shared" si="15"/>
        <v>建筑结构</v>
      </c>
      <c r="AA31" s="1810">
        <f t="shared" si="3"/>
        <v>1</v>
      </c>
      <c r="AB31" s="1810">
        <f t="shared" si="4"/>
        <v>1</v>
      </c>
      <c r="AC31" s="1810">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82"/>
      <c r="Q32" s="1809" t="str">
        <f t="shared" si="11"/>
        <v>公共部分装修</v>
      </c>
      <c r="R32" s="773" t="s">
        <v>17</v>
      </c>
      <c r="S32" s="774">
        <f t="shared" si="12"/>
        <v>100</v>
      </c>
      <c r="T32" s="773" t="s">
        <v>17</v>
      </c>
      <c r="U32" s="774">
        <f t="shared" si="13"/>
        <v>100</v>
      </c>
      <c r="V32" s="773" t="s">
        <v>17</v>
      </c>
      <c r="W32" s="774">
        <f t="shared" si="14"/>
        <v>100</v>
      </c>
      <c r="X32" s="1812"/>
      <c r="Y32" s="3282"/>
      <c r="Z32" s="1813" t="str">
        <f t="shared" si="15"/>
        <v>公共部分装修</v>
      </c>
      <c r="AA32" s="1810">
        <f t="shared" si="3"/>
        <v>1</v>
      </c>
      <c r="AB32" s="1810">
        <f t="shared" si="4"/>
        <v>1</v>
      </c>
      <c r="AC32" s="1810">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82"/>
      <c r="Q33" s="1809" t="str">
        <f t="shared" si="11"/>
        <v>成新度</v>
      </c>
      <c r="R33" s="773" t="s">
        <v>17</v>
      </c>
      <c r="S33" s="774" t="e">
        <f t="shared" si="12"/>
        <v>#N/A</v>
      </c>
      <c r="T33" s="773" t="s">
        <v>17</v>
      </c>
      <c r="U33" s="774" t="e">
        <f t="shared" si="13"/>
        <v>#N/A</v>
      </c>
      <c r="V33" s="773" t="s">
        <v>17</v>
      </c>
      <c r="W33" s="774" t="e">
        <f t="shared" si="14"/>
        <v>#N/A</v>
      </c>
      <c r="X33" s="1812"/>
      <c r="Y33" s="3282"/>
      <c r="Z33" s="1813" t="str">
        <f t="shared" si="15"/>
        <v>成新度</v>
      </c>
      <c r="AA33" s="1810" t="e">
        <f t="shared" si="3"/>
        <v>#N/A</v>
      </c>
      <c r="AB33" s="1810" t="e">
        <f t="shared" si="4"/>
        <v>#N/A</v>
      </c>
      <c r="AC33" s="1810"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82"/>
      <c r="Q34" s="1794" t="str">
        <f t="shared" si="11"/>
        <v>物业管理</v>
      </c>
      <c r="R34" s="769" t="s">
        <v>17</v>
      </c>
      <c r="S34" s="770">
        <f t="shared" si="12"/>
        <v>100</v>
      </c>
      <c r="T34" s="769" t="s">
        <v>17</v>
      </c>
      <c r="U34" s="770">
        <f t="shared" si="13"/>
        <v>100</v>
      </c>
      <c r="V34" s="769" t="s">
        <v>17</v>
      </c>
      <c r="W34" s="770">
        <f t="shared" si="14"/>
        <v>100</v>
      </c>
      <c r="X34" s="771"/>
      <c r="Y34" s="3282"/>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82" t="s">
        <v>2562</v>
      </c>
      <c r="Q35" s="1809" t="str">
        <f t="shared" si="11"/>
        <v>市政基础设施</v>
      </c>
      <c r="R35" s="773" t="s">
        <v>17</v>
      </c>
      <c r="S35" s="774">
        <f t="shared" si="12"/>
        <v>100</v>
      </c>
      <c r="T35" s="773" t="s">
        <v>17</v>
      </c>
      <c r="U35" s="774">
        <f t="shared" si="13"/>
        <v>100</v>
      </c>
      <c r="V35" s="773" t="s">
        <v>17</v>
      </c>
      <c r="W35" s="774">
        <f t="shared" si="14"/>
        <v>100</v>
      </c>
      <c r="X35" s="1812"/>
      <c r="Y35" s="3282" t="s">
        <v>2562</v>
      </c>
      <c r="Z35" s="1813" t="str">
        <f t="shared" si="15"/>
        <v>市政基础设施</v>
      </c>
      <c r="AA35" s="1810">
        <f t="shared" si="3"/>
        <v>1</v>
      </c>
      <c r="AB35" s="1810">
        <f t="shared" si="4"/>
        <v>1</v>
      </c>
      <c r="AC35" s="1810">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82"/>
      <c r="Q36" s="1809" t="str">
        <f t="shared" si="11"/>
        <v>内部装修</v>
      </c>
      <c r="R36" s="773" t="s">
        <v>17</v>
      </c>
      <c r="S36" s="774">
        <f t="shared" si="12"/>
        <v>100</v>
      </c>
      <c r="T36" s="773" t="s">
        <v>17</v>
      </c>
      <c r="U36" s="774">
        <f t="shared" si="13"/>
        <v>100</v>
      </c>
      <c r="V36" s="773" t="s">
        <v>17</v>
      </c>
      <c r="W36" s="774">
        <f t="shared" si="14"/>
        <v>100</v>
      </c>
      <c r="X36" s="1812"/>
      <c r="Y36" s="3282"/>
      <c r="Z36" s="1813" t="str">
        <f t="shared" si="15"/>
        <v>内部装修</v>
      </c>
      <c r="AA36" s="1810">
        <f t="shared" si="3"/>
        <v>1</v>
      </c>
      <c r="AB36" s="1810">
        <f t="shared" si="4"/>
        <v>1</v>
      </c>
      <c r="AC36" s="1810">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82"/>
      <c r="Q37" s="1809" t="str">
        <f t="shared" si="11"/>
        <v>内部装修状况</v>
      </c>
      <c r="R37" s="773" t="s">
        <v>17</v>
      </c>
      <c r="S37" s="774">
        <f t="shared" si="12"/>
        <v>100</v>
      </c>
      <c r="T37" s="773" t="s">
        <v>17</v>
      </c>
      <c r="U37" s="774">
        <f t="shared" si="13"/>
        <v>100</v>
      </c>
      <c r="V37" s="773" t="s">
        <v>17</v>
      </c>
      <c r="W37" s="774">
        <f t="shared" si="14"/>
        <v>100</v>
      </c>
      <c r="X37" s="1812"/>
      <c r="Y37" s="3282"/>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82"/>
      <c r="Q38" s="775">
        <f t="shared" si="11"/>
        <v>111</v>
      </c>
      <c r="R38" s="776" t="s">
        <v>17</v>
      </c>
      <c r="S38" s="777">
        <f t="shared" si="12"/>
        <v>100</v>
      </c>
      <c r="T38" s="776" t="s">
        <v>17</v>
      </c>
      <c r="U38" s="777">
        <f t="shared" si="13"/>
        <v>100</v>
      </c>
      <c r="V38" s="776" t="s">
        <v>17</v>
      </c>
      <c r="W38" s="777">
        <f t="shared" si="14"/>
        <v>100</v>
      </c>
      <c r="X38" s="778"/>
      <c r="Y38" s="3282"/>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82"/>
      <c r="Q39" s="1809">
        <f t="shared" si="11"/>
        <v>111</v>
      </c>
      <c r="R39" s="773" t="s">
        <v>17</v>
      </c>
      <c r="S39" s="774">
        <f t="shared" si="12"/>
        <v>100</v>
      </c>
      <c r="T39" s="773" t="s">
        <v>17</v>
      </c>
      <c r="U39" s="774">
        <f t="shared" si="13"/>
        <v>100</v>
      </c>
      <c r="V39" s="773" t="s">
        <v>17</v>
      </c>
      <c r="W39" s="774">
        <f t="shared" si="14"/>
        <v>100</v>
      </c>
      <c r="X39" s="1812"/>
      <c r="Y39" s="3282"/>
      <c r="Z39" s="1813">
        <f t="shared" si="15"/>
        <v>111</v>
      </c>
      <c r="AA39" s="1810">
        <f t="shared" si="3"/>
        <v>1</v>
      </c>
      <c r="AB39" s="1810">
        <f t="shared" si="4"/>
        <v>1</v>
      </c>
      <c r="AC39" s="1810">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83"/>
      <c r="Q40" s="1809">
        <f t="shared" si="11"/>
        <v>111</v>
      </c>
      <c r="R40" s="773" t="s">
        <v>17</v>
      </c>
      <c r="S40" s="774">
        <f t="shared" si="12"/>
        <v>100</v>
      </c>
      <c r="T40" s="773" t="s">
        <v>17</v>
      </c>
      <c r="U40" s="774">
        <f t="shared" si="13"/>
        <v>100</v>
      </c>
      <c r="V40" s="773" t="s">
        <v>17</v>
      </c>
      <c r="W40" s="774">
        <f t="shared" si="14"/>
        <v>100</v>
      </c>
      <c r="X40" s="1812"/>
      <c r="Y40" s="3283"/>
      <c r="Z40" s="1813">
        <f t="shared" si="15"/>
        <v>111</v>
      </c>
      <c r="AA40" s="1810">
        <f t="shared" si="3"/>
        <v>1</v>
      </c>
      <c r="AB40" s="1810">
        <f t="shared" si="4"/>
        <v>1</v>
      </c>
      <c r="AC40" s="1810">
        <f t="shared" si="5"/>
        <v>1</v>
      </c>
    </row>
    <row r="41" spans="1:29" ht="15">
      <c r="A41" s="478" t="s">
        <v>2574</v>
      </c>
      <c r="B41" s="479"/>
      <c r="C41" s="1406" t="s">
        <v>1</v>
      </c>
      <c r="D41" s="1407"/>
      <c r="E41" s="1408"/>
      <c r="F41" s="1409"/>
      <c r="G41" s="1410"/>
      <c r="H41" s="1411"/>
      <c r="I41" s="1408"/>
      <c r="J41" s="1411"/>
      <c r="K41" s="782"/>
      <c r="L41" s="1142"/>
      <c r="M41" s="1143"/>
      <c r="N41" s="1130"/>
      <c r="O41" s="1143"/>
      <c r="P41" s="3284" t="str">
        <f>A41</f>
        <v>成交单价（元/平方米）</v>
      </c>
      <c r="Q41" s="3284"/>
      <c r="R41" s="3285">
        <f>E41</f>
        <v>0</v>
      </c>
      <c r="S41" s="3285"/>
      <c r="T41" s="3285">
        <f>G41</f>
        <v>0</v>
      </c>
      <c r="U41" s="3285"/>
      <c r="V41" s="3285">
        <f>I41</f>
        <v>0</v>
      </c>
      <c r="W41" s="3285"/>
      <c r="X41" s="758"/>
      <c r="Y41" s="780"/>
      <c r="Z41" s="758"/>
      <c r="AA41" s="758"/>
      <c r="AB41" s="758"/>
      <c r="AC41" s="758"/>
    </row>
    <row r="42" spans="1:29" ht="15.75" thickBot="1">
      <c r="A42" s="485" t="s">
        <v>2666</v>
      </c>
      <c r="B42" s="486"/>
      <c r="C42" s="1412" t="e">
        <f>R43</f>
        <v>#DIV/0!</v>
      </c>
      <c r="D42" s="1413"/>
      <c r="E42" s="1414" t="e">
        <f>R42</f>
        <v>#DIV/0!</v>
      </c>
      <c r="F42" s="1414"/>
      <c r="G42" s="1412" t="e">
        <f>T42</f>
        <v>#DIV/0!</v>
      </c>
      <c r="H42" s="1413"/>
      <c r="I42" s="1414" t="e">
        <f>V42</f>
        <v>#DIV/0!</v>
      </c>
      <c r="J42" s="1413"/>
      <c r="K42" s="783"/>
      <c r="L42" s="1142"/>
      <c r="M42" s="1143"/>
      <c r="N42" s="1130"/>
      <c r="O42" s="1143"/>
      <c r="P42" s="3284" t="str">
        <f>A42</f>
        <v>比较价值（元/平方米）</v>
      </c>
      <c r="Q42" s="3284"/>
      <c r="R42" s="3285" t="e">
        <f>IF(F1="售价",ROUND(PRODUCT(R41,AA7:AA40),0),ROUND(PRODUCT(R41,AA7:AA40),1))</f>
        <v>#DIV/0!</v>
      </c>
      <c r="S42" s="3285"/>
      <c r="T42" s="3285" t="e">
        <f>IF(F1="售价",ROUND(PRODUCT(T41,AB7:AB40),0),ROUND(PRODUCT(T41,AB7:AB40),1))</f>
        <v>#DIV/0!</v>
      </c>
      <c r="U42" s="3285"/>
      <c r="V42" s="3285" t="e">
        <f>IF(F1="售价",ROUND(PRODUCT(V41,AC7:AC40),0),ROUND(PRODUCT(V41,AC7:AC40),1))</f>
        <v>#DIV/0!</v>
      </c>
      <c r="W42" s="3285"/>
      <c r="X42" s="758"/>
      <c r="Y42" s="758"/>
      <c r="Z42" s="758"/>
      <c r="AA42" s="758"/>
      <c r="AB42" s="758"/>
      <c r="AC42" s="758"/>
    </row>
    <row r="43" spans="1:29" ht="15.75" thickBot="1">
      <c r="A43" s="491" t="s">
        <v>2667</v>
      </c>
      <c r="B43" s="492"/>
      <c r="C43" s="1416" t="e">
        <f>R43</f>
        <v>#DIV/0!</v>
      </c>
      <c r="D43" s="1416"/>
      <c r="E43" s="1416"/>
      <c r="F43" s="1416"/>
      <c r="G43" s="1416"/>
      <c r="H43" s="1416"/>
      <c r="I43" s="1416"/>
      <c r="J43" s="1416"/>
      <c r="K43" s="784"/>
      <c r="L43" s="1142"/>
      <c r="M43" s="1143"/>
      <c r="N43" s="1143"/>
      <c r="O43" s="1143"/>
      <c r="P43" s="3286" t="str">
        <f>A43</f>
        <v>估价对象XX用房的比较价值（楼面单价，元/平方米）</v>
      </c>
      <c r="Q43" s="3287"/>
      <c r="R43" s="3288" t="e">
        <f>IF(F1="售价",ROUND(AVERAGE(R42:V42),0),ROUND(AVERAGE(R42:V42),1))</f>
        <v>#DIV/0!</v>
      </c>
      <c r="S43" s="3288"/>
      <c r="T43" s="3288"/>
      <c r="U43" s="3288"/>
      <c r="V43" s="3288"/>
      <c r="W43" s="328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2671</v>
      </c>
      <c r="B51" s="758"/>
      <c r="C51" s="763"/>
      <c r="D51" s="763"/>
      <c r="E51" s="763"/>
      <c r="F51" s="764"/>
      <c r="G51" s="764"/>
      <c r="H51" s="763"/>
      <c r="I51" s="763"/>
      <c r="J51" s="763"/>
      <c r="K51" s="1159"/>
      <c r="L51" s="1160"/>
      <c r="M51" s="1158"/>
      <c r="N51" s="1158"/>
      <c r="O51" s="1158"/>
      <c r="P51" s="502"/>
      <c r="Q51" s="503"/>
    </row>
    <row r="52" spans="1:17" s="507" customFormat="1" ht="15">
      <c r="A52" s="504" t="s">
        <v>2545</v>
      </c>
      <c r="B52" s="505"/>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2582</v>
      </c>
      <c r="B54" s="515"/>
      <c r="C54" s="516"/>
      <c r="D54" s="517"/>
      <c r="E54" s="517"/>
      <c r="F54" s="517"/>
      <c r="G54" s="517"/>
      <c r="H54" s="517"/>
      <c r="I54" s="517"/>
      <c r="J54" s="517"/>
      <c r="K54" s="517"/>
      <c r="L54" s="517"/>
      <c r="M54" s="518"/>
      <c r="N54" s="517"/>
      <c r="O54" s="519"/>
      <c r="P54" s="503"/>
      <c r="Q54" s="503"/>
    </row>
    <row r="55" spans="1:17" s="116" customFormat="1" ht="15">
      <c r="A55" s="520" t="s">
        <v>2547</v>
      </c>
      <c r="B55" s="509"/>
      <c r="C55" s="521" t="s">
        <v>2649</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2585</v>
      </c>
      <c r="B57" s="527" t="s">
        <v>2551</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2686</v>
      </c>
      <c r="C76" s="659" t="s">
        <v>2672</v>
      </c>
      <c r="D76" s="659" t="s">
        <v>2673</v>
      </c>
      <c r="E76" s="659" t="s">
        <v>2674</v>
      </c>
      <c r="F76" s="659" t="s">
        <v>2675</v>
      </c>
      <c r="G76" s="659" t="s">
        <v>2676</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6"/>
      <c r="B87" s="568"/>
      <c r="C87" s="569"/>
      <c r="D87" s="569"/>
      <c r="E87" s="569"/>
      <c r="F87" s="569"/>
      <c r="G87" s="590"/>
      <c r="H87" s="590"/>
      <c r="I87" s="590"/>
      <c r="J87" s="590"/>
      <c r="K87" s="590"/>
      <c r="L87" s="590"/>
      <c r="M87" s="591"/>
      <c r="N87" s="1152"/>
      <c r="O87" s="1152"/>
      <c r="P87" s="45"/>
      <c r="Q87" s="503"/>
    </row>
    <row r="88" spans="1:17">
      <c r="A88" s="526" t="s">
        <v>2560</v>
      </c>
      <c r="B88" s="527" t="s">
        <v>2609</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2611</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2613</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2614</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2615</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2617</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C31" sqref="C3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2704</v>
      </c>
      <c r="B1" s="1618" t="s">
        <v>1373</v>
      </c>
      <c r="C1" s="1619" t="s">
        <v>2527</v>
      </c>
      <c r="D1" s="1620" t="s">
        <v>3069</v>
      </c>
      <c r="E1" s="1621"/>
      <c r="F1" s="2584" t="s">
        <v>3221</v>
      </c>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2324</v>
      </c>
      <c r="B2" s="1417">
        <f>IF(C2="——",IF(B37="元/平方米",ROUND(C39*D3/10000,0),ROUND(F3*C39/10000,0)),IF(B37="元/平方米",ROUND(C39*D3/10000,0),ROUND(F3*C39/10000,0))-D2)</f>
        <v>3315</v>
      </c>
      <c r="C2" s="2586" t="s">
        <v>70</v>
      </c>
      <c r="D2" s="1123" t="e">
        <f ca="1">SUMIF(INDIRECT("'"&amp;F2&amp;"'"&amp;"!A:A"),"承租人权益价值",INDIRECT("'"&amp;F2&amp;"'"&amp;"!c:c"))</f>
        <v>#REF!</v>
      </c>
      <c r="E2" s="2587" t="s">
        <v>2325</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2326</v>
      </c>
      <c r="B3" s="608">
        <f>IF(AND(C2="——",B37="元/平方米"),C39,ROUND(B2*10000/D3,0))</f>
        <v>9313</v>
      </c>
      <c r="C3" s="399" t="s">
        <v>2641</v>
      </c>
      <c r="D3" s="398">
        <f>SUMIF('数据-汇总表'!$C19:$C33,D1,'数据-汇总表'!$E19:$E33)</f>
        <v>3559.58</v>
      </c>
      <c r="E3" s="399" t="s">
        <v>2705</v>
      </c>
      <c r="F3" s="398">
        <f>SUMIF('数据-取费表'!A5:A15,D1,'数据-取费表'!AH5:AH15)</f>
        <v>101</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2642</v>
      </c>
      <c r="B4" s="401"/>
      <c r="C4" s="3262" t="s">
        <v>2643</v>
      </c>
      <c r="D4" s="3263"/>
      <c r="E4" s="3264" t="s">
        <v>2644</v>
      </c>
      <c r="F4" s="3265"/>
      <c r="G4" s="3262" t="s">
        <v>2645</v>
      </c>
      <c r="H4" s="3263"/>
      <c r="I4" s="3262" t="s">
        <v>2646</v>
      </c>
      <c r="J4" s="3263"/>
      <c r="K4" s="609" t="s">
        <v>2647</v>
      </c>
      <c r="L4" s="1129"/>
      <c r="M4" s="1130"/>
      <c r="N4" s="1130"/>
      <c r="O4" s="1130"/>
      <c r="P4" s="3266" t="s">
        <v>2648</v>
      </c>
      <c r="Q4" s="3267"/>
      <c r="R4" s="3248" t="s">
        <v>2644</v>
      </c>
      <c r="S4" s="3249"/>
      <c r="T4" s="3248" t="s">
        <v>2645</v>
      </c>
      <c r="U4" s="3249"/>
      <c r="V4" s="3245" t="s">
        <v>2646</v>
      </c>
      <c r="W4" s="3245"/>
      <c r="X4" s="1812"/>
      <c r="Y4" s="3248" t="s">
        <v>2648</v>
      </c>
      <c r="Z4" s="3249"/>
      <c r="AA4" s="3242" t="s">
        <v>2644</v>
      </c>
      <c r="AB4" s="3243" t="s">
        <v>2645</v>
      </c>
      <c r="AC4" s="3242" t="s">
        <v>2646</v>
      </c>
    </row>
    <row r="5" spans="1:29" ht="15">
      <c r="A5" s="403"/>
      <c r="B5" s="404"/>
      <c r="C5" s="3254" t="s">
        <v>2539</v>
      </c>
      <c r="D5" s="3255"/>
      <c r="E5" s="3252" t="s">
        <v>3225</v>
      </c>
      <c r="F5" s="3253"/>
      <c r="G5" s="3258" t="s">
        <v>3257</v>
      </c>
      <c r="H5" s="3255"/>
      <c r="I5" s="3258" t="s">
        <v>3259</v>
      </c>
      <c r="J5" s="3255"/>
      <c r="K5" s="609"/>
      <c r="L5" s="1129"/>
      <c r="M5" s="1130"/>
      <c r="N5" s="1130"/>
      <c r="O5" s="1130"/>
      <c r="P5" s="3268"/>
      <c r="Q5" s="3269"/>
      <c r="R5" s="3250"/>
      <c r="S5" s="3251"/>
      <c r="T5" s="3250"/>
      <c r="U5" s="3251"/>
      <c r="V5" s="3245"/>
      <c r="W5" s="3245"/>
      <c r="X5" s="1812"/>
      <c r="Y5" s="3250"/>
      <c r="Z5" s="3251"/>
      <c r="AA5" s="3243"/>
      <c r="AB5" s="3243"/>
      <c r="AC5" s="3243"/>
    </row>
    <row r="6" spans="1:29" ht="15.75" thickBot="1">
      <c r="A6" s="405"/>
      <c r="B6" s="406"/>
      <c r="C6" s="3256" t="s">
        <v>2543</v>
      </c>
      <c r="D6" s="3257"/>
      <c r="E6" s="3259" t="s">
        <v>2543</v>
      </c>
      <c r="F6" s="3260"/>
      <c r="G6" s="3256" t="s">
        <v>2543</v>
      </c>
      <c r="H6" s="3257"/>
      <c r="I6" s="3256" t="s">
        <v>2543</v>
      </c>
      <c r="J6" s="3257"/>
      <c r="K6" s="609" t="s">
        <v>2544</v>
      </c>
      <c r="L6" s="1129"/>
      <c r="M6" s="1130"/>
      <c r="N6" s="1130"/>
      <c r="O6" s="1130"/>
      <c r="P6" s="3270"/>
      <c r="Q6" s="3271"/>
      <c r="R6" s="3250"/>
      <c r="S6" s="3251"/>
      <c r="T6" s="3272"/>
      <c r="U6" s="3273"/>
      <c r="V6" s="3245"/>
      <c r="W6" s="3245"/>
      <c r="X6" s="1812"/>
      <c r="Y6" s="3272"/>
      <c r="Z6" s="3273"/>
      <c r="AA6" s="3244"/>
      <c r="AB6" s="3244"/>
      <c r="AC6" s="3244"/>
    </row>
    <row r="7" spans="1:29" s="116" customFormat="1" ht="15.75" thickBot="1">
      <c r="A7" s="407" t="s">
        <v>2545</v>
      </c>
      <c r="B7" s="408"/>
      <c r="C7" s="409">
        <f>'数据-取费表'!B2</f>
        <v>43634</v>
      </c>
      <c r="D7" s="410">
        <v>100</v>
      </c>
      <c r="E7" s="411">
        <v>43606</v>
      </c>
      <c r="F7" s="412">
        <f>SUMIF(48:48,YEAR(E7)&amp;"-"&amp;MONTH(E7),49:49)</f>
        <v>100</v>
      </c>
      <c r="G7" s="411">
        <v>43600</v>
      </c>
      <c r="H7" s="410">
        <f>SUMIF(48:48,YEAR(G7)&amp;"-"&amp;MONTH(G7),49:49)</f>
        <v>100</v>
      </c>
      <c r="I7" s="411">
        <v>43579</v>
      </c>
      <c r="J7" s="410">
        <f>SUMIF(48:48,YEAR(I7)&amp;"-"&amp;MONTH(I7),49:49)</f>
        <v>100</v>
      </c>
      <c r="K7" s="610"/>
      <c r="L7" s="1131"/>
      <c r="M7" s="1132"/>
      <c r="N7" s="1132"/>
      <c r="O7" s="1132"/>
      <c r="P7" s="3246" t="s">
        <v>2546</v>
      </c>
      <c r="Q7" s="3274"/>
      <c r="R7" s="769" t="s">
        <v>17</v>
      </c>
      <c r="S7" s="770">
        <f t="shared" ref="S7:S14" si="0">F7</f>
        <v>100</v>
      </c>
      <c r="T7" s="769" t="s">
        <v>17</v>
      </c>
      <c r="U7" s="770">
        <f t="shared" ref="U7:U14" si="1">H7</f>
        <v>100</v>
      </c>
      <c r="V7" s="769" t="s">
        <v>17</v>
      </c>
      <c r="W7" s="770">
        <f t="shared" ref="W7:W14" si="2">J7</f>
        <v>100</v>
      </c>
      <c r="X7" s="771"/>
      <c r="Y7" s="3246" t="s">
        <v>2546</v>
      </c>
      <c r="Z7" s="3247"/>
      <c r="AA7" s="772">
        <f>D7/F7</f>
        <v>1</v>
      </c>
      <c r="AB7" s="772">
        <f>D7/H7</f>
        <v>1</v>
      </c>
      <c r="AC7" s="772">
        <f>D7/J7</f>
        <v>1</v>
      </c>
    </row>
    <row r="8" spans="1:29" s="116" customFormat="1" ht="15.75" thickBot="1">
      <c r="A8" s="407" t="s">
        <v>2547</v>
      </c>
      <c r="B8" s="408"/>
      <c r="C8" s="413" t="s">
        <v>2649</v>
      </c>
      <c r="D8" s="410">
        <v>100</v>
      </c>
      <c r="E8" s="413" t="s">
        <v>3226</v>
      </c>
      <c r="F8" s="412">
        <f>SUMIF(51:51,E8,52:52)-SUMIF(51:51,C8,52:52)+100</f>
        <v>100</v>
      </c>
      <c r="G8" s="413" t="s">
        <v>3226</v>
      </c>
      <c r="H8" s="410">
        <f>SUMIF(51:51,G8,52:52)-SUMIF(51:51,C8,52:52)+100</f>
        <v>100</v>
      </c>
      <c r="I8" s="413" t="s">
        <v>3226</v>
      </c>
      <c r="J8" s="410">
        <f>SUMIF(51:51,I8,52:52)-SUMIF(51:51,C8,52:52)+100</f>
        <v>100</v>
      </c>
      <c r="K8" s="610"/>
      <c r="L8" s="1131"/>
      <c r="M8" s="1132"/>
      <c r="N8" s="1132"/>
      <c r="O8" s="1132"/>
      <c r="P8" s="3246" t="s">
        <v>2549</v>
      </c>
      <c r="Q8" s="3247"/>
      <c r="R8" s="769" t="s">
        <v>17</v>
      </c>
      <c r="S8" s="770">
        <f t="shared" si="0"/>
        <v>100</v>
      </c>
      <c r="T8" s="769" t="s">
        <v>17</v>
      </c>
      <c r="U8" s="770">
        <f t="shared" si="1"/>
        <v>100</v>
      </c>
      <c r="V8" s="769" t="s">
        <v>17</v>
      </c>
      <c r="W8" s="770">
        <f t="shared" si="2"/>
        <v>100</v>
      </c>
      <c r="X8" s="771"/>
      <c r="Y8" s="3246" t="s">
        <v>2549</v>
      </c>
      <c r="Z8" s="3247"/>
      <c r="AA8" s="772">
        <f t="shared" ref="AA8:AA36" si="3">D8/F8</f>
        <v>1</v>
      </c>
      <c r="AB8" s="772">
        <f t="shared" ref="AB8:AB36" si="4">D8/H8</f>
        <v>1</v>
      </c>
      <c r="AC8" s="772">
        <f t="shared" ref="AC8:AC36" si="5">D8/J8</f>
        <v>1</v>
      </c>
    </row>
    <row r="9" spans="1:29" s="116" customFormat="1">
      <c r="A9" s="68" t="s">
        <v>2550</v>
      </c>
      <c r="B9" s="639" t="s">
        <v>2551</v>
      </c>
      <c r="C9" s="3039" t="s">
        <v>3227</v>
      </c>
      <c r="D9" s="134">
        <v>100</v>
      </c>
      <c r="E9" s="418" t="s">
        <v>3069</v>
      </c>
      <c r="F9" s="134">
        <f>SUMIF(53:53,E9,54:54)-SUMIF(53:53,C9,54:54)+100</f>
        <v>100</v>
      </c>
      <c r="G9" s="416" t="s">
        <v>3069</v>
      </c>
      <c r="H9" s="134">
        <f>SUMIF(53:53,G9,54:54)-SUMIF(53:53,C9,54:54)+100</f>
        <v>100</v>
      </c>
      <c r="I9" s="416" t="s">
        <v>3069</v>
      </c>
      <c r="J9" s="134">
        <f>SUMIF(53:53,I9,54:54)-SUMIF(53:53,C9,54:54)+100</f>
        <v>100</v>
      </c>
      <c r="K9" s="610"/>
      <c r="L9" s="1131"/>
      <c r="M9" s="1132"/>
      <c r="N9" s="1132"/>
      <c r="O9" s="1132"/>
      <c r="P9" s="3284" t="s">
        <v>2552</v>
      </c>
      <c r="Q9" s="1794" t="str">
        <f t="shared" ref="Q9:Q14" si="6">B9</f>
        <v>用途</v>
      </c>
      <c r="R9" s="769" t="s">
        <v>17</v>
      </c>
      <c r="S9" s="770">
        <f t="shared" si="0"/>
        <v>100</v>
      </c>
      <c r="T9" s="769" t="s">
        <v>17</v>
      </c>
      <c r="U9" s="770">
        <f t="shared" si="1"/>
        <v>100</v>
      </c>
      <c r="V9" s="769" t="s">
        <v>17</v>
      </c>
      <c r="W9" s="770">
        <f t="shared" si="2"/>
        <v>100</v>
      </c>
      <c r="X9" s="771"/>
      <c r="Y9" s="3114" t="s">
        <v>2553</v>
      </c>
      <c r="Z9" s="55" t="str">
        <f t="shared" ref="Z9:Z14" si="7">Q9</f>
        <v>用途</v>
      </c>
      <c r="AA9" s="772">
        <f t="shared" si="3"/>
        <v>1</v>
      </c>
      <c r="AB9" s="772">
        <f t="shared" si="4"/>
        <v>1</v>
      </c>
      <c r="AC9" s="772">
        <f t="shared" si="5"/>
        <v>1</v>
      </c>
    </row>
    <row r="10" spans="1:29" s="426" customFormat="1" ht="27">
      <c r="A10" s="640"/>
      <c r="B10" s="641" t="s">
        <v>2554</v>
      </c>
      <c r="C10" s="422" t="s">
        <v>3228</v>
      </c>
      <c r="D10" s="135">
        <v>100</v>
      </c>
      <c r="E10" s="422" t="s">
        <v>3228</v>
      </c>
      <c r="F10" s="135">
        <f>SUMIF(55:55,E10,56:56)-SUMIF(55:55,C10,56:56)+100</f>
        <v>100</v>
      </c>
      <c r="G10" s="423" t="s">
        <v>3258</v>
      </c>
      <c r="H10" s="135">
        <f>SUMIF(55:55,G10,56:56)-SUMIF(55:55,C10,56:56)+100</f>
        <v>102</v>
      </c>
      <c r="I10" s="422" t="s">
        <v>3258</v>
      </c>
      <c r="J10" s="135">
        <f>SUMIF(55:55,I10,56:56)-SUMIF(55:55,C10,56:56)+100</f>
        <v>102</v>
      </c>
      <c r="K10" s="611">
        <v>2</v>
      </c>
      <c r="L10" s="1134"/>
      <c r="M10" s="1135"/>
      <c r="N10" s="1135"/>
      <c r="O10" s="1135"/>
      <c r="P10" s="3284"/>
      <c r="Q10" s="1794" t="str">
        <f t="shared" si="6"/>
        <v>土地使用年限（年）</v>
      </c>
      <c r="R10" s="769" t="s">
        <v>17</v>
      </c>
      <c r="S10" s="770">
        <f t="shared" si="0"/>
        <v>100</v>
      </c>
      <c r="T10" s="769" t="s">
        <v>17</v>
      </c>
      <c r="U10" s="770">
        <f t="shared" si="1"/>
        <v>102</v>
      </c>
      <c r="V10" s="769" t="s">
        <v>17</v>
      </c>
      <c r="W10" s="770">
        <f t="shared" si="2"/>
        <v>102</v>
      </c>
      <c r="X10" s="771"/>
      <c r="Y10" s="3114"/>
      <c r="Z10" s="55" t="str">
        <f t="shared" si="7"/>
        <v>土地使用年限（年）</v>
      </c>
      <c r="AA10" s="772">
        <f t="shared" si="3"/>
        <v>1</v>
      </c>
      <c r="AB10" s="772">
        <f t="shared" si="4"/>
        <v>0.98039215686274506</v>
      </c>
      <c r="AC10" s="772">
        <f t="shared" si="5"/>
        <v>0.98039215686274506</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84"/>
      <c r="Q11" s="1794">
        <f t="shared" si="6"/>
        <v>111</v>
      </c>
      <c r="R11" s="769" t="s">
        <v>17</v>
      </c>
      <c r="S11" s="770">
        <f t="shared" si="0"/>
        <v>100</v>
      </c>
      <c r="T11" s="769" t="s">
        <v>17</v>
      </c>
      <c r="U11" s="770">
        <f t="shared" si="1"/>
        <v>100</v>
      </c>
      <c r="V11" s="769" t="s">
        <v>17</v>
      </c>
      <c r="W11" s="770">
        <f t="shared" si="2"/>
        <v>100</v>
      </c>
      <c r="X11" s="771"/>
      <c r="Y11" s="3114"/>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84"/>
      <c r="Q12" s="1794">
        <f t="shared" si="6"/>
        <v>111</v>
      </c>
      <c r="R12" s="769" t="s">
        <v>17</v>
      </c>
      <c r="S12" s="770">
        <f t="shared" si="0"/>
        <v>100</v>
      </c>
      <c r="T12" s="769" t="s">
        <v>17</v>
      </c>
      <c r="U12" s="770">
        <f t="shared" si="1"/>
        <v>100</v>
      </c>
      <c r="V12" s="769" t="s">
        <v>17</v>
      </c>
      <c r="W12" s="770">
        <f t="shared" si="2"/>
        <v>100</v>
      </c>
      <c r="X12" s="771"/>
      <c r="Y12" s="311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84"/>
      <c r="Q13" s="1794">
        <f t="shared" si="6"/>
        <v>111</v>
      </c>
      <c r="R13" s="769" t="s">
        <v>17</v>
      </c>
      <c r="S13" s="770">
        <f t="shared" si="0"/>
        <v>100</v>
      </c>
      <c r="T13" s="769" t="s">
        <v>17</v>
      </c>
      <c r="U13" s="770">
        <f t="shared" si="1"/>
        <v>100</v>
      </c>
      <c r="V13" s="769" t="s">
        <v>17</v>
      </c>
      <c r="W13" s="770">
        <f t="shared" si="2"/>
        <v>100</v>
      </c>
      <c r="X13" s="771"/>
      <c r="Y13" s="3114"/>
      <c r="Z13" s="55">
        <f t="shared" si="7"/>
        <v>111</v>
      </c>
      <c r="AA13" s="772">
        <f t="shared" si="3"/>
        <v>1</v>
      </c>
      <c r="AB13" s="772">
        <f t="shared" si="4"/>
        <v>1</v>
      </c>
      <c r="AC13" s="772">
        <f t="shared" si="5"/>
        <v>1</v>
      </c>
    </row>
    <row r="14" spans="1:29" ht="85.5">
      <c r="A14" s="400" t="s">
        <v>2556</v>
      </c>
      <c r="B14" s="628" t="s">
        <v>2706</v>
      </c>
      <c r="C14" s="2693" t="str">
        <f>IF(B1="工业",估价对象房地状况!G4,估价对象房地状况!C6)</f>
        <v>较好</v>
      </c>
      <c r="D14" s="440">
        <v>100</v>
      </c>
      <c r="E14" s="441"/>
      <c r="F14" s="442">
        <f>SUMIF(63:63,E15,64:64)-SUMIF(63:63,C15,64:64)+100</f>
        <v>98</v>
      </c>
      <c r="G14" s="443"/>
      <c r="H14" s="440">
        <f>SUMIF(63:63,G15,64:64)-SUMIF(63:63,C15,64:64)+100</f>
        <v>100</v>
      </c>
      <c r="I14" s="441"/>
      <c r="J14" s="440">
        <f>SUMIF(63:63,I15,64:64)-SUMIF(63:63,C15,64:64)+100</f>
        <v>98</v>
      </c>
      <c r="K14" s="613">
        <v>2</v>
      </c>
      <c r="L14" s="1139"/>
      <c r="M14" s="1130"/>
      <c r="N14" s="1130"/>
      <c r="O14" s="1130"/>
      <c r="P14" s="3277" t="s">
        <v>2557</v>
      </c>
      <c r="Q14" s="1809" t="str">
        <f t="shared" si="6"/>
        <v>交通便捷度</v>
      </c>
      <c r="R14" s="773" t="s">
        <v>17</v>
      </c>
      <c r="S14" s="774">
        <f t="shared" si="0"/>
        <v>98</v>
      </c>
      <c r="T14" s="773" t="s">
        <v>17</v>
      </c>
      <c r="U14" s="774">
        <f t="shared" si="1"/>
        <v>100</v>
      </c>
      <c r="V14" s="773" t="s">
        <v>17</v>
      </c>
      <c r="W14" s="774">
        <f t="shared" si="2"/>
        <v>98</v>
      </c>
      <c r="X14" s="1812"/>
      <c r="Y14" s="3277" t="s">
        <v>2557</v>
      </c>
      <c r="Z14" s="1813" t="str">
        <f t="shared" si="7"/>
        <v>交通便捷度</v>
      </c>
      <c r="AA14" s="1810">
        <f t="shared" si="3"/>
        <v>1.0204081632653061</v>
      </c>
      <c r="AB14" s="1810">
        <f t="shared" si="4"/>
        <v>1</v>
      </c>
      <c r="AC14" s="1810">
        <f t="shared" si="5"/>
        <v>1.0204081632653061</v>
      </c>
    </row>
    <row r="15" spans="1:29" ht="15">
      <c r="A15" s="403"/>
      <c r="B15" s="646"/>
      <c r="C15" s="446" t="s">
        <v>3229</v>
      </c>
      <c r="D15" s="447"/>
      <c r="E15" s="446" t="s">
        <v>3239</v>
      </c>
      <c r="F15" s="448"/>
      <c r="G15" s="446" t="s">
        <v>3229</v>
      </c>
      <c r="H15" s="449"/>
      <c r="I15" s="446" t="s">
        <v>3239</v>
      </c>
      <c r="J15" s="447"/>
      <c r="K15" s="614"/>
      <c r="L15" s="1139"/>
      <c r="M15" s="1130"/>
      <c r="N15" s="1130"/>
      <c r="O15" s="1130"/>
      <c r="P15" s="3278"/>
      <c r="Q15" s="1809"/>
      <c r="R15" s="773"/>
      <c r="S15" s="774"/>
      <c r="T15" s="773"/>
      <c r="U15" s="774"/>
      <c r="V15" s="773"/>
      <c r="W15" s="774"/>
      <c r="X15" s="1812"/>
      <c r="Y15" s="3278"/>
      <c r="Z15" s="1813"/>
      <c r="AA15" s="1810">
        <v>1</v>
      </c>
      <c r="AB15" s="1810">
        <v>1</v>
      </c>
      <c r="AC15" s="1810">
        <v>1</v>
      </c>
    </row>
    <row r="16" spans="1:29" ht="42.75">
      <c r="A16" s="403"/>
      <c r="B16" s="630" t="s">
        <v>2685</v>
      </c>
      <c r="C16" s="2607"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v>2</v>
      </c>
      <c r="L16" s="1139"/>
      <c r="M16" s="1130"/>
      <c r="N16" s="1130"/>
      <c r="O16" s="1130"/>
      <c r="P16" s="3278"/>
      <c r="Q16" s="1809" t="str">
        <f>B16</f>
        <v>公共配套设施</v>
      </c>
      <c r="R16" s="773" t="s">
        <v>17</v>
      </c>
      <c r="S16" s="774">
        <f>F16</f>
        <v>100</v>
      </c>
      <c r="T16" s="773" t="s">
        <v>17</v>
      </c>
      <c r="U16" s="774">
        <f>H16</f>
        <v>100</v>
      </c>
      <c r="V16" s="773" t="s">
        <v>17</v>
      </c>
      <c r="W16" s="774">
        <f>J16</f>
        <v>100</v>
      </c>
      <c r="X16" s="1812"/>
      <c r="Y16" s="3278"/>
      <c r="Z16" s="1813" t="str">
        <f>Q16</f>
        <v>公共配套设施</v>
      </c>
      <c r="AA16" s="1810">
        <f t="shared" si="3"/>
        <v>1</v>
      </c>
      <c r="AB16" s="1810">
        <f t="shared" si="4"/>
        <v>1</v>
      </c>
      <c r="AC16" s="1810">
        <f t="shared" si="5"/>
        <v>1</v>
      </c>
    </row>
    <row r="17" spans="1:29" ht="15">
      <c r="A17" s="403"/>
      <c r="B17" s="631"/>
      <c r="C17" s="2608" t="s">
        <v>3229</v>
      </c>
      <c r="D17" s="447"/>
      <c r="E17" s="446" t="s">
        <v>3229</v>
      </c>
      <c r="F17" s="448"/>
      <c r="G17" s="446" t="s">
        <v>3229</v>
      </c>
      <c r="H17" s="447"/>
      <c r="I17" s="446" t="s">
        <v>3229</v>
      </c>
      <c r="J17" s="447"/>
      <c r="K17" s="614"/>
      <c r="L17" s="1139"/>
      <c r="M17" s="1130"/>
      <c r="N17" s="1130"/>
      <c r="O17" s="1130"/>
      <c r="P17" s="3278"/>
      <c r="Q17" s="1809"/>
      <c r="R17" s="773"/>
      <c r="S17" s="774"/>
      <c r="T17" s="773"/>
      <c r="U17" s="774"/>
      <c r="V17" s="773"/>
      <c r="W17" s="774"/>
      <c r="X17" s="1812"/>
      <c r="Y17" s="3278"/>
      <c r="Z17" s="1813"/>
      <c r="AA17" s="1810">
        <v>1</v>
      </c>
      <c r="AB17" s="1810">
        <v>1</v>
      </c>
      <c r="AC17" s="1810">
        <v>1</v>
      </c>
    </row>
    <row r="18" spans="1:29" ht="28.5">
      <c r="A18" s="403"/>
      <c r="B18" s="632" t="s">
        <v>2686</v>
      </c>
      <c r="C18" s="2607"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9"/>
      <c r="M18" s="1130"/>
      <c r="N18" s="1130"/>
      <c r="O18" s="1130"/>
      <c r="P18" s="3278"/>
      <c r="Q18" s="1809" t="str">
        <f>B18</f>
        <v>基础设施水平</v>
      </c>
      <c r="R18" s="773" t="s">
        <v>17</v>
      </c>
      <c r="S18" s="774">
        <f>F18</f>
        <v>100</v>
      </c>
      <c r="T18" s="773" t="s">
        <v>17</v>
      </c>
      <c r="U18" s="774">
        <f>H18</f>
        <v>100</v>
      </c>
      <c r="V18" s="773" t="s">
        <v>17</v>
      </c>
      <c r="W18" s="774">
        <f>J18</f>
        <v>100</v>
      </c>
      <c r="X18" s="1812"/>
      <c r="Y18" s="3278"/>
      <c r="Z18" s="1813" t="str">
        <f>Q18</f>
        <v>基础设施水平</v>
      </c>
      <c r="AA18" s="1810">
        <f t="shared" ref="AA18" si="8">D18/F18</f>
        <v>1</v>
      </c>
      <c r="AB18" s="1810">
        <f t="shared" ref="AB18" si="9">D18/H18</f>
        <v>1</v>
      </c>
      <c r="AC18" s="1810">
        <f t="shared" ref="AC18" si="10">D18/J18</f>
        <v>1</v>
      </c>
    </row>
    <row r="19" spans="1:29" ht="15">
      <c r="A19" s="403"/>
      <c r="B19" s="632"/>
      <c r="C19" s="2608" t="s">
        <v>3230</v>
      </c>
      <c r="D19" s="449"/>
      <c r="E19" s="2608" t="s">
        <v>3230</v>
      </c>
      <c r="F19" s="452"/>
      <c r="G19" s="2608" t="s">
        <v>3230</v>
      </c>
      <c r="H19" s="447"/>
      <c r="I19" s="2608" t="s">
        <v>3230</v>
      </c>
      <c r="J19" s="447"/>
      <c r="K19" s="1382"/>
      <c r="L19" s="1139"/>
      <c r="M19" s="1130"/>
      <c r="N19" s="1130"/>
      <c r="O19" s="1130"/>
      <c r="P19" s="3278"/>
      <c r="Q19" s="1809"/>
      <c r="R19" s="773"/>
      <c r="S19" s="774"/>
      <c r="T19" s="773"/>
      <c r="U19" s="774"/>
      <c r="V19" s="773"/>
      <c r="W19" s="774"/>
      <c r="X19" s="1812"/>
      <c r="Y19" s="3278"/>
      <c r="Z19" s="1813"/>
      <c r="AA19" s="1810">
        <v>1</v>
      </c>
      <c r="AB19" s="1810">
        <v>1</v>
      </c>
      <c r="AC19" s="1810">
        <v>1</v>
      </c>
    </row>
    <row r="20" spans="1:29" ht="57">
      <c r="A20" s="403"/>
      <c r="B20" s="630" t="s">
        <v>2707</v>
      </c>
      <c r="C20" s="2607" t="str">
        <f>IF(B1="工业",估价对象房地状况!G7,估价对象房地状况!C9)</f>
        <v>一般</v>
      </c>
      <c r="D20" s="454">
        <v>100</v>
      </c>
      <c r="E20" s="456"/>
      <c r="F20" s="457">
        <f>SUMIF(69:69,E21,70:70)-SUMIF(69:69,C21,70:70)+100</f>
        <v>100</v>
      </c>
      <c r="G20" s="458"/>
      <c r="H20" s="449">
        <f>SUMIF(69:69,G21,70:70)-SUMIF(69:69,C21,70:70)+100</f>
        <v>100</v>
      </c>
      <c r="I20" s="451"/>
      <c r="J20" s="449">
        <f>SUMIF(69:69,I21,70:70)-SUMIF(69:69,C21,70:70)+100</f>
        <v>100</v>
      </c>
      <c r="K20" s="613">
        <v>2</v>
      </c>
      <c r="L20" s="1139"/>
      <c r="M20" s="1130"/>
      <c r="N20" s="1130"/>
      <c r="O20" s="1130"/>
      <c r="P20" s="3278"/>
      <c r="Q20" s="1809" t="str">
        <f>B20</f>
        <v>自然及人文环境</v>
      </c>
      <c r="R20" s="773" t="s">
        <v>17</v>
      </c>
      <c r="S20" s="774">
        <f>F20</f>
        <v>100</v>
      </c>
      <c r="T20" s="773" t="s">
        <v>17</v>
      </c>
      <c r="U20" s="774">
        <f>H20</f>
        <v>100</v>
      </c>
      <c r="V20" s="773" t="s">
        <v>17</v>
      </c>
      <c r="W20" s="774">
        <f>J20</f>
        <v>100</v>
      </c>
      <c r="X20" s="1812"/>
      <c r="Y20" s="3278"/>
      <c r="Z20" s="1813" t="str">
        <f>Q20</f>
        <v>自然及人文环境</v>
      </c>
      <c r="AA20" s="1810">
        <f t="shared" si="3"/>
        <v>1</v>
      </c>
      <c r="AB20" s="1810">
        <f t="shared" si="4"/>
        <v>1</v>
      </c>
      <c r="AC20" s="1810">
        <f t="shared" si="5"/>
        <v>1</v>
      </c>
    </row>
    <row r="21" spans="1:29" ht="15">
      <c r="A21" s="403"/>
      <c r="B21" s="631"/>
      <c r="C21" s="446" t="s">
        <v>3239</v>
      </c>
      <c r="D21" s="447"/>
      <c r="E21" s="446" t="s">
        <v>3239</v>
      </c>
      <c r="F21" s="448"/>
      <c r="G21" s="446" t="s">
        <v>3239</v>
      </c>
      <c r="H21" s="447"/>
      <c r="I21" s="446" t="s">
        <v>3239</v>
      </c>
      <c r="J21" s="447"/>
      <c r="K21" s="614"/>
      <c r="L21" s="1139"/>
      <c r="M21" s="1130"/>
      <c r="N21" s="1130"/>
      <c r="O21" s="1130"/>
      <c r="P21" s="3278"/>
      <c r="Q21" s="1809"/>
      <c r="R21" s="773"/>
      <c r="S21" s="774"/>
      <c r="T21" s="773"/>
      <c r="U21" s="774"/>
      <c r="V21" s="773"/>
      <c r="W21" s="774"/>
      <c r="X21" s="1812"/>
      <c r="Y21" s="3278"/>
      <c r="Z21" s="1813"/>
      <c r="AA21" s="1810">
        <v>1</v>
      </c>
      <c r="AB21" s="1810">
        <v>1</v>
      </c>
      <c r="AC21" s="1810">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78"/>
      <c r="Q22" s="1809" t="str">
        <f>B22</f>
        <v>楼层</v>
      </c>
      <c r="R22" s="773" t="s">
        <v>17</v>
      </c>
      <c r="S22" s="774">
        <f>F22</f>
        <v>100</v>
      </c>
      <c r="T22" s="773" t="s">
        <v>17</v>
      </c>
      <c r="U22" s="774">
        <f>H22</f>
        <v>100</v>
      </c>
      <c r="V22" s="773" t="s">
        <v>17</v>
      </c>
      <c r="W22" s="774">
        <f>J22</f>
        <v>100</v>
      </c>
      <c r="X22" s="1812"/>
      <c r="Y22" s="3278"/>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78"/>
      <c r="Q23" s="1809">
        <f>B23</f>
        <v>111</v>
      </c>
      <c r="R23" s="773" t="s">
        <v>17</v>
      </c>
      <c r="S23" s="774">
        <f>F23</f>
        <v>100</v>
      </c>
      <c r="T23" s="773" t="s">
        <v>17</v>
      </c>
      <c r="U23" s="774">
        <f>H23</f>
        <v>100</v>
      </c>
      <c r="V23" s="773" t="s">
        <v>17</v>
      </c>
      <c r="W23" s="774">
        <f>J23</f>
        <v>100</v>
      </c>
      <c r="X23" s="1812"/>
      <c r="Y23" s="3278"/>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78"/>
      <c r="Q24" s="1809">
        <f t="shared" ref="Q24:Q36" si="11">B24</f>
        <v>111</v>
      </c>
      <c r="R24" s="773" t="s">
        <v>17</v>
      </c>
      <c r="S24" s="774">
        <f>F24</f>
        <v>100</v>
      </c>
      <c r="T24" s="773" t="s">
        <v>17</v>
      </c>
      <c r="U24" s="774">
        <f>H24</f>
        <v>100</v>
      </c>
      <c r="V24" s="773" t="s">
        <v>17</v>
      </c>
      <c r="W24" s="774">
        <f>J24</f>
        <v>100</v>
      </c>
      <c r="X24" s="1812"/>
      <c r="Y24" s="3278"/>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78"/>
      <c r="Q25" s="1794">
        <f t="shared" si="11"/>
        <v>111</v>
      </c>
      <c r="R25" s="769" t="s">
        <v>17</v>
      </c>
      <c r="S25" s="770">
        <f>F25</f>
        <v>100</v>
      </c>
      <c r="T25" s="769" t="s">
        <v>17</v>
      </c>
      <c r="U25" s="770">
        <f>H25</f>
        <v>100</v>
      </c>
      <c r="V25" s="769" t="s">
        <v>17</v>
      </c>
      <c r="W25" s="770">
        <f>J25</f>
        <v>100</v>
      </c>
      <c r="X25" s="771"/>
      <c r="Y25" s="3278"/>
      <c r="Z25" s="55">
        <f>Q25</f>
        <v>111</v>
      </c>
      <c r="AA25" s="1810">
        <f>D25/F25</f>
        <v>1</v>
      </c>
      <c r="AB25" s="1810">
        <f>D25/H25</f>
        <v>1</v>
      </c>
      <c r="AC25" s="1810">
        <f>D25/J25</f>
        <v>1</v>
      </c>
    </row>
    <row r="26" spans="1:29" ht="28.5">
      <c r="A26" s="651" t="s">
        <v>2560</v>
      </c>
      <c r="B26" s="70" t="s">
        <v>2709</v>
      </c>
      <c r="C26" s="2694" t="str">
        <f>B1</f>
        <v>商业</v>
      </c>
      <c r="D26" s="447">
        <v>100</v>
      </c>
      <c r="E26" s="446" t="s">
        <v>3247</v>
      </c>
      <c r="F26" s="448">
        <f>SUMIF(79:79,E26,80:80)-SUMIF(79:79,C26,80:80)+100</f>
        <v>98</v>
      </c>
      <c r="G26" s="446" t="s">
        <v>3247</v>
      </c>
      <c r="H26" s="447">
        <f>SUMIF(79:79,G26,80:80)-SUMIF(79:79,C26,80:80)+100</f>
        <v>98</v>
      </c>
      <c r="I26" s="446" t="s">
        <v>3247</v>
      </c>
      <c r="J26" s="447">
        <f>SUMIF(79:79,I26,80:80)-SUMIF(79:79,C26,80:80)+100</f>
        <v>98</v>
      </c>
      <c r="K26" s="611">
        <v>2</v>
      </c>
      <c r="L26" s="1139"/>
      <c r="M26" s="1130"/>
      <c r="N26" s="1130"/>
      <c r="O26" s="1130"/>
      <c r="P26" s="3331" t="s">
        <v>2562</v>
      </c>
      <c r="Q26" s="1809" t="str">
        <f t="shared" si="11"/>
        <v>配套类型</v>
      </c>
      <c r="R26" s="773" t="s">
        <v>17</v>
      </c>
      <c r="S26" s="774">
        <f t="shared" ref="S26:S36" si="12">F26</f>
        <v>98</v>
      </c>
      <c r="T26" s="773" t="s">
        <v>17</v>
      </c>
      <c r="U26" s="774">
        <f t="shared" ref="U26:U36" si="13">H26</f>
        <v>98</v>
      </c>
      <c r="V26" s="773" t="s">
        <v>17</v>
      </c>
      <c r="W26" s="774">
        <f t="shared" ref="W26:W36" si="14">J26</f>
        <v>98</v>
      </c>
      <c r="X26" s="1812"/>
      <c r="Y26" s="3282" t="s">
        <v>2562</v>
      </c>
      <c r="Z26" s="1813" t="str">
        <f t="shared" ref="Z26:Z36" si="15">Q26</f>
        <v>配套类型</v>
      </c>
      <c r="AA26" s="1810">
        <f t="shared" si="3"/>
        <v>1.0204081632653061</v>
      </c>
      <c r="AB26" s="1810">
        <f t="shared" si="4"/>
        <v>1.0204081632653061</v>
      </c>
      <c r="AC26" s="1810">
        <f t="shared" si="5"/>
        <v>1.0204081632653061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82"/>
      <c r="Q27" s="775" t="str">
        <f t="shared" si="11"/>
        <v>项目停车位配比</v>
      </c>
      <c r="R27" s="776" t="s">
        <v>17</v>
      </c>
      <c r="S27" s="777">
        <f t="shared" si="12"/>
        <v>100</v>
      </c>
      <c r="T27" s="776" t="s">
        <v>17</v>
      </c>
      <c r="U27" s="777">
        <f t="shared" si="13"/>
        <v>100</v>
      </c>
      <c r="V27" s="776" t="s">
        <v>17</v>
      </c>
      <c r="W27" s="777">
        <f t="shared" si="14"/>
        <v>100</v>
      </c>
      <c r="X27" s="778"/>
      <c r="Y27" s="3282"/>
      <c r="Z27" s="779" t="str">
        <f t="shared" si="15"/>
        <v>项目停车位配比</v>
      </c>
      <c r="AA27" s="1810">
        <f t="shared" si="3"/>
        <v>1</v>
      </c>
      <c r="AB27" s="1810">
        <f t="shared" si="4"/>
        <v>1</v>
      </c>
      <c r="AC27" s="1810">
        <f t="shared" si="5"/>
        <v>1</v>
      </c>
    </row>
    <row r="28" spans="1:29" ht="15">
      <c r="A28" s="655"/>
      <c r="B28" s="653" t="s">
        <v>2711</v>
      </c>
      <c r="C28" s="459" t="s">
        <v>3255</v>
      </c>
      <c r="D28" s="434">
        <v>100</v>
      </c>
      <c r="E28" s="459" t="s">
        <v>3255</v>
      </c>
      <c r="F28" s="460">
        <f>SUMIF(83:83,E28,84:84)-SUMIF(83:83,C28,84:84)+100</f>
        <v>100</v>
      </c>
      <c r="G28" s="459" t="s">
        <v>3255</v>
      </c>
      <c r="H28" s="434">
        <f>SUMIF(83:83,G28,84:84)-SUMIF(83:83,C28,84:84)+100</f>
        <v>100</v>
      </c>
      <c r="I28" s="459" t="s">
        <v>3254</v>
      </c>
      <c r="J28" s="434">
        <f>SUMIF(83:83,I28,84:84)-SUMIF(83:83,C28,84:84)+100</f>
        <v>102</v>
      </c>
      <c r="K28" s="611">
        <v>2</v>
      </c>
      <c r="L28" s="1139"/>
      <c r="M28" s="1130"/>
      <c r="N28" s="1130"/>
      <c r="O28" s="1130"/>
      <c r="P28" s="3282"/>
      <c r="Q28" s="1809" t="str">
        <f t="shared" si="11"/>
        <v>公共部分装修</v>
      </c>
      <c r="R28" s="773" t="s">
        <v>17</v>
      </c>
      <c r="S28" s="774">
        <f t="shared" si="12"/>
        <v>100</v>
      </c>
      <c r="T28" s="773" t="s">
        <v>17</v>
      </c>
      <c r="U28" s="774">
        <f t="shared" si="13"/>
        <v>100</v>
      </c>
      <c r="V28" s="773" t="s">
        <v>17</v>
      </c>
      <c r="W28" s="774">
        <f t="shared" si="14"/>
        <v>102</v>
      </c>
      <c r="X28" s="1812"/>
      <c r="Y28" s="3282"/>
      <c r="Z28" s="1813" t="str">
        <f t="shared" si="15"/>
        <v>公共部分装修</v>
      </c>
      <c r="AA28" s="1810">
        <f t="shared" si="3"/>
        <v>1</v>
      </c>
      <c r="AB28" s="1810">
        <f t="shared" si="4"/>
        <v>1</v>
      </c>
      <c r="AC28" s="1810">
        <f t="shared" si="5"/>
        <v>0.98039215686274506</v>
      </c>
    </row>
    <row r="29" spans="1:29" ht="15">
      <c r="A29" s="655"/>
      <c r="B29" s="653" t="s">
        <v>2712</v>
      </c>
      <c r="C29" s="3040">
        <f>'数据-取费表'!N6</f>
        <v>0.82</v>
      </c>
      <c r="D29" s="434">
        <v>100</v>
      </c>
      <c r="E29" s="473">
        <f>1-(2019-2003)/60</f>
        <v>0.73333333333333339</v>
      </c>
      <c r="F29" s="460">
        <f>LOOKUP(E29,86:86,87:87)-LOOKUP(C29,86:86,87:87)+100</f>
        <v>98</v>
      </c>
      <c r="G29" s="473">
        <f>1-(2019-2012)/60</f>
        <v>0.8833333333333333</v>
      </c>
      <c r="H29" s="460">
        <f>LOOKUP(G29,86:86,87:87)-LOOKUP(C29,86:86,87:87)+100</f>
        <v>100</v>
      </c>
      <c r="I29" s="473">
        <f>1-(2019-I40)/60</f>
        <v>0.9</v>
      </c>
      <c r="J29" s="434">
        <f>LOOKUP(I29,86:86,87:87)-LOOKUP(C29,86:86,87:87)+100</f>
        <v>102</v>
      </c>
      <c r="K29" s="611">
        <v>2</v>
      </c>
      <c r="L29" s="1139"/>
      <c r="M29" s="1130"/>
      <c r="N29" s="1130"/>
      <c r="O29" s="1130"/>
      <c r="P29" s="3282"/>
      <c r="Q29" s="1809" t="str">
        <f t="shared" si="11"/>
        <v>成新率</v>
      </c>
      <c r="R29" s="773" t="s">
        <v>17</v>
      </c>
      <c r="S29" s="774">
        <f t="shared" si="12"/>
        <v>98</v>
      </c>
      <c r="T29" s="773" t="s">
        <v>17</v>
      </c>
      <c r="U29" s="774">
        <f t="shared" si="13"/>
        <v>100</v>
      </c>
      <c r="V29" s="773" t="s">
        <v>17</v>
      </c>
      <c r="W29" s="774">
        <f t="shared" si="14"/>
        <v>102</v>
      </c>
      <c r="X29" s="1812"/>
      <c r="Y29" s="3282"/>
      <c r="Z29" s="1813" t="str">
        <f t="shared" si="15"/>
        <v>成新率</v>
      </c>
      <c r="AA29" s="1810">
        <f t="shared" si="3"/>
        <v>1.0204081632653061</v>
      </c>
      <c r="AB29" s="1810">
        <f t="shared" si="4"/>
        <v>1</v>
      </c>
      <c r="AC29" s="1810">
        <f t="shared" si="5"/>
        <v>0.98039215686274506</v>
      </c>
    </row>
    <row r="30" spans="1:29" ht="15">
      <c r="A30" s="655"/>
      <c r="B30" s="653" t="s">
        <v>2713</v>
      </c>
      <c r="C30" s="656" t="s">
        <v>3251</v>
      </c>
      <c r="D30" s="434">
        <v>100</v>
      </c>
      <c r="E30" s="656" t="s">
        <v>3251</v>
      </c>
      <c r="F30" s="460">
        <f>SUMIF(88:88,E30,89:89)-SUMIF(88:88,C30,89:89)+100</f>
        <v>100</v>
      </c>
      <c r="G30" s="656" t="s">
        <v>3251</v>
      </c>
      <c r="H30" s="434">
        <f>SUMIF(88:88,E30,89:89)-SUMIF(88:88,C30,89:89)+100</f>
        <v>100</v>
      </c>
      <c r="I30" s="656" t="s">
        <v>3249</v>
      </c>
      <c r="J30" s="434">
        <f>SUMIF(88:88,E30,89:89)-SUMIF(88:88,C30,89:89)+100</f>
        <v>100</v>
      </c>
      <c r="K30" s="611"/>
      <c r="L30" s="1139"/>
      <c r="M30" s="1130"/>
      <c r="N30" s="1130"/>
      <c r="O30" s="1130"/>
      <c r="P30" s="3282"/>
      <c r="Q30" s="1809" t="str">
        <f t="shared" si="11"/>
        <v>物业等级</v>
      </c>
      <c r="R30" s="773" t="s">
        <v>17</v>
      </c>
      <c r="S30" s="774">
        <f t="shared" si="12"/>
        <v>100</v>
      </c>
      <c r="T30" s="773" t="s">
        <v>17</v>
      </c>
      <c r="U30" s="774">
        <f t="shared" si="13"/>
        <v>100</v>
      </c>
      <c r="V30" s="773" t="s">
        <v>17</v>
      </c>
      <c r="W30" s="774">
        <f t="shared" si="14"/>
        <v>100</v>
      </c>
      <c r="X30" s="1812"/>
      <c r="Y30" s="3282"/>
      <c r="Z30" s="1813" t="str">
        <f t="shared" si="15"/>
        <v>物业等级</v>
      </c>
      <c r="AA30" s="1810">
        <f t="shared" si="3"/>
        <v>1</v>
      </c>
      <c r="AB30" s="1810">
        <f t="shared" si="4"/>
        <v>1</v>
      </c>
      <c r="AC30" s="1810">
        <f t="shared" si="5"/>
        <v>1</v>
      </c>
    </row>
    <row r="31" spans="1:29" s="116" customFormat="1" ht="15">
      <c r="A31" s="657"/>
      <c r="B31" s="3385" t="s">
        <v>2714</v>
      </c>
      <c r="C31" s="468">
        <f>车库清单!C3</f>
        <v>35.26</v>
      </c>
      <c r="D31" s="135">
        <v>100</v>
      </c>
      <c r="E31" s="468">
        <v>13.8</v>
      </c>
      <c r="F31" s="460">
        <f>LOOKUP(E31,91:91,92:92)-LOOKUP(C31,91:91,92:92)+100</f>
        <v>100</v>
      </c>
      <c r="G31" s="468">
        <v>32.61</v>
      </c>
      <c r="H31" s="434">
        <f>LOOKUP(G31,91:91,92:92)-LOOKUP(C31,91:91,92:92)+100</f>
        <v>100</v>
      </c>
      <c r="I31" s="468">
        <v>29.98</v>
      </c>
      <c r="J31" s="434">
        <f>LOOKUP(I31,91:91,92:92)-LOOKUP(C31,91:91,92:92)+100</f>
        <v>100</v>
      </c>
      <c r="K31" s="611"/>
      <c r="L31" s="1131"/>
      <c r="M31" s="1132"/>
      <c r="N31" s="1132"/>
      <c r="O31" s="1132"/>
      <c r="P31" s="3282"/>
      <c r="Q31" s="1794" t="str">
        <f t="shared" si="11"/>
        <v>停车位面积</v>
      </c>
      <c r="R31" s="769" t="s">
        <v>17</v>
      </c>
      <c r="S31" s="770">
        <f t="shared" si="12"/>
        <v>100</v>
      </c>
      <c r="T31" s="769" t="s">
        <v>17</v>
      </c>
      <c r="U31" s="770">
        <f t="shared" si="13"/>
        <v>100</v>
      </c>
      <c r="V31" s="769" t="s">
        <v>17</v>
      </c>
      <c r="W31" s="770">
        <f t="shared" si="14"/>
        <v>100</v>
      </c>
      <c r="X31" s="771"/>
      <c r="Y31" s="3282"/>
      <c r="Z31" s="55" t="str">
        <f t="shared" si="15"/>
        <v>停车位面积</v>
      </c>
      <c r="AA31" s="772">
        <f t="shared" si="3"/>
        <v>1</v>
      </c>
      <c r="AB31" s="772">
        <f t="shared" si="4"/>
        <v>1</v>
      </c>
      <c r="AC31" s="772">
        <f t="shared" si="5"/>
        <v>1</v>
      </c>
    </row>
    <row r="32" spans="1:29" ht="15">
      <c r="A32" s="655"/>
      <c r="B32" s="653" t="s">
        <v>2715</v>
      </c>
      <c r="C32" s="459" t="s">
        <v>3243</v>
      </c>
      <c r="D32" s="434">
        <v>100</v>
      </c>
      <c r="E32" s="459" t="s">
        <v>3243</v>
      </c>
      <c r="F32" s="460">
        <f>SUMIF(93:93,E32,94:94)-SUMIF(93:93,C32,94:94)+100</f>
        <v>100</v>
      </c>
      <c r="G32" s="459" t="s">
        <v>3243</v>
      </c>
      <c r="H32" s="434">
        <f>SUMIF(93:93,G32,94:94)-SUMIF(93:93,C32,94:94)+100</f>
        <v>100</v>
      </c>
      <c r="I32" s="459" t="s">
        <v>3243</v>
      </c>
      <c r="J32" s="434">
        <f>SUMIF(93:93,I32,94:94)-SUMIF(93:93,C32,94:94)+100</f>
        <v>100</v>
      </c>
      <c r="K32" s="611">
        <v>2</v>
      </c>
      <c r="L32" s="1139"/>
      <c r="M32" s="1130"/>
      <c r="N32" s="1130"/>
      <c r="O32" s="1130"/>
      <c r="P32" s="3282" t="s">
        <v>2562</v>
      </c>
      <c r="Q32" s="1809" t="str">
        <f t="shared" si="11"/>
        <v>车位类型</v>
      </c>
      <c r="R32" s="773" t="s">
        <v>17</v>
      </c>
      <c r="S32" s="774">
        <f t="shared" si="12"/>
        <v>100</v>
      </c>
      <c r="T32" s="773" t="s">
        <v>17</v>
      </c>
      <c r="U32" s="774">
        <f t="shared" si="13"/>
        <v>100</v>
      </c>
      <c r="V32" s="773" t="s">
        <v>17</v>
      </c>
      <c r="W32" s="774">
        <f t="shared" si="14"/>
        <v>100</v>
      </c>
      <c r="X32" s="1812"/>
      <c r="Y32" s="3282" t="s">
        <v>2562</v>
      </c>
      <c r="Z32" s="1813" t="str">
        <f t="shared" si="15"/>
        <v>车位类型</v>
      </c>
      <c r="AA32" s="1810">
        <f t="shared" si="3"/>
        <v>1</v>
      </c>
      <c r="AB32" s="1810">
        <f t="shared" si="4"/>
        <v>1</v>
      </c>
      <c r="AC32" s="1810">
        <f t="shared" si="5"/>
        <v>1</v>
      </c>
    </row>
    <row r="33" spans="1:29" ht="15">
      <c r="A33" s="655"/>
      <c r="B33" s="653" t="s">
        <v>2716</v>
      </c>
      <c r="C33" s="459" t="s">
        <v>3062</v>
      </c>
      <c r="D33" s="434">
        <v>100</v>
      </c>
      <c r="E33" s="459" t="s">
        <v>3062</v>
      </c>
      <c r="F33" s="460">
        <f>SUMIF(95:95,E33,96:96)-SUMIF(95:95,C33,96:96)+100</f>
        <v>100</v>
      </c>
      <c r="G33" s="459" t="s">
        <v>3062</v>
      </c>
      <c r="H33" s="434">
        <f>SUMIF(95:95,G33,96:96)-SUMIF(95:95,C33,96:96)+100</f>
        <v>100</v>
      </c>
      <c r="I33" s="459" t="s">
        <v>3062</v>
      </c>
      <c r="J33" s="434">
        <f>SUMIF(95:95,I33,96:96)-SUMIF(95:95,C33,96:96)+100</f>
        <v>100</v>
      </c>
      <c r="K33" s="611">
        <v>5</v>
      </c>
      <c r="L33" s="1139"/>
      <c r="M33" s="1130"/>
      <c r="N33" s="1130"/>
      <c r="O33" s="1130"/>
      <c r="P33" s="3282"/>
      <c r="Q33" s="1809" t="str">
        <f t="shared" si="11"/>
        <v>是否直接入户</v>
      </c>
      <c r="R33" s="773" t="s">
        <v>17</v>
      </c>
      <c r="S33" s="774">
        <f t="shared" si="12"/>
        <v>100</v>
      </c>
      <c r="T33" s="773" t="s">
        <v>17</v>
      </c>
      <c r="U33" s="774">
        <f t="shared" si="13"/>
        <v>100</v>
      </c>
      <c r="V33" s="773" t="s">
        <v>17</v>
      </c>
      <c r="W33" s="774">
        <f t="shared" si="14"/>
        <v>100</v>
      </c>
      <c r="X33" s="1812"/>
      <c r="Y33" s="3282"/>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82"/>
      <c r="Q34" s="1809">
        <f t="shared" si="11"/>
        <v>111</v>
      </c>
      <c r="R34" s="773" t="s">
        <v>17</v>
      </c>
      <c r="S34" s="774">
        <f t="shared" si="12"/>
        <v>100</v>
      </c>
      <c r="T34" s="773" t="s">
        <v>17</v>
      </c>
      <c r="U34" s="774">
        <f t="shared" si="13"/>
        <v>100</v>
      </c>
      <c r="V34" s="773" t="s">
        <v>17</v>
      </c>
      <c r="W34" s="774">
        <f t="shared" si="14"/>
        <v>100</v>
      </c>
      <c r="X34" s="1812"/>
      <c r="Y34" s="3282"/>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82"/>
      <c r="Q35" s="775">
        <f t="shared" si="11"/>
        <v>111</v>
      </c>
      <c r="R35" s="776" t="s">
        <v>17</v>
      </c>
      <c r="S35" s="777">
        <f t="shared" si="12"/>
        <v>100</v>
      </c>
      <c r="T35" s="776" t="s">
        <v>17</v>
      </c>
      <c r="U35" s="777">
        <f t="shared" si="13"/>
        <v>100</v>
      </c>
      <c r="V35" s="776" t="s">
        <v>17</v>
      </c>
      <c r="W35" s="777">
        <f t="shared" si="14"/>
        <v>100</v>
      </c>
      <c r="X35" s="778"/>
      <c r="Y35" s="3282"/>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82"/>
      <c r="Q36" s="1809">
        <f t="shared" si="11"/>
        <v>111</v>
      </c>
      <c r="R36" s="773" t="s">
        <v>17</v>
      </c>
      <c r="S36" s="774">
        <f t="shared" si="12"/>
        <v>100</v>
      </c>
      <c r="T36" s="773" t="s">
        <v>17</v>
      </c>
      <c r="U36" s="774">
        <f t="shared" si="13"/>
        <v>100</v>
      </c>
      <c r="V36" s="773" t="s">
        <v>17</v>
      </c>
      <c r="W36" s="774">
        <f t="shared" si="14"/>
        <v>100</v>
      </c>
      <c r="X36" s="1812"/>
      <c r="Y36" s="3282"/>
      <c r="Z36" s="1813">
        <f t="shared" si="15"/>
        <v>111</v>
      </c>
      <c r="AA36" s="1810">
        <f t="shared" si="3"/>
        <v>1</v>
      </c>
      <c r="AB36" s="1810">
        <f t="shared" si="4"/>
        <v>1</v>
      </c>
      <c r="AC36" s="1810">
        <f t="shared" si="5"/>
        <v>1</v>
      </c>
    </row>
    <row r="37" spans="1:29" ht="15">
      <c r="A37" s="478" t="s">
        <v>2717</v>
      </c>
      <c r="B37" s="2695" t="s">
        <v>3246</v>
      </c>
      <c r="C37" s="1406" t="s">
        <v>1</v>
      </c>
      <c r="D37" s="1407"/>
      <c r="E37" s="1408">
        <v>340000</v>
      </c>
      <c r="F37" s="1409"/>
      <c r="G37" s="1410">
        <v>280000</v>
      </c>
      <c r="H37" s="1411"/>
      <c r="I37" s="1408">
        <v>350000</v>
      </c>
      <c r="J37" s="1411"/>
      <c r="K37" s="618"/>
      <c r="L37" s="1142"/>
      <c r="M37" s="1143"/>
      <c r="N37" s="1130"/>
      <c r="O37" s="1143"/>
      <c r="P37" s="3284" t="str">
        <f>A37</f>
        <v>成交单价</v>
      </c>
      <c r="Q37" s="3284"/>
      <c r="R37" s="3285">
        <f>E37</f>
        <v>340000</v>
      </c>
      <c r="S37" s="3285"/>
      <c r="T37" s="3285">
        <f>G37</f>
        <v>280000</v>
      </c>
      <c r="U37" s="3285"/>
      <c r="V37" s="3285">
        <f>I37</f>
        <v>350000</v>
      </c>
      <c r="W37" s="3285"/>
      <c r="X37" s="758"/>
      <c r="Y37" s="780"/>
      <c r="Z37" s="758"/>
      <c r="AA37" s="758"/>
      <c r="AB37" s="758"/>
      <c r="AC37" s="758"/>
    </row>
    <row r="38" spans="1:29" ht="15.75" thickBot="1">
      <c r="A38" s="485" t="s">
        <v>2718</v>
      </c>
      <c r="B38" s="486" t="str">
        <f>B37</f>
        <v>元/车位</v>
      </c>
      <c r="C38" s="1412">
        <f>R39</f>
        <v>328256</v>
      </c>
      <c r="D38" s="1413"/>
      <c r="E38" s="1414">
        <f>R38</f>
        <v>361244</v>
      </c>
      <c r="F38" s="1414"/>
      <c r="G38" s="1412">
        <f>T38</f>
        <v>280112</v>
      </c>
      <c r="H38" s="1413"/>
      <c r="I38" s="1414">
        <f>V38</f>
        <v>343412</v>
      </c>
      <c r="J38" s="1413"/>
      <c r="K38" s="619"/>
      <c r="L38" s="1142"/>
      <c r="M38" s="1143"/>
      <c r="N38" s="1143"/>
      <c r="O38" s="1143"/>
      <c r="P38" s="3284" t="str">
        <f>A38</f>
        <v>比较价值（元/平方米）</v>
      </c>
      <c r="Q38" s="3284"/>
      <c r="R38" s="3285">
        <f>IF(F1="售价",ROUND(PRODUCT(R37,AA7:AA36),0),ROUND(PRODUCT(R37,AA7:AA36),1))</f>
        <v>361244</v>
      </c>
      <c r="S38" s="3285"/>
      <c r="T38" s="3285">
        <f>IF(F1="售价",ROUND(PRODUCT(T37,AB7:AB36),0),ROUND(PRODUCT(T37,AB7:AB36),1))</f>
        <v>280112</v>
      </c>
      <c r="U38" s="3285"/>
      <c r="V38" s="3285">
        <f>IF(F1="售价",ROUND(PRODUCT(V37,AC7:AC36),0),ROUND(PRODUCT(V37,AC7:AC36),1))</f>
        <v>343412</v>
      </c>
      <c r="W38" s="3285"/>
      <c r="X38" s="758"/>
      <c r="Y38" s="758"/>
      <c r="Z38" s="758"/>
      <c r="AA38" s="758"/>
      <c r="AB38" s="758"/>
      <c r="AC38" s="758"/>
    </row>
    <row r="39" spans="1:29" ht="15.75" thickBot="1">
      <c r="A39" s="491" t="s">
        <v>2719</v>
      </c>
      <c r="B39" s="492"/>
      <c r="C39" s="1416">
        <f>R39</f>
        <v>328256</v>
      </c>
      <c r="D39" s="1416"/>
      <c r="E39" s="1416"/>
      <c r="F39" s="1416"/>
      <c r="G39" s="1416"/>
      <c r="H39" s="1416"/>
      <c r="I39" s="1416"/>
      <c r="J39" s="1416"/>
      <c r="K39" s="620"/>
      <c r="L39" s="1142"/>
      <c r="M39" s="1143"/>
      <c r="N39" s="1143"/>
      <c r="O39" s="1143"/>
      <c r="P39" s="3286" t="str">
        <f>A39</f>
        <v>估价对象XX用房的比较价值（楼面单价，元/平方米）</v>
      </c>
      <c r="Q39" s="3287"/>
      <c r="R39" s="3288">
        <f>IF(F1="售价",ROUND(AVERAGE(R38:V38),0),ROUND(AVERAGE(R38:V38),1))</f>
        <v>328256</v>
      </c>
      <c r="S39" s="3288"/>
      <c r="T39" s="3288"/>
      <c r="U39" s="3288"/>
      <c r="V39" s="3288"/>
      <c r="W39" s="3288"/>
      <c r="X39" s="758"/>
      <c r="Y39" s="758"/>
      <c r="Z39" s="758"/>
      <c r="AA39" s="758"/>
      <c r="AB39" s="758"/>
      <c r="AC39" s="758"/>
    </row>
    <row r="40" spans="1:29">
      <c r="A40" s="1143"/>
      <c r="B40" s="1143"/>
      <c r="C40" s="1143"/>
      <c r="D40" s="1143"/>
      <c r="E40" s="1143">
        <v>2003</v>
      </c>
      <c r="F40" s="1143"/>
      <c r="G40" s="1146">
        <v>20.12</v>
      </c>
      <c r="H40" s="1143"/>
      <c r="I40" s="1143">
        <v>2013</v>
      </c>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2720</v>
      </c>
      <c r="D42" s="497"/>
      <c r="E42" s="498">
        <f>IF(E37&lt;E38,E38/E37-1,E37/E38-1)</f>
        <v>6.2482352941176433E-2</v>
      </c>
      <c r="F42" s="499" t="str">
        <f>IF(OR(E42&gt;=0.3,E42&lt;=-0.3),"超过30%","")</f>
        <v/>
      </c>
      <c r="G42" s="498">
        <f>IF(G37&lt;G38,G38/G37-1,G37/G38-1)</f>
        <v>3.9999999999995595E-4</v>
      </c>
      <c r="H42" s="499" t="str">
        <f>IF(OR(G42&gt;=0.3,G42&lt;=-0.3),"超过30%","")</f>
        <v/>
      </c>
      <c r="I42" s="498">
        <f>IF(I37&lt;I38,I38/I37-1,I37/I38-1)</f>
        <v>1.9183953967828682E-2</v>
      </c>
      <c r="J42" s="499"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2721</v>
      </c>
      <c r="D43" s="500"/>
      <c r="E43" s="498">
        <f>IF(E38&lt;G38,G38/E38-1,E38/G38-1)</f>
        <v>0.28964128634260589</v>
      </c>
      <c r="F43" s="499" t="str">
        <f>IF(OR(E43&gt;=0.2,E43&lt;=-0.2),"超过20%","")</f>
        <v>超过20%</v>
      </c>
      <c r="G43" s="498">
        <f>IF(G38&lt;I38,I38/G38-1,G38/I38-1)</f>
        <v>0.22598103615696585</v>
      </c>
      <c r="H43" s="499" t="str">
        <f>IF(OR(G43&gt;=0.2,G43&lt;=-0.2),"超过20%","")</f>
        <v>超过20%</v>
      </c>
      <c r="I43" s="498">
        <f>IF(I38&lt;E38,E38/I38-1,I38/E38-1)</f>
        <v>5.192596647758374E-2</v>
      </c>
      <c r="J43" s="499"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2722</v>
      </c>
      <c r="D44" s="500"/>
      <c r="E44" s="498">
        <f>IF(E37&lt;G37,G37/E37-1,E37/G37-1)</f>
        <v>0.21428571428571419</v>
      </c>
      <c r="F44" s="499" t="str">
        <f>IF(OR(E44&gt;=0.3,E44&lt;=-0.3),"超过30%","")</f>
        <v/>
      </c>
      <c r="G44" s="498">
        <f>IF(G37&lt;I37,I37/G37-1,G37/I37-1)</f>
        <v>0.25</v>
      </c>
      <c r="H44" s="499" t="str">
        <f>IF(OR(G44&gt;=0.3,G44&lt;=-0.3),"超过30%","")</f>
        <v/>
      </c>
      <c r="I44" s="498">
        <f>IF(I37&lt;E37,E37/I37-1,I37/E37-1)</f>
        <v>2.9411764705882248E-2</v>
      </c>
      <c r="J44" s="499"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2723</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2724</v>
      </c>
      <c r="B48" s="505"/>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v>100</v>
      </c>
      <c r="E49" s="511">
        <v>100</v>
      </c>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2582</v>
      </c>
      <c r="B50" s="515"/>
      <c r="C50" s="516">
        <v>1</v>
      </c>
      <c r="D50" s="517">
        <v>1</v>
      </c>
      <c r="E50" s="517">
        <v>1</v>
      </c>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2547</v>
      </c>
      <c r="B51" s="509"/>
      <c r="C51" s="521" t="s">
        <v>2649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2585</v>
      </c>
      <c r="B53" s="527" t="s">
        <v>2551</v>
      </c>
      <c r="C53" s="528" t="str">
        <f>C9</f>
        <v>车位</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98</v>
      </c>
      <c r="E64" s="543">
        <f>D64-$K14</f>
        <v>96</v>
      </c>
      <c r="F64" s="543">
        <f>E64-$K14</f>
        <v>94</v>
      </c>
      <c r="G64" s="543">
        <f>F64-$K14</f>
        <v>92</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2600</v>
      </c>
      <c r="C65" s="577" t="s">
        <v>2594</v>
      </c>
      <c r="D65" s="577" t="s">
        <v>2595</v>
      </c>
      <c r="E65" s="577" t="s">
        <v>2596</v>
      </c>
      <c r="F65" s="577" t="s">
        <v>2597</v>
      </c>
      <c r="G65" s="577" t="s">
        <v>2598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98</v>
      </c>
      <c r="E66" s="543">
        <f>D66-$K16</f>
        <v>96</v>
      </c>
      <c r="F66" s="543">
        <f>E66-$K16</f>
        <v>94</v>
      </c>
      <c r="G66" s="543">
        <f>F66-$K16</f>
        <v>92</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2686</v>
      </c>
      <c r="C67" s="659" t="s">
        <v>2672</v>
      </c>
      <c r="D67" s="659" t="s">
        <v>2673</v>
      </c>
      <c r="E67" s="659" t="s">
        <v>2674</v>
      </c>
      <c r="F67" s="659" t="s">
        <v>2675</v>
      </c>
      <c r="G67" s="659" t="s">
        <v>2676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99</v>
      </c>
      <c r="E68" s="543">
        <f>D68-$K18</f>
        <v>98</v>
      </c>
      <c r="F68" s="543">
        <f>E68-$K18</f>
        <v>97</v>
      </c>
      <c r="G68" s="543">
        <f>F68-$K18</f>
        <v>96</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2606</v>
      </c>
      <c r="C69" s="577" t="s">
        <v>2594</v>
      </c>
      <c r="D69" s="577" t="s">
        <v>2595</v>
      </c>
      <c r="E69" s="577" t="s">
        <v>2596</v>
      </c>
      <c r="F69" s="577" t="s">
        <v>2597</v>
      </c>
      <c r="G69" s="577" t="s">
        <v>2598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98</v>
      </c>
      <c r="E70" s="543">
        <f>D70-$K20</f>
        <v>96</v>
      </c>
      <c r="F70" s="543">
        <f>E70-$K20</f>
        <v>94</v>
      </c>
      <c r="G70" s="543">
        <f>F70-$K20</f>
        <v>92</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2725</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2560</v>
      </c>
      <c r="B79" s="527" t="s">
        <v>2726</v>
      </c>
      <c r="C79" s="528" t="str">
        <f>C26</f>
        <v>商业</v>
      </c>
      <c r="D79" s="3042" t="s">
        <v>3248</v>
      </c>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2727</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2613</v>
      </c>
      <c r="C83" s="3043" t="s">
        <v>3253</v>
      </c>
      <c r="D83" s="3043" t="s">
        <v>3254</v>
      </c>
      <c r="E83" s="3043" t="s">
        <v>3255</v>
      </c>
      <c r="F83" s="3044" t="s">
        <v>3256</v>
      </c>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2729</v>
      </c>
      <c r="C88" s="3042" t="s">
        <v>3250</v>
      </c>
      <c r="D88" s="3042" t="s">
        <v>3252</v>
      </c>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2730</v>
      </c>
      <c r="C90" s="577" t="str">
        <f>C91&amp;"(含)"&amp;"-"&amp;D91</f>
        <v>0(含)-20</v>
      </c>
      <c r="D90" s="577" t="str">
        <f t="shared" ref="D90:L90" si="21">D91&amp;"(含)"&amp;"-"&amp;E91</f>
        <v>20(含)-30</v>
      </c>
      <c r="E90" s="577" t="str">
        <f t="shared" si="21"/>
        <v>30(含)-40</v>
      </c>
      <c r="F90" s="577" t="str">
        <f t="shared" si="21"/>
        <v>40(含)-50</v>
      </c>
      <c r="G90" s="577" t="str">
        <f t="shared" si="21"/>
        <v>50(含)-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v>0</v>
      </c>
      <c r="D91" s="594">
        <v>20</v>
      </c>
      <c r="E91" s="594">
        <v>30</v>
      </c>
      <c r="F91" s="594">
        <v>40</v>
      </c>
      <c r="G91" s="594">
        <v>50</v>
      </c>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v>100</v>
      </c>
      <c r="D92" s="535">
        <v>100</v>
      </c>
      <c r="E92" s="535">
        <v>100</v>
      </c>
      <c r="F92" s="535">
        <v>100</v>
      </c>
      <c r="G92" s="535">
        <v>100</v>
      </c>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2731</v>
      </c>
      <c r="C93" s="3041" t="s">
        <v>3242</v>
      </c>
      <c r="D93" s="3041" t="s">
        <v>3243</v>
      </c>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2732</v>
      </c>
      <c r="C95" s="3042" t="s">
        <v>3244</v>
      </c>
      <c r="D95" s="3042" t="s">
        <v>3245</v>
      </c>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95</v>
      </c>
      <c r="E96" s="543">
        <f>D96-$K33</f>
        <v>90</v>
      </c>
      <c r="F96" s="543">
        <f>E96-$K33</f>
        <v>85</v>
      </c>
      <c r="G96" s="543">
        <f>F96-$K33</f>
        <v>80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2704</v>
      </c>
      <c r="B1" s="1618"/>
      <c r="C1" s="1619" t="s">
        <v>2527</v>
      </c>
      <c r="D1" s="1620"/>
      <c r="E1" s="1629"/>
      <c r="F1" s="2584"/>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2324</v>
      </c>
      <c r="B2" s="1417" t="e">
        <f ca="1">IF(C2="——",ROUND(C37*D3/10000,0),ROUND(C37*D3/10000,0)-D2)</f>
        <v>#DIV/0!</v>
      </c>
      <c r="C2" s="2586"/>
      <c r="D2" s="1123" t="e">
        <f ca="1">SUMIF(INDIRECT("'"&amp;F2&amp;"'"&amp;"!A:A"),"承租人权益价值",INDIRECT("'"&amp;F2&amp;"'"&amp;"!c:c"))</f>
        <v>#REF!</v>
      </c>
      <c r="E2" s="2587" t="s">
        <v>2325</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IF(C2="——",C37,ROUND(B2*10000/D3,0))</f>
        <v>#DIV/0!</v>
      </c>
      <c r="C3" s="399" t="s">
        <v>2641</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62" t="s">
        <v>2643</v>
      </c>
      <c r="D4" s="3263"/>
      <c r="E4" s="3264" t="s">
        <v>2644</v>
      </c>
      <c r="F4" s="3265"/>
      <c r="G4" s="3262" t="s">
        <v>2645</v>
      </c>
      <c r="H4" s="3263"/>
      <c r="I4" s="3262" t="s">
        <v>2646</v>
      </c>
      <c r="J4" s="3263"/>
      <c r="K4" s="609" t="s">
        <v>2647</v>
      </c>
      <c r="L4" s="1129"/>
      <c r="M4" s="1130"/>
      <c r="N4" s="1130"/>
      <c r="O4" s="1130"/>
      <c r="P4" s="3266" t="s">
        <v>2648</v>
      </c>
      <c r="Q4" s="3267"/>
      <c r="R4" s="3248" t="s">
        <v>2644</v>
      </c>
      <c r="S4" s="3249"/>
      <c r="T4" s="3248" t="s">
        <v>2645</v>
      </c>
      <c r="U4" s="3249"/>
      <c r="V4" s="3245" t="s">
        <v>2646</v>
      </c>
      <c r="W4" s="3245"/>
      <c r="X4" s="1812"/>
      <c r="Y4" s="3248" t="s">
        <v>2648</v>
      </c>
      <c r="Z4" s="3249"/>
      <c r="AA4" s="3242" t="s">
        <v>2644</v>
      </c>
      <c r="AB4" s="3243" t="s">
        <v>2645</v>
      </c>
      <c r="AC4" s="3242" t="s">
        <v>2646</v>
      </c>
    </row>
    <row r="5" spans="1:29" ht="15">
      <c r="A5" s="403"/>
      <c r="B5" s="404"/>
      <c r="C5" s="3254" t="s">
        <v>2539</v>
      </c>
      <c r="D5" s="3255"/>
      <c r="E5" s="3315" t="s">
        <v>2540</v>
      </c>
      <c r="F5" s="3253"/>
      <c r="G5" s="3254" t="s">
        <v>2541</v>
      </c>
      <c r="H5" s="3255"/>
      <c r="I5" s="3254" t="s">
        <v>2542</v>
      </c>
      <c r="J5" s="3255"/>
      <c r="K5" s="609"/>
      <c r="L5" s="1129"/>
      <c r="M5" s="1130"/>
      <c r="N5" s="1130"/>
      <c r="O5" s="1130"/>
      <c r="P5" s="3268"/>
      <c r="Q5" s="3269"/>
      <c r="R5" s="3250"/>
      <c r="S5" s="3251"/>
      <c r="T5" s="3250"/>
      <c r="U5" s="3251"/>
      <c r="V5" s="3245"/>
      <c r="W5" s="3245"/>
      <c r="X5" s="1812"/>
      <c r="Y5" s="3250"/>
      <c r="Z5" s="3251"/>
      <c r="AA5" s="3243"/>
      <c r="AB5" s="3243"/>
      <c r="AC5" s="3243"/>
    </row>
    <row r="6" spans="1:29" ht="15.75" thickBot="1">
      <c r="A6" s="405"/>
      <c r="B6" s="406"/>
      <c r="C6" s="3256" t="s">
        <v>2543</v>
      </c>
      <c r="D6" s="3257"/>
      <c r="E6" s="3259" t="s">
        <v>2543</v>
      </c>
      <c r="F6" s="3260"/>
      <c r="G6" s="3256" t="s">
        <v>2543</v>
      </c>
      <c r="H6" s="3257"/>
      <c r="I6" s="3256" t="s">
        <v>2543</v>
      </c>
      <c r="J6" s="3257"/>
      <c r="K6" s="609" t="s">
        <v>2544</v>
      </c>
      <c r="L6" s="1129"/>
      <c r="M6" s="1130"/>
      <c r="N6" s="1130"/>
      <c r="O6" s="1130"/>
      <c r="P6" s="3270"/>
      <c r="Q6" s="3271"/>
      <c r="R6" s="3250"/>
      <c r="S6" s="3251"/>
      <c r="T6" s="3272"/>
      <c r="U6" s="3273"/>
      <c r="V6" s="3245"/>
      <c r="W6" s="3245"/>
      <c r="X6" s="1812"/>
      <c r="Y6" s="3272"/>
      <c r="Z6" s="3273"/>
      <c r="AA6" s="3244"/>
      <c r="AB6" s="3244"/>
      <c r="AC6" s="3244"/>
    </row>
    <row r="7" spans="1:29" s="116" customFormat="1" ht="15.75" thickBot="1">
      <c r="A7" s="407" t="s">
        <v>2545</v>
      </c>
      <c r="B7" s="408"/>
      <c r="C7" s="409">
        <f>'数据-取费表'!B2</f>
        <v>43634</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46" t="s">
        <v>2546</v>
      </c>
      <c r="Q7" s="3274"/>
      <c r="R7" s="769" t="s">
        <v>17</v>
      </c>
      <c r="S7" s="770">
        <f t="shared" ref="S7:S14" si="0">F7</f>
        <v>0</v>
      </c>
      <c r="T7" s="769" t="s">
        <v>17</v>
      </c>
      <c r="U7" s="770">
        <f t="shared" ref="U7:U14" si="1">H7</f>
        <v>0</v>
      </c>
      <c r="V7" s="769" t="s">
        <v>17</v>
      </c>
      <c r="W7" s="770">
        <f t="shared" ref="W7:W14" si="2">J7</f>
        <v>0</v>
      </c>
      <c r="X7" s="771"/>
      <c r="Y7" s="3246" t="s">
        <v>2546</v>
      </c>
      <c r="Z7" s="3247"/>
      <c r="AA7" s="772" t="e">
        <f>D7/F7</f>
        <v>#DIV/0!</v>
      </c>
      <c r="AB7" s="772" t="e">
        <f>D7/H7</f>
        <v>#DIV/0!</v>
      </c>
      <c r="AC7" s="772" t="e">
        <f>D7/J7</f>
        <v>#DIV/0!</v>
      </c>
    </row>
    <row r="8" spans="1:29" s="116"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6" t="s">
        <v>2549</v>
      </c>
      <c r="Q8" s="3247"/>
      <c r="R8" s="769" t="s">
        <v>17</v>
      </c>
      <c r="S8" s="770">
        <f t="shared" si="0"/>
        <v>0</v>
      </c>
      <c r="T8" s="769" t="s">
        <v>17</v>
      </c>
      <c r="U8" s="770">
        <f t="shared" si="1"/>
        <v>0</v>
      </c>
      <c r="V8" s="769" t="s">
        <v>17</v>
      </c>
      <c r="W8" s="770">
        <f t="shared" si="2"/>
        <v>0</v>
      </c>
      <c r="X8" s="771"/>
      <c r="Y8" s="3246" t="s">
        <v>2549</v>
      </c>
      <c r="Z8" s="3247"/>
      <c r="AA8" s="772" t="e">
        <f t="shared" ref="AA8:AA34" si="3">D8/F8</f>
        <v>#DIV/0!</v>
      </c>
      <c r="AB8" s="772" t="e">
        <f t="shared" ref="AB8:AB34" si="4">D8/H8</f>
        <v>#DIV/0!</v>
      </c>
      <c r="AC8" s="772" t="e">
        <f t="shared" ref="AC8:AC34" si="5">D8/J8</f>
        <v>#DIV/0!</v>
      </c>
    </row>
    <row r="9" spans="1:29" s="116" customFormat="1">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84" t="s">
        <v>2552</v>
      </c>
      <c r="Q9" s="1794" t="str">
        <f t="shared" ref="Q9:Q14" si="6">B9</f>
        <v>用途</v>
      </c>
      <c r="R9" s="769" t="s">
        <v>17</v>
      </c>
      <c r="S9" s="770">
        <f t="shared" si="0"/>
        <v>100</v>
      </c>
      <c r="T9" s="769" t="s">
        <v>17</v>
      </c>
      <c r="U9" s="770">
        <f t="shared" si="1"/>
        <v>100</v>
      </c>
      <c r="V9" s="769" t="s">
        <v>17</v>
      </c>
      <c r="W9" s="770">
        <f t="shared" si="2"/>
        <v>100</v>
      </c>
      <c r="X9" s="771"/>
      <c r="Y9" s="3114" t="s">
        <v>2553</v>
      </c>
      <c r="Z9" s="55" t="str">
        <f t="shared" ref="Z9:Z14" si="7">Q9</f>
        <v>用途</v>
      </c>
      <c r="AA9" s="772">
        <f t="shared" si="3"/>
        <v>1</v>
      </c>
      <c r="AB9" s="772">
        <f t="shared" si="4"/>
        <v>1</v>
      </c>
      <c r="AC9" s="772">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84"/>
      <c r="Q10" s="1794" t="str">
        <f t="shared" si="6"/>
        <v>土地使用年限（年）</v>
      </c>
      <c r="R10" s="769" t="s">
        <v>17</v>
      </c>
      <c r="S10" s="770">
        <f t="shared" si="0"/>
        <v>100</v>
      </c>
      <c r="T10" s="769" t="s">
        <v>17</v>
      </c>
      <c r="U10" s="770">
        <f t="shared" si="1"/>
        <v>100</v>
      </c>
      <c r="V10" s="769" t="s">
        <v>17</v>
      </c>
      <c r="W10" s="770">
        <f t="shared" si="2"/>
        <v>100</v>
      </c>
      <c r="X10" s="771"/>
      <c r="Y10" s="3114"/>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84"/>
      <c r="Q11" s="1794">
        <f t="shared" si="6"/>
        <v>111</v>
      </c>
      <c r="R11" s="769" t="s">
        <v>17</v>
      </c>
      <c r="S11" s="770">
        <f t="shared" si="0"/>
        <v>100</v>
      </c>
      <c r="T11" s="769" t="s">
        <v>17</v>
      </c>
      <c r="U11" s="770">
        <f t="shared" si="1"/>
        <v>100</v>
      </c>
      <c r="V11" s="769" t="s">
        <v>17</v>
      </c>
      <c r="W11" s="770">
        <f t="shared" si="2"/>
        <v>100</v>
      </c>
      <c r="X11" s="771"/>
      <c r="Y11" s="3114"/>
      <c r="Z11" s="55">
        <f t="shared" si="7"/>
        <v>111</v>
      </c>
      <c r="AA11" s="772">
        <f t="shared" si="3"/>
        <v>1</v>
      </c>
      <c r="AB11" s="772">
        <f t="shared" si="4"/>
        <v>1</v>
      </c>
      <c r="AC11" s="772">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84"/>
      <c r="Q12" s="1794">
        <f t="shared" si="6"/>
        <v>111</v>
      </c>
      <c r="R12" s="769" t="s">
        <v>17</v>
      </c>
      <c r="S12" s="770">
        <f t="shared" si="0"/>
        <v>100</v>
      </c>
      <c r="T12" s="769" t="s">
        <v>17</v>
      </c>
      <c r="U12" s="770">
        <f t="shared" si="1"/>
        <v>100</v>
      </c>
      <c r="V12" s="769" t="s">
        <v>17</v>
      </c>
      <c r="W12" s="770">
        <f t="shared" si="2"/>
        <v>100</v>
      </c>
      <c r="X12" s="771"/>
      <c r="Y12" s="3114"/>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84"/>
      <c r="Q13" s="1794">
        <f t="shared" si="6"/>
        <v>111</v>
      </c>
      <c r="R13" s="769" t="s">
        <v>17</v>
      </c>
      <c r="S13" s="770">
        <f t="shared" si="0"/>
        <v>100</v>
      </c>
      <c r="T13" s="769" t="s">
        <v>17</v>
      </c>
      <c r="U13" s="770">
        <f t="shared" si="1"/>
        <v>100</v>
      </c>
      <c r="V13" s="769" t="s">
        <v>17</v>
      </c>
      <c r="W13" s="770">
        <f t="shared" si="2"/>
        <v>100</v>
      </c>
      <c r="X13" s="771"/>
      <c r="Y13" s="3114"/>
      <c r="Z13" s="55">
        <f t="shared" si="7"/>
        <v>111</v>
      </c>
      <c r="AA13" s="772">
        <f t="shared" si="3"/>
        <v>1</v>
      </c>
      <c r="AB13" s="772">
        <f t="shared" si="4"/>
        <v>1</v>
      </c>
      <c r="AC13" s="772">
        <f t="shared" si="5"/>
        <v>1</v>
      </c>
    </row>
    <row r="14" spans="1:29" ht="85.5">
      <c r="A14" s="439" t="s">
        <v>2556</v>
      </c>
      <c r="B14" s="69" t="s">
        <v>2706</v>
      </c>
      <c r="C14" s="2693"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77" t="s">
        <v>2557</v>
      </c>
      <c r="Q14" s="1809" t="str">
        <f t="shared" si="6"/>
        <v>交通便捷度</v>
      </c>
      <c r="R14" s="773" t="s">
        <v>17</v>
      </c>
      <c r="S14" s="774">
        <f t="shared" si="0"/>
        <v>100</v>
      </c>
      <c r="T14" s="773" t="s">
        <v>17</v>
      </c>
      <c r="U14" s="774">
        <f t="shared" si="1"/>
        <v>100</v>
      </c>
      <c r="V14" s="773" t="s">
        <v>17</v>
      </c>
      <c r="W14" s="774">
        <f t="shared" si="2"/>
        <v>100</v>
      </c>
      <c r="X14" s="1812"/>
      <c r="Y14" s="3277" t="s">
        <v>2557</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78"/>
      <c r="Q15" s="1809"/>
      <c r="R15" s="773"/>
      <c r="S15" s="774"/>
      <c r="T15" s="773"/>
      <c r="U15" s="774"/>
      <c r="V15" s="773"/>
      <c r="W15" s="774"/>
      <c r="X15" s="1812"/>
      <c r="Y15" s="3278"/>
      <c r="Z15" s="1813"/>
      <c r="AA15" s="1810">
        <v>1</v>
      </c>
      <c r="AB15" s="1810">
        <v>1</v>
      </c>
      <c r="AC15" s="1810">
        <v>1</v>
      </c>
    </row>
    <row r="16" spans="1:29" ht="42.75">
      <c r="A16" s="427"/>
      <c r="B16" s="450" t="s">
        <v>2685</v>
      </c>
      <c r="C16" s="2607"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78"/>
      <c r="Q16" s="1809" t="str">
        <f>B16</f>
        <v>公共配套设施</v>
      </c>
      <c r="R16" s="773" t="s">
        <v>17</v>
      </c>
      <c r="S16" s="774">
        <f>F16</f>
        <v>100</v>
      </c>
      <c r="T16" s="773" t="s">
        <v>17</v>
      </c>
      <c r="U16" s="774">
        <f>H16</f>
        <v>100</v>
      </c>
      <c r="V16" s="773" t="s">
        <v>17</v>
      </c>
      <c r="W16" s="774">
        <f>J16</f>
        <v>100</v>
      </c>
      <c r="X16" s="1812"/>
      <c r="Y16" s="3278"/>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278"/>
      <c r="Q17" s="1809"/>
      <c r="R17" s="773"/>
      <c r="S17" s="774"/>
      <c r="T17" s="773"/>
      <c r="U17" s="774"/>
      <c r="V17" s="773"/>
      <c r="W17" s="774"/>
      <c r="X17" s="1812"/>
      <c r="Y17" s="3278"/>
      <c r="Z17" s="1813"/>
      <c r="AA17" s="1810">
        <v>1</v>
      </c>
      <c r="AB17" s="1810">
        <v>1</v>
      </c>
      <c r="AC17" s="1810">
        <v>1</v>
      </c>
    </row>
    <row r="18" spans="1:29" ht="28.5">
      <c r="A18" s="427"/>
      <c r="B18" s="1383" t="s">
        <v>2686</v>
      </c>
      <c r="C18" s="2607"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78"/>
      <c r="Q18" s="1809" t="str">
        <f>B18</f>
        <v>基础设施水平</v>
      </c>
      <c r="R18" s="773" t="s">
        <v>17</v>
      </c>
      <c r="S18" s="774">
        <f>F18</f>
        <v>100</v>
      </c>
      <c r="T18" s="773" t="s">
        <v>17</v>
      </c>
      <c r="U18" s="774">
        <f>H18</f>
        <v>100</v>
      </c>
      <c r="V18" s="773" t="s">
        <v>17</v>
      </c>
      <c r="W18" s="774">
        <f>J18</f>
        <v>100</v>
      </c>
      <c r="X18" s="1812"/>
      <c r="Y18" s="3278"/>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278"/>
      <c r="Q19" s="1809"/>
      <c r="R19" s="773"/>
      <c r="S19" s="774"/>
      <c r="T19" s="773"/>
      <c r="U19" s="774"/>
      <c r="V19" s="773"/>
      <c r="W19" s="774"/>
      <c r="X19" s="1812"/>
      <c r="Y19" s="3278"/>
      <c r="Z19" s="1813"/>
      <c r="AA19" s="1810">
        <v>1</v>
      </c>
      <c r="AB19" s="1810">
        <v>1</v>
      </c>
      <c r="AC19" s="1810">
        <v>1</v>
      </c>
    </row>
    <row r="20" spans="1:29" ht="57">
      <c r="A20" s="427"/>
      <c r="B20" s="450" t="s">
        <v>2707</v>
      </c>
      <c r="C20" s="2607" t="str">
        <f>IF(B1="工业",估价对象房地状况!G7,估价对象房地状况!C9)</f>
        <v>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78"/>
      <c r="Q20" s="1809" t="str">
        <f>B20</f>
        <v>自然及人文环境</v>
      </c>
      <c r="R20" s="773" t="s">
        <v>17</v>
      </c>
      <c r="S20" s="774">
        <f>F20</f>
        <v>100</v>
      </c>
      <c r="T20" s="773" t="s">
        <v>17</v>
      </c>
      <c r="U20" s="774">
        <f>H20</f>
        <v>100</v>
      </c>
      <c r="V20" s="773" t="s">
        <v>17</v>
      </c>
      <c r="W20" s="774">
        <f>J20</f>
        <v>100</v>
      </c>
      <c r="X20" s="1812"/>
      <c r="Y20" s="3278"/>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78"/>
      <c r="Q21" s="1809"/>
      <c r="R21" s="773"/>
      <c r="S21" s="774"/>
      <c r="T21" s="773"/>
      <c r="U21" s="774"/>
      <c r="V21" s="773"/>
      <c r="W21" s="774"/>
      <c r="X21" s="1812"/>
      <c r="Y21" s="3278"/>
      <c r="Z21" s="1813"/>
      <c r="AA21" s="1810">
        <v>1</v>
      </c>
      <c r="AB21" s="1810">
        <v>1</v>
      </c>
      <c r="AC21" s="1810">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78"/>
      <c r="Q22" s="1809" t="str">
        <f>B22</f>
        <v>楼层</v>
      </c>
      <c r="R22" s="773" t="s">
        <v>17</v>
      </c>
      <c r="S22" s="774">
        <f>F22</f>
        <v>100</v>
      </c>
      <c r="T22" s="773" t="s">
        <v>17</v>
      </c>
      <c r="U22" s="774">
        <f>H22</f>
        <v>100</v>
      </c>
      <c r="V22" s="773" t="s">
        <v>17</v>
      </c>
      <c r="W22" s="774">
        <f>J22</f>
        <v>100</v>
      </c>
      <c r="X22" s="1812"/>
      <c r="Y22" s="3278"/>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78"/>
      <c r="Q23" s="1809">
        <f>B23</f>
        <v>111</v>
      </c>
      <c r="R23" s="773" t="s">
        <v>17</v>
      </c>
      <c r="S23" s="774">
        <f>F23</f>
        <v>100</v>
      </c>
      <c r="T23" s="773" t="s">
        <v>17</v>
      </c>
      <c r="U23" s="774">
        <f>H23</f>
        <v>100</v>
      </c>
      <c r="V23" s="773" t="s">
        <v>17</v>
      </c>
      <c r="W23" s="774">
        <f>J23</f>
        <v>100</v>
      </c>
      <c r="X23" s="1812"/>
      <c r="Y23" s="3278"/>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78"/>
      <c r="Q24" s="1809">
        <f t="shared" ref="Q24:Q34" si="11">B24</f>
        <v>111</v>
      </c>
      <c r="R24" s="773" t="s">
        <v>17</v>
      </c>
      <c r="S24" s="774">
        <f>F24</f>
        <v>100</v>
      </c>
      <c r="T24" s="773" t="s">
        <v>17</v>
      </c>
      <c r="U24" s="774">
        <f>H24</f>
        <v>100</v>
      </c>
      <c r="V24" s="773" t="s">
        <v>17</v>
      </c>
      <c r="W24" s="774">
        <f>J24</f>
        <v>100</v>
      </c>
      <c r="X24" s="1812"/>
      <c r="Y24" s="3278"/>
      <c r="Z24" s="1813">
        <f>Q24</f>
        <v>111</v>
      </c>
      <c r="AA24" s="1810">
        <f t="shared" si="3"/>
        <v>1</v>
      </c>
      <c r="AB24" s="1810">
        <f t="shared" si="4"/>
        <v>1</v>
      </c>
      <c r="AC24" s="1810">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78"/>
      <c r="Q25" s="1794">
        <f t="shared" si="11"/>
        <v>111</v>
      </c>
      <c r="R25" s="769" t="s">
        <v>17</v>
      </c>
      <c r="S25" s="770">
        <f>F25</f>
        <v>100</v>
      </c>
      <c r="T25" s="769" t="s">
        <v>17</v>
      </c>
      <c r="U25" s="770">
        <f>H25</f>
        <v>100</v>
      </c>
      <c r="V25" s="769" t="s">
        <v>17</v>
      </c>
      <c r="W25" s="770">
        <f>J25</f>
        <v>100</v>
      </c>
      <c r="X25" s="771"/>
      <c r="Y25" s="3278"/>
      <c r="Z25" s="55">
        <f>Q25</f>
        <v>111</v>
      </c>
      <c r="AA25" s="1810">
        <f>D25/F25</f>
        <v>1</v>
      </c>
      <c r="AB25" s="1810">
        <f>D25/H25</f>
        <v>1</v>
      </c>
      <c r="AC25" s="1810">
        <f>D25/J25</f>
        <v>1</v>
      </c>
    </row>
    <row r="26" spans="1:29" ht="28.5">
      <c r="A26" s="465" t="s">
        <v>2560</v>
      </c>
      <c r="B26" s="71" t="s">
        <v>2711</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331" t="s">
        <v>2562</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82" t="s">
        <v>2562</v>
      </c>
      <c r="Z26" s="1813" t="str">
        <f t="shared" ref="Z26:Z34" si="15">Q26</f>
        <v>公共部分装修</v>
      </c>
      <c r="AA26" s="1810">
        <f t="shared" si="3"/>
        <v>1</v>
      </c>
      <c r="AB26" s="1810">
        <f t="shared" si="4"/>
        <v>1</v>
      </c>
      <c r="AC26" s="1810">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82"/>
      <c r="Q27" s="775" t="str">
        <f t="shared" si="11"/>
        <v>成新率</v>
      </c>
      <c r="R27" s="776" t="s">
        <v>17</v>
      </c>
      <c r="S27" s="777" t="e">
        <f t="shared" si="12"/>
        <v>#N/A</v>
      </c>
      <c r="T27" s="776" t="s">
        <v>17</v>
      </c>
      <c r="U27" s="777" t="e">
        <f t="shared" si="13"/>
        <v>#N/A</v>
      </c>
      <c r="V27" s="776" t="s">
        <v>17</v>
      </c>
      <c r="W27" s="777" t="e">
        <f t="shared" si="14"/>
        <v>#N/A</v>
      </c>
      <c r="X27" s="778"/>
      <c r="Y27" s="3282"/>
      <c r="Z27" s="779" t="str">
        <f t="shared" si="15"/>
        <v>成新率</v>
      </c>
      <c r="AA27" s="1810" t="e">
        <f t="shared" si="3"/>
        <v>#N/A</v>
      </c>
      <c r="AB27" s="1810" t="e">
        <f t="shared" si="4"/>
        <v>#N/A</v>
      </c>
      <c r="AC27" s="1810"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82"/>
      <c r="Q28" s="1809" t="str">
        <f t="shared" si="11"/>
        <v>物业等级</v>
      </c>
      <c r="R28" s="773" t="s">
        <v>17</v>
      </c>
      <c r="S28" s="774">
        <f t="shared" si="12"/>
        <v>100</v>
      </c>
      <c r="T28" s="773" t="s">
        <v>17</v>
      </c>
      <c r="U28" s="774">
        <f t="shared" si="13"/>
        <v>100</v>
      </c>
      <c r="V28" s="773" t="s">
        <v>17</v>
      </c>
      <c r="W28" s="774">
        <f t="shared" si="14"/>
        <v>100</v>
      </c>
      <c r="X28" s="1812"/>
      <c r="Y28" s="3282"/>
      <c r="Z28" s="1813" t="str">
        <f t="shared" si="15"/>
        <v>物业等级</v>
      </c>
      <c r="AA28" s="1810">
        <f t="shared" si="3"/>
        <v>1</v>
      </c>
      <c r="AB28" s="1810">
        <f t="shared" si="4"/>
        <v>1</v>
      </c>
      <c r="AC28" s="1810">
        <f t="shared" si="5"/>
        <v>1</v>
      </c>
    </row>
    <row r="29" spans="1:29" ht="15">
      <c r="A29" s="471"/>
      <c r="B29" s="421" t="s">
        <v>2733</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82"/>
      <c r="Q29" s="1809" t="str">
        <f t="shared" si="11"/>
        <v>有无电梯</v>
      </c>
      <c r="R29" s="773" t="s">
        <v>17</v>
      </c>
      <c r="S29" s="774">
        <f t="shared" si="12"/>
        <v>100</v>
      </c>
      <c r="T29" s="773" t="s">
        <v>17</v>
      </c>
      <c r="U29" s="774">
        <f t="shared" si="13"/>
        <v>100</v>
      </c>
      <c r="V29" s="773" t="s">
        <v>17</v>
      </c>
      <c r="W29" s="774">
        <f t="shared" si="14"/>
        <v>100</v>
      </c>
      <c r="X29" s="1812"/>
      <c r="Y29" s="3282"/>
      <c r="Z29" s="1813" t="str">
        <f t="shared" si="15"/>
        <v>有无电梯</v>
      </c>
      <c r="AA29" s="1810">
        <f t="shared" si="3"/>
        <v>1</v>
      </c>
      <c r="AB29" s="1810">
        <f t="shared" si="4"/>
        <v>1</v>
      </c>
      <c r="AC29" s="1810">
        <f t="shared" si="5"/>
        <v>1</v>
      </c>
    </row>
    <row r="30" spans="1:29" ht="15">
      <c r="A30" s="471"/>
      <c r="B30" s="421" t="s">
        <v>2734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82"/>
      <c r="Q30" s="1809" t="str">
        <f t="shared" si="11"/>
        <v>建筑面积</v>
      </c>
      <c r="R30" s="773" t="s">
        <v>17</v>
      </c>
      <c r="S30" s="774" t="e">
        <f t="shared" si="12"/>
        <v>#N/A</v>
      </c>
      <c r="T30" s="773" t="s">
        <v>17</v>
      </c>
      <c r="U30" s="774" t="e">
        <f t="shared" si="13"/>
        <v>#N/A</v>
      </c>
      <c r="V30" s="773" t="s">
        <v>17</v>
      </c>
      <c r="W30" s="774" t="e">
        <f t="shared" si="14"/>
        <v>#N/A</v>
      </c>
      <c r="X30" s="1812"/>
      <c r="Y30" s="3282"/>
      <c r="Z30" s="1813" t="str">
        <f t="shared" si="15"/>
        <v>建筑面积</v>
      </c>
      <c r="AA30" s="1810" t="e">
        <f t="shared" si="3"/>
        <v>#N/A</v>
      </c>
      <c r="AB30" s="1810" t="e">
        <f t="shared" si="4"/>
        <v>#N/A</v>
      </c>
      <c r="AC30" s="1810" t="e">
        <f t="shared" si="5"/>
        <v>#N/A</v>
      </c>
    </row>
    <row r="31" spans="1:29" s="116" customFormat="1" ht="15">
      <c r="A31" s="472"/>
      <c r="B31" s="421" t="s">
        <v>2735</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82"/>
      <c r="Q31" s="1794" t="str">
        <f t="shared" si="11"/>
        <v>是否封闭</v>
      </c>
      <c r="R31" s="769" t="s">
        <v>17</v>
      </c>
      <c r="S31" s="770">
        <f t="shared" si="12"/>
        <v>100</v>
      </c>
      <c r="T31" s="769" t="s">
        <v>17</v>
      </c>
      <c r="U31" s="770">
        <f t="shared" si="13"/>
        <v>100</v>
      </c>
      <c r="V31" s="769" t="s">
        <v>17</v>
      </c>
      <c r="W31" s="770">
        <f t="shared" si="14"/>
        <v>100</v>
      </c>
      <c r="X31" s="771"/>
      <c r="Y31" s="3282"/>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82" t="s">
        <v>2562</v>
      </c>
      <c r="Q32" s="1809">
        <f t="shared" si="11"/>
        <v>111</v>
      </c>
      <c r="R32" s="773" t="s">
        <v>17</v>
      </c>
      <c r="S32" s="774">
        <f t="shared" si="12"/>
        <v>100</v>
      </c>
      <c r="T32" s="773" t="s">
        <v>17</v>
      </c>
      <c r="U32" s="774">
        <f t="shared" si="13"/>
        <v>100</v>
      </c>
      <c r="V32" s="773" t="s">
        <v>17</v>
      </c>
      <c r="W32" s="774">
        <f t="shared" si="14"/>
        <v>100</v>
      </c>
      <c r="X32" s="1812"/>
      <c r="Y32" s="3282" t="s">
        <v>2562</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82"/>
      <c r="Q33" s="1809">
        <f t="shared" si="11"/>
        <v>111</v>
      </c>
      <c r="R33" s="773" t="s">
        <v>17</v>
      </c>
      <c r="S33" s="774">
        <f t="shared" si="12"/>
        <v>100</v>
      </c>
      <c r="T33" s="773" t="s">
        <v>17</v>
      </c>
      <c r="U33" s="774">
        <f t="shared" si="13"/>
        <v>100</v>
      </c>
      <c r="V33" s="773" t="s">
        <v>17</v>
      </c>
      <c r="W33" s="774">
        <f t="shared" si="14"/>
        <v>100</v>
      </c>
      <c r="X33" s="1812"/>
      <c r="Y33" s="3282"/>
      <c r="Z33" s="1813">
        <f t="shared" si="15"/>
        <v>111</v>
      </c>
      <c r="AA33" s="1810">
        <f t="shared" si="3"/>
        <v>1</v>
      </c>
      <c r="AB33" s="1810">
        <f t="shared" si="4"/>
        <v>1</v>
      </c>
      <c r="AC33" s="1810">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82"/>
      <c r="Q34" s="1809">
        <f t="shared" si="11"/>
        <v>111</v>
      </c>
      <c r="R34" s="773" t="s">
        <v>17</v>
      </c>
      <c r="S34" s="774">
        <f t="shared" si="12"/>
        <v>100</v>
      </c>
      <c r="T34" s="773" t="s">
        <v>17</v>
      </c>
      <c r="U34" s="774">
        <f t="shared" si="13"/>
        <v>100</v>
      </c>
      <c r="V34" s="773" t="s">
        <v>17</v>
      </c>
      <c r="W34" s="774">
        <f t="shared" si="14"/>
        <v>100</v>
      </c>
      <c r="X34" s="1812"/>
      <c r="Y34" s="3282"/>
      <c r="Z34" s="1813">
        <f t="shared" si="15"/>
        <v>111</v>
      </c>
      <c r="AA34" s="1810">
        <f t="shared" si="3"/>
        <v>1</v>
      </c>
      <c r="AB34" s="1810">
        <f t="shared" si="4"/>
        <v>1</v>
      </c>
      <c r="AC34" s="1810">
        <f t="shared" si="5"/>
        <v>1</v>
      </c>
    </row>
    <row r="35" spans="1:29" ht="15">
      <c r="A35" s="478" t="s">
        <v>2574</v>
      </c>
      <c r="B35" s="479"/>
      <c r="C35" s="1406" t="s">
        <v>1</v>
      </c>
      <c r="D35" s="1407"/>
      <c r="E35" s="1408"/>
      <c r="F35" s="1409"/>
      <c r="G35" s="1410"/>
      <c r="H35" s="1411"/>
      <c r="I35" s="1408"/>
      <c r="J35" s="1411"/>
      <c r="K35" s="782"/>
      <c r="L35" s="1142"/>
      <c r="M35" s="1143"/>
      <c r="N35" s="1130"/>
      <c r="O35" s="1143"/>
      <c r="P35" s="3284" t="str">
        <f>A35</f>
        <v>成交单价（元/平方米）</v>
      </c>
      <c r="Q35" s="3284"/>
      <c r="R35" s="3285">
        <f>E35</f>
        <v>0</v>
      </c>
      <c r="S35" s="3285"/>
      <c r="T35" s="3285">
        <f>G35</f>
        <v>0</v>
      </c>
      <c r="U35" s="3285"/>
      <c r="V35" s="3285">
        <f>I35</f>
        <v>0</v>
      </c>
      <c r="W35" s="3285"/>
      <c r="X35" s="758"/>
      <c r="Y35" s="780"/>
      <c r="Z35" s="758"/>
      <c r="AA35" s="758"/>
      <c r="AB35" s="758"/>
      <c r="AC35" s="758"/>
    </row>
    <row r="36" spans="1:29" ht="15.75" thickBot="1">
      <c r="A36" s="485" t="s">
        <v>2666</v>
      </c>
      <c r="B36" s="486"/>
      <c r="C36" s="1412" t="e">
        <f>R37</f>
        <v>#DIV/0!</v>
      </c>
      <c r="D36" s="1413"/>
      <c r="E36" s="1414" t="e">
        <f>R36</f>
        <v>#DIV/0!</v>
      </c>
      <c r="F36" s="1414"/>
      <c r="G36" s="1412" t="e">
        <f>T36</f>
        <v>#DIV/0!</v>
      </c>
      <c r="H36" s="1413"/>
      <c r="I36" s="1414" t="e">
        <f>V36</f>
        <v>#DIV/0!</v>
      </c>
      <c r="J36" s="1413"/>
      <c r="K36" s="783"/>
      <c r="L36" s="1142"/>
      <c r="M36" s="1143"/>
      <c r="N36" s="1130"/>
      <c r="O36" s="1143"/>
      <c r="P36" s="3284" t="str">
        <f>A36</f>
        <v>比较价值（元/平方米）</v>
      </c>
      <c r="Q36" s="3284"/>
      <c r="R36" s="3285" t="e">
        <f>IF(F1="售价",ROUND(PRODUCT(R35,AA7:AA34),0),ROUND(PRODUCT(R35,AA7:AA34),1))</f>
        <v>#DIV/0!</v>
      </c>
      <c r="S36" s="3285"/>
      <c r="T36" s="3285" t="e">
        <f>IF(F1="售价",ROUND(PRODUCT(T35,AB7:AB34),0),ROUND(PRODUCT(T35,AB7:AB34),1))</f>
        <v>#DIV/0!</v>
      </c>
      <c r="U36" s="3285"/>
      <c r="V36" s="3285" t="e">
        <f>IF(F1="售价",ROUND(PRODUCT(V35,AC7:AC34),0),ROUND(PRODUCT(V35,AC7:AC34),1))</f>
        <v>#DIV/0!</v>
      </c>
      <c r="W36" s="3285"/>
      <c r="X36" s="758"/>
      <c r="Y36" s="758"/>
      <c r="Z36" s="758"/>
      <c r="AA36" s="758"/>
      <c r="AB36" s="758"/>
      <c r="AC36" s="758"/>
    </row>
    <row r="37" spans="1:29" ht="15.75" thickBot="1">
      <c r="A37" s="491" t="s">
        <v>2667</v>
      </c>
      <c r="B37" s="492"/>
      <c r="C37" s="1416" t="e">
        <f>R37</f>
        <v>#DIV/0!</v>
      </c>
      <c r="D37" s="1416"/>
      <c r="E37" s="1416"/>
      <c r="F37" s="1416"/>
      <c r="G37" s="1416"/>
      <c r="H37" s="1416"/>
      <c r="I37" s="1416"/>
      <c r="J37" s="1416"/>
      <c r="K37" s="784"/>
      <c r="L37" s="1142"/>
      <c r="M37" s="1143"/>
      <c r="N37" s="1143"/>
      <c r="O37" s="1143"/>
      <c r="P37" s="3286" t="str">
        <f>A37</f>
        <v>估价对象XX用房的比较价值（楼面单价，元/平方米）</v>
      </c>
      <c r="Q37" s="3287"/>
      <c r="R37" s="3288" t="e">
        <f>IF(F1="售价",ROUND(AVERAGE(R36:V36),0),ROUND(AVERAGE(R36:V36),1))</f>
        <v>#DIV/0!</v>
      </c>
      <c r="S37" s="3288"/>
      <c r="T37" s="3288"/>
      <c r="U37" s="3288"/>
      <c r="V37" s="3288"/>
      <c r="W37" s="328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2582</v>
      </c>
      <c r="B48" s="515"/>
      <c r="C48" s="516"/>
      <c r="D48" s="517"/>
      <c r="E48" s="517"/>
      <c r="F48" s="517"/>
      <c r="G48" s="517"/>
      <c r="H48" s="517"/>
      <c r="I48" s="517"/>
      <c r="J48" s="517"/>
      <c r="K48" s="517"/>
      <c r="L48" s="517"/>
      <c r="M48" s="518"/>
      <c r="N48" s="517"/>
      <c r="O48" s="519"/>
      <c r="P48" s="503"/>
      <c r="Q48" s="503"/>
    </row>
    <row r="49" spans="1:17" s="116" customFormat="1" ht="15">
      <c r="A49" s="520" t="s">
        <v>2547</v>
      </c>
      <c r="B49" s="509"/>
      <c r="C49" s="521" t="s">
        <v>2649</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2585</v>
      </c>
      <c r="B51" s="527" t="s">
        <v>2551</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2736</v>
      </c>
      <c r="C63" s="577" t="s">
        <v>2594</v>
      </c>
      <c r="D63" s="577" t="s">
        <v>2595</v>
      </c>
      <c r="E63" s="577" t="s">
        <v>2596</v>
      </c>
      <c r="F63" s="577" t="s">
        <v>2597</v>
      </c>
      <c r="G63" s="577" t="s">
        <v>2598</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2686</v>
      </c>
      <c r="C65" s="659" t="s">
        <v>2672</v>
      </c>
      <c r="D65" s="659" t="s">
        <v>2673</v>
      </c>
      <c r="E65" s="659" t="s">
        <v>2674</v>
      </c>
      <c r="F65" s="659" t="s">
        <v>2675</v>
      </c>
      <c r="G65" s="659" t="s">
        <v>2676</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2725</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2560</v>
      </c>
      <c r="B77" s="527" t="s">
        <v>2613</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2729</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2737</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2739</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21" sqref="J21"/>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2740</v>
      </c>
      <c r="B1" s="394"/>
      <c r="C1" s="395" t="s">
        <v>2741</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2324</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2326</v>
      </c>
      <c r="B3" s="608" t="e">
        <f>ROUND(IF(D3="",B2*10000/'数据-汇总表'!E3,B2*10000/D3),0)</f>
        <v>#DIV/0!</v>
      </c>
      <c r="C3" s="246" t="s">
        <v>2742</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2642</v>
      </c>
      <c r="B4" s="401"/>
      <c r="C4" s="3262" t="s">
        <v>2643</v>
      </c>
      <c r="D4" s="3263"/>
      <c r="E4" s="3264" t="s">
        <v>2644</v>
      </c>
      <c r="F4" s="3265"/>
      <c r="G4" s="3262" t="s">
        <v>2645</v>
      </c>
      <c r="H4" s="3263"/>
      <c r="I4" s="3262" t="s">
        <v>2646</v>
      </c>
      <c r="J4" s="3263"/>
      <c r="K4" s="609" t="s">
        <v>2647</v>
      </c>
      <c r="L4" s="1129"/>
      <c r="M4" s="1130"/>
      <c r="N4" s="1130"/>
      <c r="O4" s="1130"/>
      <c r="P4" s="3266" t="s">
        <v>2648</v>
      </c>
      <c r="Q4" s="3267"/>
      <c r="R4" s="3248" t="s">
        <v>2644</v>
      </c>
      <c r="S4" s="3249"/>
      <c r="T4" s="3248" t="s">
        <v>2645</v>
      </c>
      <c r="U4" s="3249"/>
      <c r="V4" s="3245" t="s">
        <v>2646</v>
      </c>
      <c r="W4" s="3245"/>
      <c r="X4" s="1812"/>
      <c r="Y4" s="3248" t="s">
        <v>2648</v>
      </c>
      <c r="Z4" s="3249"/>
      <c r="AA4" s="3242" t="s">
        <v>2644</v>
      </c>
      <c r="AB4" s="3243" t="s">
        <v>2645</v>
      </c>
      <c r="AC4" s="3242" t="s">
        <v>2646</v>
      </c>
    </row>
    <row r="5" spans="1:30" ht="15">
      <c r="A5" s="403"/>
      <c r="B5" s="404"/>
      <c r="C5" s="3254" t="s">
        <v>2539</v>
      </c>
      <c r="D5" s="3255"/>
      <c r="E5" s="3315" t="s">
        <v>2540</v>
      </c>
      <c r="F5" s="3253"/>
      <c r="G5" s="3254" t="s">
        <v>2541</v>
      </c>
      <c r="H5" s="3255"/>
      <c r="I5" s="3254" t="s">
        <v>2542</v>
      </c>
      <c r="J5" s="3255"/>
      <c r="K5" s="609"/>
      <c r="L5" s="1129"/>
      <c r="M5" s="1130"/>
      <c r="N5" s="1130"/>
      <c r="O5" s="1130"/>
      <c r="P5" s="3268"/>
      <c r="Q5" s="3269"/>
      <c r="R5" s="3250"/>
      <c r="S5" s="3251"/>
      <c r="T5" s="3250"/>
      <c r="U5" s="3251"/>
      <c r="V5" s="3245"/>
      <c r="W5" s="3245"/>
      <c r="X5" s="1812"/>
      <c r="Y5" s="3250"/>
      <c r="Z5" s="3251"/>
      <c r="AA5" s="3243"/>
      <c r="AB5" s="3243"/>
      <c r="AC5" s="3243"/>
    </row>
    <row r="6" spans="1:30" ht="15.75" thickBot="1">
      <c r="A6" s="405"/>
      <c r="B6" s="406"/>
      <c r="C6" s="3256" t="s">
        <v>2543</v>
      </c>
      <c r="D6" s="3257"/>
      <c r="E6" s="3259" t="s">
        <v>2543</v>
      </c>
      <c r="F6" s="3260"/>
      <c r="G6" s="3256" t="s">
        <v>2543</v>
      </c>
      <c r="H6" s="3257"/>
      <c r="I6" s="3256" t="s">
        <v>2543</v>
      </c>
      <c r="J6" s="3257"/>
      <c r="K6" s="609" t="s">
        <v>2544</v>
      </c>
      <c r="L6" s="1129"/>
      <c r="M6" s="1130"/>
      <c r="N6" s="1130"/>
      <c r="O6" s="1130"/>
      <c r="P6" s="3270"/>
      <c r="Q6" s="3271"/>
      <c r="R6" s="3250"/>
      <c r="S6" s="3251"/>
      <c r="T6" s="3272"/>
      <c r="U6" s="3273"/>
      <c r="V6" s="3245"/>
      <c r="W6" s="3245"/>
      <c r="X6" s="1812"/>
      <c r="Y6" s="3272"/>
      <c r="Z6" s="3273"/>
      <c r="AA6" s="3244"/>
      <c r="AB6" s="3244"/>
      <c r="AC6" s="3244"/>
    </row>
    <row r="7" spans="1:30" s="116" customFormat="1" ht="15.75" thickBot="1">
      <c r="A7" s="407" t="s">
        <v>2545</v>
      </c>
      <c r="B7" s="408"/>
      <c r="C7" s="409">
        <f>'数据-取费表'!B2</f>
        <v>43634</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1"/>
      <c r="M7" s="1132"/>
      <c r="N7" s="1132"/>
      <c r="O7" s="1132"/>
      <c r="P7" s="3246" t="s">
        <v>2546</v>
      </c>
      <c r="Q7" s="3274"/>
      <c r="R7" s="769" t="s">
        <v>17</v>
      </c>
      <c r="S7" s="770">
        <f t="shared" ref="S7:S15" si="0">F7</f>
        <v>0</v>
      </c>
      <c r="T7" s="769" t="s">
        <v>17</v>
      </c>
      <c r="U7" s="770">
        <f t="shared" ref="U7:U15" si="1">H7</f>
        <v>0</v>
      </c>
      <c r="V7" s="769" t="s">
        <v>17</v>
      </c>
      <c r="W7" s="770">
        <f t="shared" ref="W7:W15" si="2">J7</f>
        <v>0</v>
      </c>
      <c r="X7" s="771"/>
      <c r="Y7" s="3246" t="s">
        <v>2546</v>
      </c>
      <c r="Z7" s="3247"/>
      <c r="AA7" s="772" t="e">
        <f>D7/F7</f>
        <v>#DIV/0!</v>
      </c>
      <c r="AB7" s="772" t="e">
        <f>D7/H7</f>
        <v>#DIV/0!</v>
      </c>
      <c r="AC7" s="772" t="e">
        <f>D7/J7</f>
        <v>#DIV/0!</v>
      </c>
    </row>
    <row r="8" spans="1:30" s="116" customFormat="1" ht="15.75" thickBot="1">
      <c r="A8" s="407" t="s">
        <v>2547</v>
      </c>
      <c r="B8" s="408"/>
      <c r="C8" s="413" t="s">
        <v>2548</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46" t="s">
        <v>2549</v>
      </c>
      <c r="Q8" s="3247"/>
      <c r="R8" s="769" t="s">
        <v>17</v>
      </c>
      <c r="S8" s="770">
        <f t="shared" si="0"/>
        <v>0</v>
      </c>
      <c r="T8" s="769" t="s">
        <v>17</v>
      </c>
      <c r="U8" s="770">
        <f t="shared" si="1"/>
        <v>0</v>
      </c>
      <c r="V8" s="769" t="s">
        <v>17</v>
      </c>
      <c r="W8" s="770">
        <f t="shared" si="2"/>
        <v>0</v>
      </c>
      <c r="X8" s="771"/>
      <c r="Y8" s="3246" t="s">
        <v>2549</v>
      </c>
      <c r="Z8" s="3247"/>
      <c r="AA8" s="772" t="e">
        <f t="shared" ref="AA8:AA45" si="3">D8/F8</f>
        <v>#DIV/0!</v>
      </c>
      <c r="AB8" s="772" t="e">
        <f t="shared" ref="AB8:AB45" si="4">D8/H8</f>
        <v>#DIV/0!</v>
      </c>
      <c r="AC8" s="772" t="e">
        <f t="shared" ref="AC8:AC45" si="5">D8/J8</f>
        <v>#DIV/0!</v>
      </c>
    </row>
    <row r="9" spans="1:30" s="116" customFormat="1">
      <c r="A9" s="414" t="s">
        <v>2550</v>
      </c>
      <c r="B9" s="71" t="s">
        <v>2551</v>
      </c>
      <c r="C9" s="2699"/>
      <c r="D9" s="134">
        <v>100</v>
      </c>
      <c r="E9" s="2699"/>
      <c r="F9" s="134">
        <f>SUMIF(75:75,E9,76:76)-SUMIF(75:75,C9,76:76)+100</f>
        <v>100</v>
      </c>
      <c r="G9" s="2699"/>
      <c r="H9" s="134">
        <f>SUMIF(75:75,G9,76:76)-SUMIF(75:75,C9,76:76)+100</f>
        <v>100</v>
      </c>
      <c r="I9" s="2699"/>
      <c r="J9" s="134">
        <f>SUMIF(75:75,I9,76:76)-SUMIF(75:75,C9,76:76)+100</f>
        <v>100</v>
      </c>
      <c r="K9" s="610"/>
      <c r="L9" s="1131"/>
      <c r="M9" s="1132"/>
      <c r="N9" s="1132"/>
      <c r="O9" s="1133"/>
      <c r="P9" s="3284" t="s">
        <v>2552</v>
      </c>
      <c r="Q9" s="1794" t="str">
        <f t="shared" ref="Q9:Q15" si="6">B9</f>
        <v>用途</v>
      </c>
      <c r="R9" s="769" t="s">
        <v>17</v>
      </c>
      <c r="S9" s="770">
        <f t="shared" si="0"/>
        <v>100</v>
      </c>
      <c r="T9" s="769" t="s">
        <v>17</v>
      </c>
      <c r="U9" s="770">
        <f t="shared" si="1"/>
        <v>100</v>
      </c>
      <c r="V9" s="769" t="s">
        <v>17</v>
      </c>
      <c r="W9" s="770">
        <f t="shared" si="2"/>
        <v>100</v>
      </c>
      <c r="X9" s="771"/>
      <c r="Y9" s="3114" t="s">
        <v>2553</v>
      </c>
      <c r="Z9" s="55" t="str">
        <f t="shared" ref="Z9:Z15" si="7">Q9</f>
        <v>用途</v>
      </c>
      <c r="AA9" s="772">
        <f t="shared" si="3"/>
        <v>1</v>
      </c>
      <c r="AB9" s="772">
        <f t="shared" si="4"/>
        <v>1</v>
      </c>
      <c r="AC9" s="772">
        <f t="shared" si="5"/>
        <v>1</v>
      </c>
    </row>
    <row r="10" spans="1:30" s="426" customFormat="1" ht="27">
      <c r="A10" s="420"/>
      <c r="B10" s="421" t="s">
        <v>2554</v>
      </c>
      <c r="C10" s="431"/>
      <c r="D10" s="135">
        <v>100</v>
      </c>
      <c r="E10" s="464"/>
      <c r="F10" s="135">
        <f>ROUND(100/'数据-取费表'!G16,0)</f>
        <v>117</v>
      </c>
      <c r="G10" s="462"/>
      <c r="H10" s="135">
        <f>ROUND(100/'数据-取费表'!G16,0)</f>
        <v>117</v>
      </c>
      <c r="I10" s="462"/>
      <c r="J10" s="135">
        <f>ROUND(100/'数据-取费表'!G16,0)</f>
        <v>117</v>
      </c>
      <c r="K10" s="671"/>
      <c r="L10" s="1134"/>
      <c r="M10" s="1135"/>
      <c r="N10" s="1135"/>
      <c r="O10" s="1136"/>
      <c r="P10" s="3284"/>
      <c r="Q10" s="1794" t="str">
        <f t="shared" si="6"/>
        <v>土地使用年限（年）</v>
      </c>
      <c r="R10" s="769" t="s">
        <v>17</v>
      </c>
      <c r="S10" s="770">
        <f t="shared" si="0"/>
        <v>117</v>
      </c>
      <c r="T10" s="769" t="s">
        <v>17</v>
      </c>
      <c r="U10" s="770">
        <f t="shared" si="1"/>
        <v>117</v>
      </c>
      <c r="V10" s="769" t="s">
        <v>17</v>
      </c>
      <c r="W10" s="770">
        <f t="shared" si="2"/>
        <v>117</v>
      </c>
      <c r="X10" s="771"/>
      <c r="Y10" s="3114"/>
      <c r="Z10" s="55" t="str">
        <f t="shared" si="7"/>
        <v>土地使用年限（年）</v>
      </c>
      <c r="AA10" s="772">
        <f t="shared" si="3"/>
        <v>0.85470085470085466</v>
      </c>
      <c r="AB10" s="772">
        <f t="shared" si="4"/>
        <v>0.85470085470085466</v>
      </c>
      <c r="AC10" s="772">
        <f t="shared" si="5"/>
        <v>0.85470085470085466</v>
      </c>
    </row>
    <row r="11" spans="1:30" ht="15">
      <c r="A11" s="427"/>
      <c r="B11" s="421" t="s">
        <v>2555</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84"/>
      <c r="Q11" s="1794" t="str">
        <f t="shared" si="6"/>
        <v>容积率</v>
      </c>
      <c r="R11" s="769" t="s">
        <v>17</v>
      </c>
      <c r="S11" s="770" t="e">
        <f t="shared" si="0"/>
        <v>#N/A</v>
      </c>
      <c r="T11" s="769" t="s">
        <v>17</v>
      </c>
      <c r="U11" s="770" t="e">
        <f t="shared" si="1"/>
        <v>#N/A</v>
      </c>
      <c r="V11" s="769" t="s">
        <v>17</v>
      </c>
      <c r="W11" s="770" t="e">
        <f t="shared" si="2"/>
        <v>#N/A</v>
      </c>
      <c r="X11" s="771"/>
      <c r="Y11" s="3114"/>
      <c r="Z11" s="55" t="str">
        <f t="shared" si="7"/>
        <v>容积率</v>
      </c>
      <c r="AA11" s="772" t="e">
        <f t="shared" si="3"/>
        <v>#N/A</v>
      </c>
      <c r="AB11" s="772" t="e">
        <f t="shared" si="4"/>
        <v>#N/A</v>
      </c>
      <c r="AC11" s="772" t="e">
        <f t="shared" si="5"/>
        <v>#N/A</v>
      </c>
    </row>
    <row r="12" spans="1:30" s="116" customFormat="1" ht="15">
      <c r="A12" s="430"/>
      <c r="B12" s="2600" t="s">
        <v>2743</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84"/>
      <c r="Q12" s="1794" t="str">
        <f t="shared" si="6"/>
        <v>配建</v>
      </c>
      <c r="R12" s="769" t="s">
        <v>17</v>
      </c>
      <c r="S12" s="770">
        <f t="shared" si="0"/>
        <v>100</v>
      </c>
      <c r="T12" s="769" t="s">
        <v>17</v>
      </c>
      <c r="U12" s="770">
        <f t="shared" si="1"/>
        <v>100</v>
      </c>
      <c r="V12" s="769" t="s">
        <v>17</v>
      </c>
      <c r="W12" s="770">
        <f t="shared" si="2"/>
        <v>100</v>
      </c>
      <c r="X12" s="771"/>
      <c r="Y12" s="3114"/>
      <c r="Z12" s="55"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84"/>
      <c r="Q13" s="1794">
        <f t="shared" si="6"/>
        <v>111</v>
      </c>
      <c r="R13" s="769" t="s">
        <v>17</v>
      </c>
      <c r="S13" s="770">
        <f t="shared" si="0"/>
        <v>100</v>
      </c>
      <c r="T13" s="769" t="s">
        <v>17</v>
      </c>
      <c r="U13" s="770">
        <f t="shared" si="1"/>
        <v>100</v>
      </c>
      <c r="V13" s="769" t="s">
        <v>17</v>
      </c>
      <c r="W13" s="770">
        <f t="shared" si="2"/>
        <v>100</v>
      </c>
      <c r="X13" s="771"/>
      <c r="Y13" s="3114"/>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84"/>
      <c r="Q14" s="1794">
        <f t="shared" si="6"/>
        <v>111</v>
      </c>
      <c r="R14" s="769" t="s">
        <v>17</v>
      </c>
      <c r="S14" s="770">
        <f t="shared" si="0"/>
        <v>100</v>
      </c>
      <c r="T14" s="769" t="s">
        <v>17</v>
      </c>
      <c r="U14" s="770">
        <f t="shared" si="1"/>
        <v>100</v>
      </c>
      <c r="V14" s="769" t="s">
        <v>17</v>
      </c>
      <c r="W14" s="770">
        <f t="shared" si="2"/>
        <v>100</v>
      </c>
      <c r="X14" s="771"/>
      <c r="Y14" s="3114"/>
      <c r="Z14" s="55">
        <f t="shared" si="7"/>
        <v>111</v>
      </c>
      <c r="AA14" s="772">
        <f>D14/F14</f>
        <v>1</v>
      </c>
      <c r="AB14" s="772">
        <f>D14/H14</f>
        <v>1</v>
      </c>
      <c r="AC14" s="772">
        <f>D14/J14</f>
        <v>1</v>
      </c>
    </row>
    <row r="15" spans="1:30" ht="99.75">
      <c r="A15" s="439" t="s">
        <v>2556</v>
      </c>
      <c r="B15" s="69" t="s">
        <v>2085</v>
      </c>
      <c r="C15" s="2603">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77" t="s">
        <v>2557</v>
      </c>
      <c r="Q15" s="1809" t="str">
        <f t="shared" si="6"/>
        <v>居住社区成熟度</v>
      </c>
      <c r="R15" s="773" t="s">
        <v>17</v>
      </c>
      <c r="S15" s="774">
        <f t="shared" si="0"/>
        <v>100</v>
      </c>
      <c r="T15" s="773" t="s">
        <v>17</v>
      </c>
      <c r="U15" s="774">
        <f t="shared" si="1"/>
        <v>100</v>
      </c>
      <c r="V15" s="773" t="s">
        <v>17</v>
      </c>
      <c r="W15" s="774">
        <f t="shared" si="2"/>
        <v>100</v>
      </c>
      <c r="X15" s="1812"/>
      <c r="Y15" s="3277" t="s">
        <v>2557</v>
      </c>
      <c r="Z15" s="1813" t="str">
        <f t="shared" si="7"/>
        <v>居住社区成熟度</v>
      </c>
      <c r="AA15" s="1810">
        <f t="shared" si="3"/>
        <v>1</v>
      </c>
      <c r="AB15" s="1810">
        <f t="shared" si="4"/>
        <v>1</v>
      </c>
      <c r="AC15" s="1810">
        <f t="shared" si="5"/>
        <v>1</v>
      </c>
    </row>
    <row r="16" spans="1:30" ht="15">
      <c r="A16" s="427"/>
      <c r="B16" s="445"/>
      <c r="C16" s="446"/>
      <c r="D16" s="447"/>
      <c r="E16" s="2605"/>
      <c r="F16" s="447"/>
      <c r="G16" s="2605"/>
      <c r="H16" s="449"/>
      <c r="I16" s="2604"/>
      <c r="J16" s="447"/>
      <c r="K16" s="671"/>
      <c r="L16" s="1139"/>
      <c r="M16" s="1130"/>
      <c r="N16" s="1130"/>
      <c r="O16" s="1138"/>
      <c r="P16" s="3278"/>
      <c r="Q16" s="1809"/>
      <c r="R16" s="773"/>
      <c r="S16" s="774"/>
      <c r="T16" s="773"/>
      <c r="U16" s="774"/>
      <c r="V16" s="773"/>
      <c r="W16" s="774"/>
      <c r="X16" s="1812"/>
      <c r="Y16" s="3278"/>
      <c r="Z16" s="1813"/>
      <c r="AA16" s="1810">
        <v>1</v>
      </c>
      <c r="AB16" s="1810">
        <v>1</v>
      </c>
      <c r="AC16" s="1810">
        <v>1</v>
      </c>
    </row>
    <row r="17" spans="1:29" ht="71.25">
      <c r="A17" s="427"/>
      <c r="B17" s="450" t="s">
        <v>2650</v>
      </c>
      <c r="C17" s="2664"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78"/>
      <c r="Q17" s="1809" t="str">
        <f>B17</f>
        <v>商业繁华度</v>
      </c>
      <c r="R17" s="773" t="s">
        <v>17</v>
      </c>
      <c r="S17" s="774">
        <f>F17</f>
        <v>100</v>
      </c>
      <c r="T17" s="773" t="s">
        <v>17</v>
      </c>
      <c r="U17" s="774">
        <f>H17</f>
        <v>100</v>
      </c>
      <c r="V17" s="773" t="s">
        <v>17</v>
      </c>
      <c r="W17" s="774">
        <f>J17</f>
        <v>100</v>
      </c>
      <c r="X17" s="1812"/>
      <c r="Y17" s="3278"/>
      <c r="Z17" s="1813" t="str">
        <f>Q17</f>
        <v>商业繁华度</v>
      </c>
      <c r="AA17" s="1810">
        <f t="shared" si="3"/>
        <v>1</v>
      </c>
      <c r="AB17" s="1810">
        <f t="shared" si="4"/>
        <v>1</v>
      </c>
      <c r="AC17" s="1810">
        <f t="shared" si="5"/>
        <v>1</v>
      </c>
    </row>
    <row r="18" spans="1:29" ht="15">
      <c r="A18" s="427"/>
      <c r="B18" s="455"/>
      <c r="C18" s="2608"/>
      <c r="D18" s="449"/>
      <c r="E18" s="2610"/>
      <c r="F18" s="449"/>
      <c r="G18" s="2610"/>
      <c r="H18" s="447"/>
      <c r="I18" s="2609"/>
      <c r="J18" s="447"/>
      <c r="K18" s="671"/>
      <c r="L18" s="1139"/>
      <c r="M18" s="1130"/>
      <c r="N18" s="1130"/>
      <c r="O18" s="1138"/>
      <c r="P18" s="3278"/>
      <c r="Q18" s="1809"/>
      <c r="R18" s="773"/>
      <c r="S18" s="774"/>
      <c r="T18" s="773"/>
      <c r="U18" s="774"/>
      <c r="V18" s="773"/>
      <c r="W18" s="774"/>
      <c r="X18" s="1812"/>
      <c r="Y18" s="3278"/>
      <c r="Z18" s="1813"/>
      <c r="AA18" s="1810">
        <v>1</v>
      </c>
      <c r="AB18" s="1810">
        <v>1</v>
      </c>
      <c r="AC18" s="1810">
        <v>1</v>
      </c>
    </row>
    <row r="19" spans="1:29" ht="71.25">
      <c r="A19" s="427"/>
      <c r="B19" s="450" t="s">
        <v>2684</v>
      </c>
      <c r="C19" s="2664">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78"/>
      <c r="Q19" s="1809" t="str">
        <f>B19</f>
        <v>办公集聚程度</v>
      </c>
      <c r="R19" s="773" t="s">
        <v>17</v>
      </c>
      <c r="S19" s="774">
        <f>F19</f>
        <v>100</v>
      </c>
      <c r="T19" s="773" t="s">
        <v>17</v>
      </c>
      <c r="U19" s="774">
        <f>H19</f>
        <v>100</v>
      </c>
      <c r="V19" s="773" t="s">
        <v>17</v>
      </c>
      <c r="W19" s="774">
        <f>J19</f>
        <v>100</v>
      </c>
      <c r="X19" s="1812"/>
      <c r="Y19" s="3278"/>
      <c r="Z19" s="1813" t="str">
        <f>Q19</f>
        <v>办公集聚程度</v>
      </c>
      <c r="AA19" s="1810">
        <f t="shared" si="3"/>
        <v>1</v>
      </c>
      <c r="AB19" s="1810">
        <f t="shared" si="4"/>
        <v>1</v>
      </c>
      <c r="AC19" s="1810">
        <f t="shared" si="5"/>
        <v>1</v>
      </c>
    </row>
    <row r="20" spans="1:29" ht="15">
      <c r="A20" s="427"/>
      <c r="B20" s="455"/>
      <c r="C20" s="446"/>
      <c r="D20" s="447"/>
      <c r="E20" s="2605"/>
      <c r="F20" s="447"/>
      <c r="G20" s="2605"/>
      <c r="H20" s="447"/>
      <c r="I20" s="2604"/>
      <c r="J20" s="447"/>
      <c r="K20" s="671"/>
      <c r="L20" s="1139"/>
      <c r="M20" s="1130"/>
      <c r="N20" s="1130"/>
      <c r="O20" s="1138"/>
      <c r="P20" s="3278"/>
      <c r="Q20" s="1809"/>
      <c r="R20" s="773"/>
      <c r="S20" s="774"/>
      <c r="T20" s="773"/>
      <c r="U20" s="774"/>
      <c r="V20" s="773"/>
      <c r="W20" s="774"/>
      <c r="X20" s="1812"/>
      <c r="Y20" s="3278"/>
      <c r="Z20" s="1813"/>
      <c r="AA20" s="1810">
        <v>1</v>
      </c>
      <c r="AB20" s="1810">
        <v>1</v>
      </c>
      <c r="AC20" s="1810">
        <v>1</v>
      </c>
    </row>
    <row r="21" spans="1:29" ht="85.5">
      <c r="A21" s="427"/>
      <c r="B21" s="450" t="s">
        <v>2706</v>
      </c>
      <c r="C21" s="2607"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78"/>
      <c r="Q21" s="1809" t="str">
        <f>B21</f>
        <v>交通便捷度</v>
      </c>
      <c r="R21" s="773" t="s">
        <v>17</v>
      </c>
      <c r="S21" s="774">
        <f>F21</f>
        <v>100</v>
      </c>
      <c r="T21" s="773" t="s">
        <v>17</v>
      </c>
      <c r="U21" s="774">
        <f>H21</f>
        <v>100</v>
      </c>
      <c r="V21" s="773" t="s">
        <v>17</v>
      </c>
      <c r="W21" s="774">
        <f>J21</f>
        <v>100</v>
      </c>
      <c r="X21" s="1812"/>
      <c r="Y21" s="3278"/>
      <c r="Z21" s="1813" t="str">
        <f>Q21</f>
        <v>交通便捷度</v>
      </c>
      <c r="AA21" s="1810">
        <f t="shared" si="3"/>
        <v>1</v>
      </c>
      <c r="AB21" s="1810">
        <f t="shared" si="4"/>
        <v>1</v>
      </c>
      <c r="AC21" s="1810">
        <f t="shared" si="5"/>
        <v>1</v>
      </c>
    </row>
    <row r="22" spans="1:29" ht="15">
      <c r="A22" s="427"/>
      <c r="B22" s="1383"/>
      <c r="C22" s="446"/>
      <c r="D22" s="449"/>
      <c r="E22" s="2605"/>
      <c r="F22" s="447"/>
      <c r="G22" s="2605"/>
      <c r="H22" s="447"/>
      <c r="I22" s="2604"/>
      <c r="J22" s="447"/>
      <c r="K22" s="671"/>
      <c r="L22" s="1139"/>
      <c r="M22" s="1130"/>
      <c r="N22" s="1130"/>
      <c r="O22" s="1138"/>
      <c r="P22" s="3278"/>
      <c r="Q22" s="1809"/>
      <c r="R22" s="773"/>
      <c r="S22" s="774"/>
      <c r="T22" s="773"/>
      <c r="U22" s="774"/>
      <c r="V22" s="773"/>
      <c r="W22" s="774"/>
      <c r="X22" s="1812"/>
      <c r="Y22" s="3278"/>
      <c r="Z22" s="1813"/>
      <c r="AA22" s="1810">
        <v>1</v>
      </c>
      <c r="AB22" s="1810">
        <v>1</v>
      </c>
      <c r="AC22" s="1810">
        <v>1</v>
      </c>
    </row>
    <row r="23" spans="1:29" ht="15">
      <c r="A23" s="403"/>
      <c r="B23" s="450" t="s">
        <v>2744</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78"/>
      <c r="Q23" s="1809" t="str">
        <f t="shared" ref="Q23:Q37" si="8">B23</f>
        <v>区域土地利用方向</v>
      </c>
      <c r="R23" s="773" t="s">
        <v>17</v>
      </c>
      <c r="S23" s="774">
        <f>F23</f>
        <v>100</v>
      </c>
      <c r="T23" s="773" t="s">
        <v>17</v>
      </c>
      <c r="U23" s="774">
        <f>H23</f>
        <v>100</v>
      </c>
      <c r="V23" s="773" t="s">
        <v>17</v>
      </c>
      <c r="W23" s="774">
        <f>J23</f>
        <v>100</v>
      </c>
      <c r="X23" s="1812"/>
      <c r="Y23" s="3278"/>
      <c r="Z23" s="1813" t="str">
        <f>Q23</f>
        <v>区域土地利用方向</v>
      </c>
      <c r="AA23" s="1810">
        <f t="shared" si="3"/>
        <v>1</v>
      </c>
      <c r="AB23" s="1810">
        <f t="shared" si="4"/>
        <v>1</v>
      </c>
      <c r="AC23" s="1810">
        <f t="shared" si="5"/>
        <v>1</v>
      </c>
    </row>
    <row r="24" spans="1:29" ht="15">
      <c r="A24" s="403"/>
      <c r="B24" s="455"/>
      <c r="C24" s="615"/>
      <c r="D24" s="447"/>
      <c r="E24" s="2605"/>
      <c r="F24" s="447"/>
      <c r="G24" s="2604"/>
      <c r="H24" s="447"/>
      <c r="I24" s="2604"/>
      <c r="J24" s="447"/>
      <c r="K24" s="811"/>
      <c r="L24" s="1139"/>
      <c r="M24" s="1130"/>
      <c r="N24" s="1130"/>
      <c r="O24" s="1138"/>
      <c r="P24" s="3278"/>
      <c r="Q24" s="1809"/>
      <c r="R24" s="773"/>
      <c r="S24" s="774"/>
      <c r="T24" s="773"/>
      <c r="U24" s="774"/>
      <c r="V24" s="773"/>
      <c r="W24" s="774"/>
      <c r="X24" s="1812"/>
      <c r="Y24" s="3278"/>
      <c r="Z24" s="1813"/>
      <c r="AA24" s="1810"/>
      <c r="AB24" s="1810"/>
      <c r="AC24" s="1810"/>
    </row>
    <row r="25" spans="1:29" ht="57">
      <c r="A25" s="403"/>
      <c r="B25" s="1383" t="s">
        <v>2745</v>
      </c>
      <c r="C25" s="2664" t="str">
        <f>估价对象房地状况!C20</f>
        <v>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78"/>
      <c r="Q25" s="1809" t="str">
        <f t="shared" si="8"/>
        <v>自然及人文环境状况</v>
      </c>
      <c r="R25" s="773" t="s">
        <v>17</v>
      </c>
      <c r="S25" s="774">
        <f>F25</f>
        <v>100</v>
      </c>
      <c r="T25" s="773" t="s">
        <v>17</v>
      </c>
      <c r="U25" s="774">
        <f>H25</f>
        <v>100</v>
      </c>
      <c r="V25" s="773" t="s">
        <v>17</v>
      </c>
      <c r="W25" s="774">
        <f>J25</f>
        <v>100</v>
      </c>
      <c r="X25" s="1812"/>
      <c r="Y25" s="3278"/>
      <c r="Z25" s="1813" t="str">
        <f>Q25</f>
        <v>自然及人文环境状况</v>
      </c>
      <c r="AA25" s="1810">
        <f t="shared" si="3"/>
        <v>1</v>
      </c>
      <c r="AB25" s="1810">
        <f t="shared" si="4"/>
        <v>1</v>
      </c>
      <c r="AC25" s="1810">
        <f t="shared" si="5"/>
        <v>1</v>
      </c>
    </row>
    <row r="26" spans="1:29" ht="15">
      <c r="A26" s="403"/>
      <c r="B26" s="455"/>
      <c r="C26" s="446"/>
      <c r="D26" s="447"/>
      <c r="E26" s="2611"/>
      <c r="F26" s="447"/>
      <c r="G26" s="2611"/>
      <c r="H26" s="447"/>
      <c r="I26" s="446"/>
      <c r="J26" s="447"/>
      <c r="K26" s="671"/>
      <c r="L26" s="1139"/>
      <c r="M26" s="1130"/>
      <c r="N26" s="1130"/>
      <c r="O26" s="1138"/>
      <c r="P26" s="3278"/>
      <c r="Q26" s="1809"/>
      <c r="R26" s="773"/>
      <c r="S26" s="774"/>
      <c r="T26" s="773"/>
      <c r="U26" s="774"/>
      <c r="V26" s="773"/>
      <c r="W26" s="774"/>
      <c r="X26" s="1812"/>
      <c r="Y26" s="3278"/>
      <c r="Z26" s="1813"/>
      <c r="AA26" s="1810">
        <v>1</v>
      </c>
      <c r="AB26" s="1810">
        <v>1</v>
      </c>
      <c r="AC26" s="1810">
        <v>1</v>
      </c>
    </row>
    <row r="27" spans="1:29" s="116" customFormat="1" ht="42.75">
      <c r="A27" s="648"/>
      <c r="B27" s="1383" t="s">
        <v>2651</v>
      </c>
      <c r="C27" s="2607"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78"/>
      <c r="Q27" s="1794" t="str">
        <f t="shared" si="8"/>
        <v>公共配套设施</v>
      </c>
      <c r="R27" s="769" t="s">
        <v>17</v>
      </c>
      <c r="S27" s="770">
        <f>F27</f>
        <v>100</v>
      </c>
      <c r="T27" s="769" t="s">
        <v>17</v>
      </c>
      <c r="U27" s="770">
        <f>H27</f>
        <v>100</v>
      </c>
      <c r="V27" s="769" t="s">
        <v>17</v>
      </c>
      <c r="W27" s="770">
        <f>J27</f>
        <v>100</v>
      </c>
      <c r="X27" s="771"/>
      <c r="Y27" s="3278"/>
      <c r="Z27" s="55" t="str">
        <f>Q27</f>
        <v>公共配套设施</v>
      </c>
      <c r="AA27" s="1810">
        <f>D27/F27</f>
        <v>1</v>
      </c>
      <c r="AB27" s="1810">
        <f>D27/H27</f>
        <v>1</v>
      </c>
      <c r="AC27" s="1810">
        <f>D27/J27</f>
        <v>1</v>
      </c>
    </row>
    <row r="28" spans="1:29" s="116" customFormat="1" ht="15">
      <c r="A28" s="648"/>
      <c r="B28" s="455"/>
      <c r="C28" s="2700"/>
      <c r="D28" s="447"/>
      <c r="E28" s="2611"/>
      <c r="F28" s="447"/>
      <c r="G28" s="2611"/>
      <c r="H28" s="447"/>
      <c r="I28" s="446"/>
      <c r="J28" s="447"/>
      <c r="K28" s="671"/>
      <c r="L28" s="1131"/>
      <c r="M28" s="1132"/>
      <c r="N28" s="1132"/>
      <c r="O28" s="1133"/>
      <c r="P28" s="3278"/>
      <c r="Q28" s="1794"/>
      <c r="R28" s="769"/>
      <c r="S28" s="770"/>
      <c r="T28" s="769"/>
      <c r="U28" s="770"/>
      <c r="V28" s="769"/>
      <c r="W28" s="770"/>
      <c r="X28" s="771"/>
      <c r="Y28" s="3278"/>
      <c r="Z28" s="55"/>
      <c r="AA28" s="1810">
        <v>1</v>
      </c>
      <c r="AB28" s="1810">
        <v>1</v>
      </c>
      <c r="AC28" s="1810">
        <v>1</v>
      </c>
    </row>
    <row r="29" spans="1:29" s="116" customFormat="1" ht="28.5">
      <c r="A29" s="648"/>
      <c r="B29" s="1383" t="s">
        <v>2652</v>
      </c>
      <c r="C29" s="2607"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78"/>
      <c r="Q29" s="1794" t="str">
        <f t="shared" ref="Q29" si="9">B29</f>
        <v>基础设施水平</v>
      </c>
      <c r="R29" s="769" t="s">
        <v>17</v>
      </c>
      <c r="S29" s="770">
        <f>F29</f>
        <v>100</v>
      </c>
      <c r="T29" s="769" t="s">
        <v>17</v>
      </c>
      <c r="U29" s="770">
        <f>H29</f>
        <v>100</v>
      </c>
      <c r="V29" s="769" t="s">
        <v>17</v>
      </c>
      <c r="W29" s="770">
        <f>J29</f>
        <v>100</v>
      </c>
      <c r="X29" s="771"/>
      <c r="Y29" s="3278"/>
      <c r="Z29" s="55" t="str">
        <f>Q29</f>
        <v>基础设施水平</v>
      </c>
      <c r="AA29" s="1810">
        <f>D29/F29</f>
        <v>1</v>
      </c>
      <c r="AB29" s="1810">
        <f>D29/H29</f>
        <v>1</v>
      </c>
      <c r="AC29" s="1810">
        <f>D29/J29</f>
        <v>1</v>
      </c>
    </row>
    <row r="30" spans="1:29" s="116" customFormat="1" ht="15">
      <c r="A30" s="648"/>
      <c r="B30" s="455"/>
      <c r="C30" s="2700"/>
      <c r="D30" s="447"/>
      <c r="E30" s="2701"/>
      <c r="F30" s="447"/>
      <c r="G30" s="2701"/>
      <c r="H30" s="447"/>
      <c r="I30" s="2701"/>
      <c r="J30" s="447"/>
      <c r="K30" s="671"/>
      <c r="L30" s="1131"/>
      <c r="M30" s="1132"/>
      <c r="N30" s="1132"/>
      <c r="O30" s="1133"/>
      <c r="P30" s="3278"/>
      <c r="Q30" s="1794"/>
      <c r="R30" s="769"/>
      <c r="S30" s="770"/>
      <c r="T30" s="769"/>
      <c r="U30" s="770"/>
      <c r="V30" s="769"/>
      <c r="W30" s="770"/>
      <c r="X30" s="771"/>
      <c r="Y30" s="3278"/>
      <c r="Z30" s="55"/>
      <c r="AA30" s="1810">
        <v>1</v>
      </c>
      <c r="AB30" s="1810">
        <v>1</v>
      </c>
      <c r="AC30" s="1810">
        <v>1</v>
      </c>
    </row>
    <row r="31" spans="1:29" ht="15">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78"/>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78"/>
      <c r="Z31" s="1813" t="str">
        <f t="shared" ref="Z31:Z45" si="13">Q31</f>
        <v>临街状况</v>
      </c>
      <c r="AA31" s="1810">
        <f t="shared" si="3"/>
        <v>1</v>
      </c>
      <c r="AB31" s="1810">
        <f t="shared" si="4"/>
        <v>1</v>
      </c>
      <c r="AC31" s="1810">
        <f t="shared" si="5"/>
        <v>1</v>
      </c>
    </row>
    <row r="32" spans="1:29" ht="27">
      <c r="A32" s="427"/>
      <c r="B32" s="1383"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78"/>
      <c r="Q32" s="1809" t="str">
        <f t="shared" si="8"/>
        <v>毗邻道路的类型与等级</v>
      </c>
      <c r="R32" s="773" t="s">
        <v>17</v>
      </c>
      <c r="S32" s="774">
        <f t="shared" si="10"/>
        <v>100</v>
      </c>
      <c r="T32" s="773" t="s">
        <v>17</v>
      </c>
      <c r="U32" s="774">
        <f t="shared" si="11"/>
        <v>100</v>
      </c>
      <c r="V32" s="773" t="s">
        <v>17</v>
      </c>
      <c r="W32" s="774">
        <f t="shared" si="12"/>
        <v>100</v>
      </c>
      <c r="X32" s="1812"/>
      <c r="Y32" s="3278"/>
      <c r="Z32" s="1813" t="str">
        <f t="shared" si="13"/>
        <v>毗邻道路的类型与等级</v>
      </c>
      <c r="AA32" s="1810">
        <f t="shared" si="3"/>
        <v>1</v>
      </c>
      <c r="AB32" s="1810">
        <f t="shared" si="4"/>
        <v>1</v>
      </c>
      <c r="AC32" s="1810">
        <f t="shared" si="5"/>
        <v>1</v>
      </c>
    </row>
    <row r="33" spans="1:29" ht="15">
      <c r="A33" s="427"/>
      <c r="B33" s="455"/>
      <c r="C33" s="446"/>
      <c r="D33" s="447"/>
      <c r="E33" s="2611"/>
      <c r="F33" s="447"/>
      <c r="G33" s="2611"/>
      <c r="H33" s="447"/>
      <c r="I33" s="446"/>
      <c r="J33" s="447"/>
      <c r="K33" s="612"/>
      <c r="L33" s="1139"/>
      <c r="M33" s="1130"/>
      <c r="N33" s="1130"/>
      <c r="O33" s="1138"/>
      <c r="P33" s="3278"/>
      <c r="Q33" s="1809"/>
      <c r="R33" s="773"/>
      <c r="S33" s="774"/>
      <c r="T33" s="773"/>
      <c r="U33" s="774"/>
      <c r="V33" s="773"/>
      <c r="W33" s="774"/>
      <c r="X33" s="1812"/>
      <c r="Y33" s="3278"/>
      <c r="Z33" s="1813"/>
      <c r="AA33" s="1810">
        <v>1</v>
      </c>
      <c r="AB33" s="1810">
        <v>1</v>
      </c>
      <c r="AC33" s="1810">
        <v>1</v>
      </c>
    </row>
    <row r="34" spans="1:29" ht="15">
      <c r="A34" s="427"/>
      <c r="B34" s="421" t="s">
        <v>2746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78"/>
      <c r="Q34" s="1809" t="str">
        <f t="shared" si="8"/>
        <v>土地级别</v>
      </c>
      <c r="R34" s="773" t="s">
        <v>17</v>
      </c>
      <c r="S34" s="774">
        <f t="shared" si="10"/>
        <v>100</v>
      </c>
      <c r="T34" s="773" t="s">
        <v>17</v>
      </c>
      <c r="U34" s="774">
        <f t="shared" si="11"/>
        <v>100</v>
      </c>
      <c r="V34" s="773" t="s">
        <v>17</v>
      </c>
      <c r="W34" s="774">
        <f t="shared" si="12"/>
        <v>100</v>
      </c>
      <c r="X34" s="1812"/>
      <c r="Y34" s="3278"/>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78"/>
      <c r="Q35" s="1809">
        <f t="shared" si="8"/>
        <v>111</v>
      </c>
      <c r="R35" s="773" t="s">
        <v>17</v>
      </c>
      <c r="S35" s="774">
        <f t="shared" si="10"/>
        <v>100</v>
      </c>
      <c r="T35" s="773" t="s">
        <v>17</v>
      </c>
      <c r="U35" s="774">
        <f t="shared" si="11"/>
        <v>100</v>
      </c>
      <c r="V35" s="773" t="s">
        <v>17</v>
      </c>
      <c r="W35" s="774">
        <f t="shared" si="12"/>
        <v>100</v>
      </c>
      <c r="X35" s="1812"/>
      <c r="Y35" s="3278"/>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31" t="s">
        <v>2562</v>
      </c>
      <c r="Q36" s="1809">
        <f t="shared" si="8"/>
        <v>111</v>
      </c>
      <c r="R36" s="773" t="s">
        <v>17</v>
      </c>
      <c r="S36" s="774">
        <f t="shared" si="10"/>
        <v>100</v>
      </c>
      <c r="T36" s="773" t="s">
        <v>17</v>
      </c>
      <c r="U36" s="774">
        <f t="shared" si="11"/>
        <v>100</v>
      </c>
      <c r="V36" s="773" t="s">
        <v>17</v>
      </c>
      <c r="W36" s="774">
        <f t="shared" si="12"/>
        <v>100</v>
      </c>
      <c r="X36" s="1812"/>
      <c r="Y36" s="3282" t="s">
        <v>2562</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82"/>
      <c r="Q37" s="1809">
        <f t="shared" si="8"/>
        <v>111</v>
      </c>
      <c r="R37" s="776" t="s">
        <v>17</v>
      </c>
      <c r="S37" s="777">
        <f t="shared" si="10"/>
        <v>100</v>
      </c>
      <c r="T37" s="776" t="s">
        <v>17</v>
      </c>
      <c r="U37" s="777">
        <f t="shared" si="11"/>
        <v>100</v>
      </c>
      <c r="V37" s="776" t="s">
        <v>17</v>
      </c>
      <c r="W37" s="777">
        <f t="shared" si="12"/>
        <v>100</v>
      </c>
      <c r="X37" s="778"/>
      <c r="Y37" s="3282"/>
      <c r="Z37" s="779">
        <f t="shared" si="13"/>
        <v>111</v>
      </c>
      <c r="AA37" s="1810">
        <f t="shared" si="3"/>
        <v>1</v>
      </c>
      <c r="AB37" s="1810">
        <f t="shared" si="4"/>
        <v>1</v>
      </c>
      <c r="AC37" s="1810">
        <f t="shared" si="5"/>
        <v>1</v>
      </c>
    </row>
    <row r="38" spans="1:29" ht="15">
      <c r="A38" s="471" t="s">
        <v>2560</v>
      </c>
      <c r="B38" s="455" t="s">
        <v>2747</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82"/>
      <c r="Q38" s="1809" t="str">
        <f>B38</f>
        <v>宗地面积</v>
      </c>
      <c r="R38" s="773" t="s">
        <v>17</v>
      </c>
      <c r="S38" s="774" t="e">
        <f t="shared" si="10"/>
        <v>#N/A</v>
      </c>
      <c r="T38" s="773" t="s">
        <v>17</v>
      </c>
      <c r="U38" s="774" t="e">
        <f t="shared" si="11"/>
        <v>#N/A</v>
      </c>
      <c r="V38" s="773" t="s">
        <v>17</v>
      </c>
      <c r="W38" s="774" t="e">
        <f t="shared" si="12"/>
        <v>#N/A</v>
      </c>
      <c r="X38" s="1812"/>
      <c r="Y38" s="3282"/>
      <c r="Z38" s="1813" t="str">
        <f t="shared" si="13"/>
        <v>宗地面积</v>
      </c>
      <c r="AA38" s="1810" t="e">
        <f t="shared" si="3"/>
        <v>#N/A</v>
      </c>
      <c r="AB38" s="1810" t="e">
        <f t="shared" si="4"/>
        <v>#N/A</v>
      </c>
      <c r="AC38" s="1810" t="e">
        <f t="shared" si="5"/>
        <v>#N/A</v>
      </c>
    </row>
    <row r="39" spans="1:29" ht="15">
      <c r="A39" s="471"/>
      <c r="B39" s="421" t="s">
        <v>2748</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39"/>
      <c r="M39" s="1130"/>
      <c r="N39" s="1130"/>
      <c r="O39" s="1138"/>
      <c r="P39" s="3282"/>
      <c r="Q39" s="1809" t="str">
        <f t="shared" ref="Q39:Q45" si="14">B39</f>
        <v>宗地形状</v>
      </c>
      <c r="R39" s="773" t="s">
        <v>17</v>
      </c>
      <c r="S39" s="774">
        <f t="shared" si="10"/>
        <v>100</v>
      </c>
      <c r="T39" s="773" t="s">
        <v>17</v>
      </c>
      <c r="U39" s="774">
        <f t="shared" si="11"/>
        <v>100</v>
      </c>
      <c r="V39" s="773" t="s">
        <v>17</v>
      </c>
      <c r="W39" s="774">
        <f t="shared" si="12"/>
        <v>100</v>
      </c>
      <c r="X39" s="1812"/>
      <c r="Y39" s="3282"/>
      <c r="Z39" s="1813" t="str">
        <f t="shared" si="13"/>
        <v>宗地形状</v>
      </c>
      <c r="AA39" s="1810">
        <f t="shared" si="3"/>
        <v>1</v>
      </c>
      <c r="AB39" s="1810">
        <f t="shared" si="4"/>
        <v>1</v>
      </c>
      <c r="AC39" s="1810">
        <f t="shared" si="5"/>
        <v>1</v>
      </c>
    </row>
    <row r="40" spans="1:29" ht="15">
      <c r="A40" s="471"/>
      <c r="B40" s="421" t="s">
        <v>2749</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39"/>
      <c r="M40" s="1130"/>
      <c r="N40" s="1130"/>
      <c r="O40" s="1138"/>
      <c r="P40" s="3282"/>
      <c r="Q40" s="1809" t="str">
        <f t="shared" si="14"/>
        <v>临街宽度及深度</v>
      </c>
      <c r="R40" s="773" t="s">
        <v>17</v>
      </c>
      <c r="S40" s="774">
        <f t="shared" si="10"/>
        <v>100</v>
      </c>
      <c r="T40" s="773" t="s">
        <v>17</v>
      </c>
      <c r="U40" s="774">
        <f t="shared" si="11"/>
        <v>100</v>
      </c>
      <c r="V40" s="773" t="s">
        <v>17</v>
      </c>
      <c r="W40" s="774">
        <f t="shared" si="12"/>
        <v>100</v>
      </c>
      <c r="X40" s="1812"/>
      <c r="Y40" s="3282"/>
      <c r="Z40" s="1813" t="str">
        <f t="shared" si="13"/>
        <v>临街宽度及深度</v>
      </c>
      <c r="AA40" s="1810">
        <f t="shared" si="3"/>
        <v>1</v>
      </c>
      <c r="AB40" s="1810">
        <f t="shared" si="4"/>
        <v>1</v>
      </c>
      <c r="AC40" s="1810">
        <f t="shared" si="5"/>
        <v>1</v>
      </c>
    </row>
    <row r="41" spans="1:29" s="116" customFormat="1" ht="15">
      <c r="A41" s="472"/>
      <c r="B41" s="421" t="s">
        <v>2750</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1"/>
      <c r="M41" s="1132"/>
      <c r="N41" s="1132"/>
      <c r="O41" s="1133"/>
      <c r="P41" s="3282"/>
      <c r="Q41" s="1809" t="str">
        <f t="shared" si="14"/>
        <v>宗地开发程度</v>
      </c>
      <c r="R41" s="769" t="s">
        <v>17</v>
      </c>
      <c r="S41" s="770">
        <f t="shared" si="10"/>
        <v>100</v>
      </c>
      <c r="T41" s="769" t="s">
        <v>17</v>
      </c>
      <c r="U41" s="770">
        <f t="shared" si="11"/>
        <v>100</v>
      </c>
      <c r="V41" s="769" t="s">
        <v>17</v>
      </c>
      <c r="W41" s="770">
        <f t="shared" si="12"/>
        <v>100</v>
      </c>
      <c r="X41" s="771"/>
      <c r="Y41" s="3282"/>
      <c r="Z41" s="55" t="str">
        <f t="shared" si="13"/>
        <v>宗地开发程度</v>
      </c>
      <c r="AA41" s="772">
        <f t="shared" si="3"/>
        <v>1</v>
      </c>
      <c r="AB41" s="772">
        <f t="shared" si="4"/>
        <v>1</v>
      </c>
      <c r="AC41" s="772">
        <f t="shared" si="5"/>
        <v>1</v>
      </c>
    </row>
    <row r="42" spans="1:29" ht="15">
      <c r="A42" s="471"/>
      <c r="B42" s="421" t="s">
        <v>2751</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39"/>
      <c r="M42" s="1130"/>
      <c r="N42" s="1130"/>
      <c r="O42" s="1138"/>
      <c r="P42" s="3282" t="s">
        <v>2562</v>
      </c>
      <c r="Q42" s="1809" t="str">
        <f t="shared" si="14"/>
        <v>工程地质条件</v>
      </c>
      <c r="R42" s="773" t="s">
        <v>17</v>
      </c>
      <c r="S42" s="774">
        <f t="shared" si="10"/>
        <v>100</v>
      </c>
      <c r="T42" s="773" t="s">
        <v>17</v>
      </c>
      <c r="U42" s="774">
        <f t="shared" si="11"/>
        <v>100</v>
      </c>
      <c r="V42" s="773" t="s">
        <v>17</v>
      </c>
      <c r="W42" s="774">
        <f t="shared" si="12"/>
        <v>100</v>
      </c>
      <c r="X42" s="1812"/>
      <c r="Y42" s="3282" t="s">
        <v>2562</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82"/>
      <c r="Q43" s="1809">
        <f t="shared" si="14"/>
        <v>111</v>
      </c>
      <c r="R43" s="773" t="s">
        <v>17</v>
      </c>
      <c r="S43" s="774">
        <f t="shared" si="10"/>
        <v>100</v>
      </c>
      <c r="T43" s="773" t="s">
        <v>17</v>
      </c>
      <c r="U43" s="774">
        <f t="shared" si="11"/>
        <v>100</v>
      </c>
      <c r="V43" s="773" t="s">
        <v>17</v>
      </c>
      <c r="W43" s="774">
        <f t="shared" si="12"/>
        <v>100</v>
      </c>
      <c r="X43" s="1812"/>
      <c r="Y43" s="3282"/>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82"/>
      <c r="Q44" s="1809">
        <f t="shared" si="14"/>
        <v>111</v>
      </c>
      <c r="R44" s="773" t="s">
        <v>17</v>
      </c>
      <c r="S44" s="774">
        <f t="shared" si="10"/>
        <v>100</v>
      </c>
      <c r="T44" s="773" t="s">
        <v>17</v>
      </c>
      <c r="U44" s="774">
        <f t="shared" si="11"/>
        <v>100</v>
      </c>
      <c r="V44" s="773" t="s">
        <v>17</v>
      </c>
      <c r="W44" s="774">
        <f t="shared" si="12"/>
        <v>100</v>
      </c>
      <c r="X44" s="1812"/>
      <c r="Y44" s="3282"/>
      <c r="Z44" s="1813">
        <f t="shared" si="13"/>
        <v>111</v>
      </c>
      <c r="AA44" s="1810">
        <f t="shared" si="3"/>
        <v>1</v>
      </c>
      <c r="AB44" s="1810">
        <f t="shared" si="4"/>
        <v>1</v>
      </c>
      <c r="AC44" s="1810">
        <f t="shared" si="5"/>
        <v>1</v>
      </c>
    </row>
    <row r="45" spans="1:29" s="470" customFormat="1" ht="15.75"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82"/>
      <c r="Q45" s="1809">
        <f t="shared" si="14"/>
        <v>111</v>
      </c>
      <c r="R45" s="776" t="s">
        <v>17</v>
      </c>
      <c r="S45" s="777">
        <f t="shared" si="10"/>
        <v>100</v>
      </c>
      <c r="T45" s="776" t="s">
        <v>17</v>
      </c>
      <c r="U45" s="777">
        <f t="shared" si="11"/>
        <v>100</v>
      </c>
      <c r="V45" s="776" t="s">
        <v>17</v>
      </c>
      <c r="W45" s="777">
        <f t="shared" si="12"/>
        <v>100</v>
      </c>
      <c r="X45" s="778"/>
      <c r="Y45" s="3282"/>
      <c r="Z45" s="779">
        <f t="shared" si="13"/>
        <v>111</v>
      </c>
      <c r="AA45" s="1810">
        <f t="shared" si="3"/>
        <v>1</v>
      </c>
      <c r="AB45" s="1810">
        <f t="shared" si="4"/>
        <v>1</v>
      </c>
      <c r="AC45" s="1810">
        <f t="shared" si="5"/>
        <v>1</v>
      </c>
    </row>
    <row r="46" spans="1:29" ht="15">
      <c r="A46" s="478" t="s">
        <v>2717</v>
      </c>
      <c r="B46" s="2704" t="s">
        <v>2752</v>
      </c>
      <c r="C46" s="681" t="s">
        <v>1</v>
      </c>
      <c r="D46" s="480"/>
      <c r="E46" s="481"/>
      <c r="F46" s="482"/>
      <c r="G46" s="483"/>
      <c r="H46" s="484"/>
      <c r="I46" s="481"/>
      <c r="J46" s="484"/>
      <c r="K46" s="782"/>
      <c r="L46" s="1142"/>
      <c r="M46" s="1143"/>
      <c r="N46" s="1130"/>
      <c r="O46" s="1143"/>
      <c r="P46" s="3284" t="str">
        <f>A46</f>
        <v>成交单价</v>
      </c>
      <c r="Q46" s="3284"/>
      <c r="R46" s="3245">
        <f>E46</f>
        <v>0</v>
      </c>
      <c r="S46" s="3245"/>
      <c r="T46" s="3245">
        <f>G46</f>
        <v>0</v>
      </c>
      <c r="U46" s="3245"/>
      <c r="V46" s="3245">
        <f>I46</f>
        <v>0</v>
      </c>
      <c r="W46" s="3245"/>
      <c r="X46" s="758"/>
      <c r="Y46" s="780"/>
      <c r="Z46" s="758"/>
      <c r="AA46" s="758"/>
      <c r="AB46" s="758"/>
      <c r="AC46" s="758"/>
    </row>
    <row r="47" spans="1:29" ht="15.75" thickBot="1">
      <c r="A47" s="485" t="s">
        <v>2666</v>
      </c>
      <c r="B47" s="682"/>
      <c r="C47" s="489" t="e">
        <f>R48</f>
        <v>#DIV/0!</v>
      </c>
      <c r="D47" s="488"/>
      <c r="E47" s="489" t="e">
        <f>R47</f>
        <v>#DIV/0!</v>
      </c>
      <c r="F47" s="490"/>
      <c r="G47" s="487" t="e">
        <f>T47</f>
        <v>#DIV/0!</v>
      </c>
      <c r="H47" s="488"/>
      <c r="I47" s="489" t="e">
        <f>V47</f>
        <v>#DIV/0!</v>
      </c>
      <c r="J47" s="488"/>
      <c r="K47" s="783"/>
      <c r="L47" s="1142"/>
      <c r="M47" s="1143"/>
      <c r="N47" s="1143"/>
      <c r="O47" s="1143"/>
      <c r="P47" s="3284" t="str">
        <f>A47</f>
        <v>比较价值（元/平方米）</v>
      </c>
      <c r="Q47" s="3284"/>
      <c r="R47" s="3332" t="e">
        <f>ROUND(PRODUCT(R46,AA7:AA45),0)</f>
        <v>#DIV/0!</v>
      </c>
      <c r="S47" s="3332"/>
      <c r="T47" s="3332" t="e">
        <f>ROUND(PRODUCT(T46,AB7:AB45),0)</f>
        <v>#DIV/0!</v>
      </c>
      <c r="U47" s="3332"/>
      <c r="V47" s="3332" t="e">
        <f>ROUND(PRODUCT(V46,AC7:AC45),0)</f>
        <v>#DIV/0!</v>
      </c>
      <c r="W47" s="3332"/>
      <c r="X47" s="758"/>
      <c r="Y47" s="758"/>
      <c r="Z47" s="758"/>
      <c r="AA47" s="758"/>
      <c r="AB47" s="758"/>
      <c r="AC47" s="758"/>
    </row>
    <row r="48" spans="1:29" ht="15.75" thickBot="1">
      <c r="A48" s="491" t="s">
        <v>2753</v>
      </c>
      <c r="B48" s="492"/>
      <c r="C48" s="493" t="e">
        <f>R48</f>
        <v>#DIV/0!</v>
      </c>
      <c r="D48" s="493"/>
      <c r="E48" s="493"/>
      <c r="F48" s="493"/>
      <c r="G48" s="493"/>
      <c r="H48" s="493"/>
      <c r="I48" s="493"/>
      <c r="J48" s="493"/>
      <c r="K48" s="784"/>
      <c r="L48" s="1142"/>
      <c r="M48" s="1143"/>
      <c r="N48" s="1143"/>
      <c r="O48" s="1143"/>
      <c r="P48" s="3286" t="str">
        <f>A48</f>
        <v>估价对象XX用房的比较价值（楼面单价，元/平方米）</v>
      </c>
      <c r="Q48" s="3287"/>
      <c r="R48" s="3333" t="e">
        <f>ROUND(AVERAGE(R47:V47),0)</f>
        <v>#DIV/0!</v>
      </c>
      <c r="S48" s="3333"/>
      <c r="T48" s="3333"/>
      <c r="U48" s="3333"/>
      <c r="V48" s="3333"/>
      <c r="W48" s="333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2754</v>
      </c>
      <c r="B55" s="684" t="s">
        <v>2755</v>
      </c>
      <c r="C55" s="2705" t="s">
        <v>2756</v>
      </c>
      <c r="D55" s="2706" t="s">
        <v>2757</v>
      </c>
      <c r="E55" s="685" t="s">
        <v>2758</v>
      </c>
      <c r="F55" s="1106" t="s">
        <v>2759</v>
      </c>
      <c r="G55" s="3262" t="s">
        <v>2760</v>
      </c>
      <c r="H55" s="3334"/>
      <c r="I55" s="143" t="s">
        <v>2761</v>
      </c>
      <c r="J55" s="2707">
        <f>项目基本情况!F35</f>
        <v>0</v>
      </c>
      <c r="K55" s="2708" t="s">
        <v>2762</v>
      </c>
      <c r="L55" s="1105"/>
      <c r="M55" s="1143"/>
      <c r="N55" s="1143"/>
      <c r="O55" s="1143"/>
    </row>
    <row r="56" spans="1:15" s="691" customFormat="1">
      <c r="A56" s="687" t="s">
        <v>2763</v>
      </c>
      <c r="B56" s="688" t="e">
        <f>C48</f>
        <v>#DIV/0!</v>
      </c>
      <c r="C56" s="689">
        <v>1</v>
      </c>
      <c r="D56" s="1162">
        <v>1</v>
      </c>
      <c r="E56" s="689">
        <f>'数据-汇总表'!E8+'数据-汇总表'!E9</f>
        <v>31181.27</v>
      </c>
      <c r="F56" s="1102" t="e">
        <f t="shared" ref="F56:F65" si="15">ROUND(B56*E56/10000,0)</f>
        <v>#DIV/0!</v>
      </c>
      <c r="G56" s="3261"/>
      <c r="H56" s="3284"/>
      <c r="I56" s="1107">
        <v>1</v>
      </c>
      <c r="J56" s="1110">
        <v>1</v>
      </c>
      <c r="K56" s="1144"/>
      <c r="L56" s="940"/>
      <c r="M56" s="940"/>
      <c r="N56" s="940"/>
      <c r="O56" s="940"/>
    </row>
    <row r="57" spans="1:15" s="691" customFormat="1">
      <c r="A57" s="692" t="s">
        <v>2764</v>
      </c>
      <c r="B57" s="261" t="e">
        <f>ROUND($C$48*C57*D57,0)</f>
        <v>#DIV/0!</v>
      </c>
      <c r="C57" s="199">
        <f t="shared" ref="C57:C65" si="16">IF($C$55="北京市系数",I57,J57)</f>
        <v>0</v>
      </c>
      <c r="D57" s="1163">
        <v>0.25</v>
      </c>
      <c r="E57" s="693"/>
      <c r="F57" s="1102" t="e">
        <f t="shared" si="15"/>
        <v>#DIV/0!</v>
      </c>
      <c r="G57" s="3335" t="s">
        <v>2765</v>
      </c>
      <c r="H57" s="1103">
        <f>项目基本情况!B37</f>
        <v>0</v>
      </c>
      <c r="I57" s="1107">
        <f>SUMIF(修正!A45:A56,H57,修正!B45:B56)</f>
        <v>0</v>
      </c>
      <c r="J57" s="1111"/>
      <c r="K57" s="1143"/>
      <c r="L57" s="940"/>
      <c r="M57" s="940"/>
      <c r="N57" s="940"/>
      <c r="O57" s="940"/>
    </row>
    <row r="58" spans="1:15" s="691" customFormat="1">
      <c r="A58" s="692" t="s">
        <v>2766</v>
      </c>
      <c r="B58" s="261" t="e">
        <f t="shared" ref="B58:B65" si="17">ROUND($C$48*C58*D58,0)</f>
        <v>#DIV/0!</v>
      </c>
      <c r="C58" s="199">
        <f t="shared" si="16"/>
        <v>0</v>
      </c>
      <c r="D58" s="1163">
        <v>0.25</v>
      </c>
      <c r="E58" s="693"/>
      <c r="F58" s="1102" t="e">
        <f t="shared" si="15"/>
        <v>#DIV/0!</v>
      </c>
      <c r="G58" s="3335"/>
      <c r="H58" s="1103">
        <f>项目基本情况!B37</f>
        <v>0</v>
      </c>
      <c r="I58" s="1107">
        <f>SUMIF(修正!A45:A56,H58,修正!C45:C56)</f>
        <v>0</v>
      </c>
      <c r="J58" s="1111"/>
      <c r="K58" s="1144"/>
      <c r="L58" s="940"/>
      <c r="M58" s="940"/>
      <c r="N58" s="940"/>
      <c r="O58" s="940"/>
    </row>
    <row r="59" spans="1:15" s="691" customFormat="1">
      <c r="A59" s="692" t="s">
        <v>2767</v>
      </c>
      <c r="B59" s="261" t="e">
        <f t="shared" si="17"/>
        <v>#DIV/0!</v>
      </c>
      <c r="C59" s="199">
        <f t="shared" si="16"/>
        <v>0</v>
      </c>
      <c r="D59" s="1163">
        <v>0.25</v>
      </c>
      <c r="E59" s="693"/>
      <c r="F59" s="1102" t="e">
        <f t="shared" si="15"/>
        <v>#DIV/0!</v>
      </c>
      <c r="G59" s="3335"/>
      <c r="H59" s="1103">
        <f>项目基本情况!B37</f>
        <v>0</v>
      </c>
      <c r="I59" s="1107">
        <f>SUMIF(修正!A45:A56,H59,修正!D45:D56)</f>
        <v>0</v>
      </c>
      <c r="J59" s="1111"/>
      <c r="K59" s="1143"/>
      <c r="L59" s="940"/>
      <c r="M59" s="940"/>
      <c r="N59" s="940"/>
      <c r="O59" s="940"/>
    </row>
    <row r="60" spans="1:15" s="691" customFormat="1">
      <c r="A60" s="692" t="s">
        <v>2768</v>
      </c>
      <c r="B60" s="261" t="e">
        <f t="shared" si="17"/>
        <v>#DIV/0!</v>
      </c>
      <c r="C60" s="199">
        <f t="shared" si="16"/>
        <v>0</v>
      </c>
      <c r="D60" s="1163">
        <v>0.25</v>
      </c>
      <c r="E60" s="693"/>
      <c r="F60" s="1102" t="e">
        <f t="shared" si="15"/>
        <v>#DIV/0!</v>
      </c>
      <c r="G60" s="3335"/>
      <c r="H60" s="1103">
        <f>项目基本情况!B37</f>
        <v>0</v>
      </c>
      <c r="I60" s="1107">
        <f>SUMIF(修正!A45:A56,H60,修正!E45:E56)</f>
        <v>0</v>
      </c>
      <c r="J60" s="1111"/>
      <c r="K60" s="1144"/>
      <c r="L60" s="940"/>
      <c r="M60" s="940"/>
      <c r="N60" s="940"/>
      <c r="O60" s="940"/>
    </row>
    <row r="61" spans="1:15" s="691" customFormat="1">
      <c r="A61" s="692" t="s">
        <v>2769</v>
      </c>
      <c r="B61" s="261" t="e">
        <f t="shared" si="17"/>
        <v>#DIV/0!</v>
      </c>
      <c r="C61" s="199">
        <f t="shared" si="16"/>
        <v>0</v>
      </c>
      <c r="D61" s="1163">
        <v>0.25</v>
      </c>
      <c r="E61" s="260">
        <f>'数据-汇总表'!E11</f>
        <v>0</v>
      </c>
      <c r="F61" s="1102" t="e">
        <f t="shared" si="15"/>
        <v>#DIV/0!</v>
      </c>
      <c r="G61" s="2709" t="s">
        <v>2770</v>
      </c>
      <c r="H61" s="1103">
        <f>项目基本情况!C37</f>
        <v>0</v>
      </c>
      <c r="I61" s="1107">
        <f>SUMIF(修正!A45:A56,H61,修正!F45:F56)</f>
        <v>0</v>
      </c>
      <c r="J61" s="1111"/>
      <c r="K61" s="1143"/>
      <c r="L61" s="940"/>
      <c r="M61" s="940"/>
      <c r="N61" s="940"/>
      <c r="O61" s="940"/>
    </row>
    <row r="62" spans="1:15" s="691" customFormat="1">
      <c r="A62" s="692" t="s">
        <v>2771</v>
      </c>
      <c r="B62" s="261" t="e">
        <f t="shared" si="17"/>
        <v>#DIV/0!</v>
      </c>
      <c r="C62" s="199">
        <f t="shared" si="16"/>
        <v>0</v>
      </c>
      <c r="D62" s="1163">
        <v>0.25</v>
      </c>
      <c r="E62" s="260">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2773</v>
      </c>
      <c r="B63" s="261" t="e">
        <f t="shared" si="17"/>
        <v>#DIV/0!</v>
      </c>
      <c r="C63" s="199">
        <f t="shared" si="16"/>
        <v>0</v>
      </c>
      <c r="D63" s="1163">
        <v>0.25</v>
      </c>
      <c r="E63" s="260">
        <f>'数据-汇总表'!E13</f>
        <v>3559.58</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2775</v>
      </c>
      <c r="B64" s="261" t="e">
        <f t="shared" si="17"/>
        <v>#DIV/0!</v>
      </c>
      <c r="C64" s="199">
        <f t="shared" si="16"/>
        <v>0</v>
      </c>
      <c r="D64" s="1163">
        <v>0.25</v>
      </c>
      <c r="E64" s="260">
        <f>'数据-汇总表'!E14</f>
        <v>0</v>
      </c>
      <c r="F64" s="1102" t="e">
        <f t="shared" si="15"/>
        <v>#DIV/0!</v>
      </c>
      <c r="G64" s="2709" t="s">
        <v>2765</v>
      </c>
      <c r="H64" s="1103">
        <f>项目基本情况!B37</f>
        <v>0</v>
      </c>
      <c r="I64" s="1107">
        <f>SUMIF(修正!A45:A56,H64,修正!H45:H56)</f>
        <v>0</v>
      </c>
      <c r="J64" s="1111"/>
      <c r="K64" s="1144"/>
      <c r="L64" s="940"/>
      <c r="M64" s="940"/>
      <c r="N64" s="940"/>
      <c r="O64" s="940"/>
    </row>
    <row r="65" spans="1:17" s="691" customFormat="1" ht="15" thickBot="1">
      <c r="A65" s="692" t="s">
        <v>2776</v>
      </c>
      <c r="B65" s="261" t="e">
        <f t="shared" si="17"/>
        <v>#DIV/0!</v>
      </c>
      <c r="C65" s="199">
        <f t="shared" si="16"/>
        <v>0</v>
      </c>
      <c r="D65" s="1163">
        <v>0.25</v>
      </c>
      <c r="E65" s="260">
        <f>'数据-汇总表'!E15</f>
        <v>0</v>
      </c>
      <c r="F65" s="1102" t="e">
        <f t="shared" si="15"/>
        <v>#DIV/0!</v>
      </c>
      <c r="G65" s="2710" t="s">
        <v>2770</v>
      </c>
      <c r="H65" s="1113">
        <f>项目基本情况!C37</f>
        <v>0</v>
      </c>
      <c r="I65" s="1109">
        <f>SUMIF(修正!A45:A56,H65,修正!H45:H56)</f>
        <v>0</v>
      </c>
      <c r="J65" s="1112"/>
      <c r="K65" s="1143"/>
      <c r="L65" s="940"/>
      <c r="M65" s="940"/>
      <c r="N65" s="940"/>
      <c r="O65" s="940"/>
    </row>
    <row r="66" spans="1:17" s="691" customFormat="1" ht="13.5" thickBot="1">
      <c r="A66" s="694" t="s">
        <v>2777</v>
      </c>
      <c r="B66" s="695" t="s">
        <v>28</v>
      </c>
      <c r="C66" s="695" t="s">
        <v>29</v>
      </c>
      <c r="D66" s="695" t="s">
        <v>1026</v>
      </c>
      <c r="E66" s="695">
        <f>IF(B46="楼面地价",SUM(E56:E65),'数据-汇总表'!D3)</f>
        <v>34740.85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2671</v>
      </c>
      <c r="B69" s="758"/>
      <c r="C69" s="763"/>
      <c r="D69" s="763"/>
      <c r="E69" s="763"/>
      <c r="F69" s="764"/>
      <c r="G69" s="764"/>
      <c r="H69" s="763"/>
      <c r="I69" s="763"/>
      <c r="J69" s="1158"/>
      <c r="K69" s="1159"/>
      <c r="L69" s="1160"/>
      <c r="M69" s="1158"/>
      <c r="N69" s="1158"/>
      <c r="O69" s="1158"/>
      <c r="P69" s="502"/>
      <c r="Q69" s="503"/>
    </row>
    <row r="70" spans="1:17" s="507" customFormat="1" ht="15">
      <c r="A70" s="2711" t="s">
        <v>2778</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6" customFormat="1" ht="30" customHeight="1">
      <c r="A71" s="2712" t="s">
        <v>2779</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6"/>
      <c r="N71" s="594"/>
      <c r="O71" s="1567"/>
      <c r="P71" s="503"/>
    </row>
    <row r="72" spans="1:17" s="116" customFormat="1" ht="15.75" thickBot="1">
      <c r="A72" s="514" t="s">
        <v>2582</v>
      </c>
      <c r="B72" s="515"/>
      <c r="C72" s="516"/>
      <c r="D72" s="517"/>
      <c r="E72" s="517"/>
      <c r="F72" s="517"/>
      <c r="G72" s="517"/>
      <c r="H72" s="517"/>
      <c r="I72" s="517"/>
      <c r="J72" s="517"/>
      <c r="K72" s="517"/>
      <c r="L72" s="517"/>
      <c r="M72" s="518"/>
      <c r="N72" s="517"/>
      <c r="O72" s="1161"/>
      <c r="P72" s="503"/>
      <c r="Q72" s="503"/>
    </row>
    <row r="73" spans="1:17" s="116" customFormat="1" ht="15">
      <c r="A73" s="520" t="s">
        <v>2547</v>
      </c>
      <c r="B73" s="509"/>
      <c r="C73" s="521" t="s">
        <v>2649</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2585</v>
      </c>
      <c r="B75" s="527" t="s">
        <v>2551</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2554</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2780</v>
      </c>
      <c r="C90" s="577" t="s">
        <v>2594</v>
      </c>
      <c r="D90" s="577" t="s">
        <v>2595</v>
      </c>
      <c r="E90" s="577" t="s">
        <v>2596</v>
      </c>
      <c r="F90" s="577" t="s">
        <v>2597</v>
      </c>
      <c r="G90" s="577" t="s">
        <v>2598</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2781</v>
      </c>
      <c r="C96" s="577" t="s">
        <v>2594</v>
      </c>
      <c r="D96" s="577" t="s">
        <v>2595</v>
      </c>
      <c r="E96" s="577" t="s">
        <v>2596</v>
      </c>
      <c r="F96" s="577" t="s">
        <v>2597</v>
      </c>
      <c r="G96" s="577" t="s">
        <v>2598</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2782</v>
      </c>
      <c r="C98" s="572" t="s">
        <v>2594</v>
      </c>
      <c r="D98" s="572" t="s">
        <v>2595</v>
      </c>
      <c r="E98" s="572" t="s">
        <v>2596</v>
      </c>
      <c r="F98" s="572" t="s">
        <v>2597</v>
      </c>
      <c r="G98" s="572" t="s">
        <v>2598</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2783</v>
      </c>
      <c r="D104" s="538" t="s">
        <v>2784</v>
      </c>
      <c r="E104" s="538" t="s">
        <v>2785</v>
      </c>
      <c r="F104" s="538" t="s">
        <v>2786</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2688</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2746</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2560</v>
      </c>
      <c r="B116" s="527" t="s">
        <v>2787</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2788</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2789</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2790</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2791</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2740</v>
      </c>
      <c r="B1" s="394"/>
      <c r="C1" s="395" t="s">
        <v>2792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2324</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ROUND(IF(D3="",B2*10000/'数据-汇总表'!E3,B2*10000/D3),0)</f>
        <v>#DIV/0!</v>
      </c>
      <c r="C3" s="246" t="s">
        <v>2742</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62" t="s">
        <v>2643</v>
      </c>
      <c r="D4" s="3263"/>
      <c r="E4" s="3264" t="s">
        <v>2644</v>
      </c>
      <c r="F4" s="3265"/>
      <c r="G4" s="3262" t="s">
        <v>2645</v>
      </c>
      <c r="H4" s="3263"/>
      <c r="I4" s="3262" t="s">
        <v>2646</v>
      </c>
      <c r="J4" s="3263"/>
      <c r="K4" s="609" t="s">
        <v>2647</v>
      </c>
      <c r="L4" s="1129"/>
      <c r="M4" s="1130"/>
      <c r="N4" s="1130"/>
      <c r="O4" s="1130"/>
      <c r="P4" s="3266" t="s">
        <v>2648</v>
      </c>
      <c r="Q4" s="3267"/>
      <c r="R4" s="3248" t="s">
        <v>2644</v>
      </c>
      <c r="S4" s="3249"/>
      <c r="T4" s="3248" t="s">
        <v>2645</v>
      </c>
      <c r="U4" s="3249"/>
      <c r="V4" s="3245" t="s">
        <v>2646</v>
      </c>
      <c r="W4" s="3245"/>
      <c r="X4" s="1812"/>
      <c r="Y4" s="3248" t="s">
        <v>2648</v>
      </c>
      <c r="Z4" s="3249"/>
      <c r="AA4" s="3242" t="s">
        <v>2644</v>
      </c>
      <c r="AB4" s="3243" t="s">
        <v>2645</v>
      </c>
      <c r="AC4" s="3242" t="s">
        <v>2646</v>
      </c>
    </row>
    <row r="5" spans="1:29" ht="15">
      <c r="A5" s="403"/>
      <c r="B5" s="404"/>
      <c r="C5" s="3254" t="s">
        <v>2539</v>
      </c>
      <c r="D5" s="3255"/>
      <c r="E5" s="3315" t="s">
        <v>2540</v>
      </c>
      <c r="F5" s="3253"/>
      <c r="G5" s="3254" t="s">
        <v>2541</v>
      </c>
      <c r="H5" s="3255"/>
      <c r="I5" s="3254" t="s">
        <v>2542</v>
      </c>
      <c r="J5" s="3255"/>
      <c r="K5" s="609"/>
      <c r="L5" s="1129"/>
      <c r="M5" s="1130"/>
      <c r="N5" s="1130"/>
      <c r="O5" s="1130"/>
      <c r="P5" s="3268"/>
      <c r="Q5" s="3269"/>
      <c r="R5" s="3250"/>
      <c r="S5" s="3251"/>
      <c r="T5" s="3250"/>
      <c r="U5" s="3251"/>
      <c r="V5" s="3245"/>
      <c r="W5" s="3245"/>
      <c r="X5" s="1812"/>
      <c r="Y5" s="3250"/>
      <c r="Z5" s="3251"/>
      <c r="AA5" s="3243"/>
      <c r="AB5" s="3243"/>
      <c r="AC5" s="3243"/>
    </row>
    <row r="6" spans="1:29" ht="15.75" thickBot="1">
      <c r="A6" s="405"/>
      <c r="B6" s="406"/>
      <c r="C6" s="3336" t="s">
        <v>2793</v>
      </c>
      <c r="D6" s="3337"/>
      <c r="E6" s="3338" t="s">
        <v>2793</v>
      </c>
      <c r="F6" s="3339"/>
      <c r="G6" s="3336" t="s">
        <v>2793</v>
      </c>
      <c r="H6" s="3337"/>
      <c r="I6" s="3336" t="s">
        <v>2793</v>
      </c>
      <c r="J6" s="3337"/>
      <c r="K6" s="609" t="s">
        <v>2544</v>
      </c>
      <c r="L6" s="1129"/>
      <c r="M6" s="1130"/>
      <c r="N6" s="1130"/>
      <c r="O6" s="1130"/>
      <c r="P6" s="3270"/>
      <c r="Q6" s="3271"/>
      <c r="R6" s="3250"/>
      <c r="S6" s="3251"/>
      <c r="T6" s="3272"/>
      <c r="U6" s="3273"/>
      <c r="V6" s="3245"/>
      <c r="W6" s="3245"/>
      <c r="X6" s="1812"/>
      <c r="Y6" s="3272"/>
      <c r="Z6" s="3273"/>
      <c r="AA6" s="3244"/>
      <c r="AB6" s="3244"/>
      <c r="AC6" s="3244"/>
    </row>
    <row r="7" spans="1:29" s="116" customFormat="1" ht="15.75" thickBot="1">
      <c r="A7" s="407" t="s">
        <v>2545</v>
      </c>
      <c r="B7" s="408"/>
      <c r="C7" s="409">
        <f>'数据-取费表'!B2</f>
        <v>43634</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46" t="s">
        <v>2546</v>
      </c>
      <c r="Q7" s="3274"/>
      <c r="R7" s="769" t="s">
        <v>17</v>
      </c>
      <c r="S7" s="770">
        <f t="shared" ref="S7:S15" si="0">F7</f>
        <v>0</v>
      </c>
      <c r="T7" s="769" t="s">
        <v>17</v>
      </c>
      <c r="U7" s="770">
        <f t="shared" ref="U7:U15" si="1">H7</f>
        <v>0</v>
      </c>
      <c r="V7" s="769" t="s">
        <v>17</v>
      </c>
      <c r="W7" s="770">
        <f t="shared" ref="W7:W15" si="2">J7</f>
        <v>0</v>
      </c>
      <c r="X7" s="771"/>
      <c r="Y7" s="3246" t="s">
        <v>2546</v>
      </c>
      <c r="Z7" s="3247"/>
      <c r="AA7" s="772" t="e">
        <f>D7/F7</f>
        <v>#DIV/0!</v>
      </c>
      <c r="AB7" s="772" t="e">
        <f>D7/H7</f>
        <v>#DIV/0!</v>
      </c>
      <c r="AC7" s="772" t="e">
        <f>D7/J7</f>
        <v>#DIV/0!</v>
      </c>
    </row>
    <row r="8" spans="1:29" s="116"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6" t="s">
        <v>2549</v>
      </c>
      <c r="Q8" s="3247"/>
      <c r="R8" s="769" t="s">
        <v>17</v>
      </c>
      <c r="S8" s="770">
        <f t="shared" si="0"/>
        <v>0</v>
      </c>
      <c r="T8" s="769" t="s">
        <v>17</v>
      </c>
      <c r="U8" s="770">
        <f t="shared" si="1"/>
        <v>0</v>
      </c>
      <c r="V8" s="769" t="s">
        <v>17</v>
      </c>
      <c r="W8" s="770">
        <f t="shared" si="2"/>
        <v>0</v>
      </c>
      <c r="X8" s="771"/>
      <c r="Y8" s="3246" t="s">
        <v>2549</v>
      </c>
      <c r="Z8" s="3247"/>
      <c r="AA8" s="772" t="e">
        <f t="shared" ref="AA8:AA40" si="3">D8/F8</f>
        <v>#DIV/0!</v>
      </c>
      <c r="AB8" s="772" t="e">
        <f t="shared" ref="AB8:AB40" si="4">D8/H8</f>
        <v>#DIV/0!</v>
      </c>
      <c r="AC8" s="772" t="e">
        <f t="shared" ref="AC8:AC40" si="5">D8/J8</f>
        <v>#DIV/0!</v>
      </c>
    </row>
    <row r="9" spans="1:29" s="116" customFormat="1">
      <c r="A9" s="414" t="s">
        <v>2550</v>
      </c>
      <c r="B9" s="71" t="s">
        <v>2551</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84" t="s">
        <v>2552</v>
      </c>
      <c r="Q9" s="1794" t="str">
        <f t="shared" ref="Q9:Q15" si="6">B9</f>
        <v>用途</v>
      </c>
      <c r="R9" s="769" t="s">
        <v>17</v>
      </c>
      <c r="S9" s="770">
        <f t="shared" si="0"/>
        <v>100</v>
      </c>
      <c r="T9" s="769" t="s">
        <v>17</v>
      </c>
      <c r="U9" s="770">
        <f t="shared" si="1"/>
        <v>100</v>
      </c>
      <c r="V9" s="769" t="s">
        <v>17</v>
      </c>
      <c r="W9" s="770">
        <f t="shared" si="2"/>
        <v>100</v>
      </c>
      <c r="X9" s="771"/>
      <c r="Y9" s="3114" t="s">
        <v>2553</v>
      </c>
      <c r="Z9" s="55" t="str">
        <f t="shared" ref="Z9:Z15" si="7">Q9</f>
        <v>用途</v>
      </c>
      <c r="AA9" s="772">
        <f t="shared" si="3"/>
        <v>1</v>
      </c>
      <c r="AB9" s="772">
        <f t="shared" si="4"/>
        <v>1</v>
      </c>
      <c r="AC9" s="772">
        <f t="shared" si="5"/>
        <v>1</v>
      </c>
    </row>
    <row r="10" spans="1:29" s="426" customFormat="1" ht="27">
      <c r="A10" s="420"/>
      <c r="B10" s="421" t="s">
        <v>2554</v>
      </c>
      <c r="C10" s="431"/>
      <c r="D10" s="135">
        <v>100</v>
      </c>
      <c r="E10" s="431"/>
      <c r="F10" s="135">
        <f>ROUND(100/'数据-取费表'!G16,0)</f>
        <v>117</v>
      </c>
      <c r="G10" s="431"/>
      <c r="H10" s="135">
        <f>ROUND(100/'数据-取费表'!G16,0)</f>
        <v>117</v>
      </c>
      <c r="I10" s="431"/>
      <c r="J10" s="135">
        <f>ROUND(100/'数据-取费表'!G16,0)</f>
        <v>117</v>
      </c>
      <c r="K10" s="671"/>
      <c r="L10" s="1134"/>
      <c r="M10" s="1135"/>
      <c r="N10" s="1135"/>
      <c r="O10" s="1136"/>
      <c r="P10" s="3284"/>
      <c r="Q10" s="1794" t="str">
        <f t="shared" si="6"/>
        <v>土地使用年限（年）</v>
      </c>
      <c r="R10" s="769" t="s">
        <v>17</v>
      </c>
      <c r="S10" s="770">
        <f t="shared" si="0"/>
        <v>117</v>
      </c>
      <c r="T10" s="769" t="s">
        <v>17</v>
      </c>
      <c r="U10" s="770">
        <f t="shared" si="1"/>
        <v>117</v>
      </c>
      <c r="V10" s="769" t="s">
        <v>17</v>
      </c>
      <c r="W10" s="770">
        <f t="shared" si="2"/>
        <v>117</v>
      </c>
      <c r="X10" s="771"/>
      <c r="Y10" s="3114"/>
      <c r="Z10" s="55" t="str">
        <f t="shared" si="7"/>
        <v>土地使用年限（年）</v>
      </c>
      <c r="AA10" s="772">
        <f t="shared" si="3"/>
        <v>0.85470085470085466</v>
      </c>
      <c r="AB10" s="772">
        <f t="shared" si="4"/>
        <v>0.85470085470085466</v>
      </c>
      <c r="AC10" s="772">
        <f t="shared" si="5"/>
        <v>0.85470085470085466</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84"/>
      <c r="Q11" s="1794" t="str">
        <f t="shared" si="6"/>
        <v>容积率</v>
      </c>
      <c r="R11" s="769" t="s">
        <v>17</v>
      </c>
      <c r="S11" s="770" t="e">
        <f t="shared" si="0"/>
        <v>#N/A</v>
      </c>
      <c r="T11" s="769" t="s">
        <v>17</v>
      </c>
      <c r="U11" s="770" t="e">
        <f t="shared" si="1"/>
        <v>#N/A</v>
      </c>
      <c r="V11" s="769" t="s">
        <v>17</v>
      </c>
      <c r="W11" s="770" t="e">
        <f t="shared" si="2"/>
        <v>#N/A</v>
      </c>
      <c r="X11" s="771"/>
      <c r="Y11" s="3114"/>
      <c r="Z11" s="55" t="str">
        <f t="shared" si="7"/>
        <v>容积率</v>
      </c>
      <c r="AA11" s="772" t="e">
        <f t="shared" si="3"/>
        <v>#N/A</v>
      </c>
      <c r="AB11" s="772" t="e">
        <f t="shared" si="4"/>
        <v>#N/A</v>
      </c>
      <c r="AC11" s="772"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84"/>
      <c r="Q12" s="1794">
        <f t="shared" si="6"/>
        <v>111</v>
      </c>
      <c r="R12" s="769" t="s">
        <v>17</v>
      </c>
      <c r="S12" s="770">
        <f t="shared" si="0"/>
        <v>100</v>
      </c>
      <c r="T12" s="769" t="s">
        <v>17</v>
      </c>
      <c r="U12" s="770">
        <f t="shared" si="1"/>
        <v>100</v>
      </c>
      <c r="V12" s="769" t="s">
        <v>17</v>
      </c>
      <c r="W12" s="770">
        <f t="shared" si="2"/>
        <v>100</v>
      </c>
      <c r="X12" s="771"/>
      <c r="Y12" s="3114"/>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84"/>
      <c r="Q13" s="1794">
        <f t="shared" si="6"/>
        <v>111</v>
      </c>
      <c r="R13" s="769" t="s">
        <v>17</v>
      </c>
      <c r="S13" s="770">
        <f t="shared" si="0"/>
        <v>100</v>
      </c>
      <c r="T13" s="769" t="s">
        <v>17</v>
      </c>
      <c r="U13" s="770">
        <f t="shared" si="1"/>
        <v>100</v>
      </c>
      <c r="V13" s="769" t="s">
        <v>17</v>
      </c>
      <c r="W13" s="770">
        <f t="shared" si="2"/>
        <v>100</v>
      </c>
      <c r="X13" s="771"/>
      <c r="Y13" s="3114"/>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84"/>
      <c r="Q14" s="1794">
        <f t="shared" si="6"/>
        <v>111</v>
      </c>
      <c r="R14" s="769" t="s">
        <v>17</v>
      </c>
      <c r="S14" s="770">
        <f t="shared" si="0"/>
        <v>100</v>
      </c>
      <c r="T14" s="769" t="s">
        <v>17</v>
      </c>
      <c r="U14" s="770">
        <f t="shared" si="1"/>
        <v>100</v>
      </c>
      <c r="V14" s="769" t="s">
        <v>17</v>
      </c>
      <c r="W14" s="770">
        <f t="shared" si="2"/>
        <v>100</v>
      </c>
      <c r="X14" s="771"/>
      <c r="Y14" s="3114"/>
      <c r="Z14" s="55">
        <f t="shared" si="7"/>
        <v>111</v>
      </c>
      <c r="AA14" s="772">
        <f t="shared" si="3"/>
        <v>1</v>
      </c>
      <c r="AB14" s="772">
        <f t="shared" si="4"/>
        <v>1</v>
      </c>
      <c r="AC14" s="772">
        <f t="shared" si="5"/>
        <v>1</v>
      </c>
    </row>
    <row r="15" spans="1:29" ht="57">
      <c r="A15" s="439" t="s">
        <v>2556</v>
      </c>
      <c r="B15" s="628" t="s">
        <v>2794</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77" t="s">
        <v>2557</v>
      </c>
      <c r="Q15" s="1809" t="str">
        <f t="shared" si="6"/>
        <v>产业集聚程度</v>
      </c>
      <c r="R15" s="773" t="s">
        <v>17</v>
      </c>
      <c r="S15" s="774">
        <f t="shared" si="0"/>
        <v>100</v>
      </c>
      <c r="T15" s="773" t="s">
        <v>17</v>
      </c>
      <c r="U15" s="774">
        <f t="shared" si="1"/>
        <v>100</v>
      </c>
      <c r="V15" s="773" t="s">
        <v>17</v>
      </c>
      <c r="W15" s="774">
        <f t="shared" si="2"/>
        <v>100</v>
      </c>
      <c r="X15" s="1812"/>
      <c r="Y15" s="3277" t="s">
        <v>2557</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278"/>
      <c r="Q16" s="1809"/>
      <c r="R16" s="773"/>
      <c r="S16" s="774"/>
      <c r="T16" s="773"/>
      <c r="U16" s="774"/>
      <c r="V16" s="773"/>
      <c r="W16" s="774"/>
      <c r="X16" s="1812"/>
      <c r="Y16" s="3278"/>
      <c r="Z16" s="1813"/>
      <c r="AA16" s="1810">
        <v>1</v>
      </c>
      <c r="AB16" s="1810">
        <v>1</v>
      </c>
      <c r="AC16" s="1810">
        <v>1</v>
      </c>
    </row>
    <row r="17" spans="1:29" ht="85.5">
      <c r="A17" s="427"/>
      <c r="B17" s="630" t="s">
        <v>2706</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78"/>
      <c r="Q17" s="1809" t="str">
        <f>B17</f>
        <v>交通便捷度</v>
      </c>
      <c r="R17" s="773" t="s">
        <v>17</v>
      </c>
      <c r="S17" s="774">
        <f>F17</f>
        <v>100</v>
      </c>
      <c r="T17" s="773" t="s">
        <v>17</v>
      </c>
      <c r="U17" s="774">
        <f>H17</f>
        <v>100</v>
      </c>
      <c r="V17" s="773" t="s">
        <v>17</v>
      </c>
      <c r="W17" s="774">
        <f>J17</f>
        <v>100</v>
      </c>
      <c r="X17" s="1812"/>
      <c r="Y17" s="3278"/>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278"/>
      <c r="Q18" s="1809"/>
      <c r="R18" s="773"/>
      <c r="S18" s="774"/>
      <c r="T18" s="773"/>
      <c r="U18" s="774"/>
      <c r="V18" s="773"/>
      <c r="W18" s="774"/>
      <c r="X18" s="1812"/>
      <c r="Y18" s="3278"/>
      <c r="Z18" s="1813"/>
      <c r="AA18" s="1810">
        <v>1</v>
      </c>
      <c r="AB18" s="1810">
        <v>1</v>
      </c>
      <c r="AC18" s="1810">
        <v>1</v>
      </c>
    </row>
    <row r="19" spans="1:29" ht="15">
      <c r="A19" s="427"/>
      <c r="B19" s="630" t="s">
        <v>2744</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78"/>
      <c r="Q19" s="1809" t="str">
        <f t="shared" ref="Q19:Q33" si="8">B19</f>
        <v>区域土地利用方向</v>
      </c>
      <c r="R19" s="773" t="s">
        <v>17</v>
      </c>
      <c r="S19" s="774">
        <f>F19</f>
        <v>100</v>
      </c>
      <c r="T19" s="773" t="s">
        <v>17</v>
      </c>
      <c r="U19" s="774">
        <f>H19</f>
        <v>100</v>
      </c>
      <c r="V19" s="773" t="s">
        <v>17</v>
      </c>
      <c r="W19" s="774">
        <f>J19</f>
        <v>100</v>
      </c>
      <c r="X19" s="1812"/>
      <c r="Y19" s="3278"/>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39"/>
      <c r="M20" s="1130"/>
      <c r="N20" s="1130"/>
      <c r="O20" s="1138"/>
      <c r="P20" s="3278"/>
      <c r="Q20" s="1809"/>
      <c r="R20" s="773"/>
      <c r="S20" s="774"/>
      <c r="T20" s="773"/>
      <c r="U20" s="774"/>
      <c r="V20" s="773"/>
      <c r="W20" s="774"/>
      <c r="X20" s="1812"/>
      <c r="Y20" s="3278"/>
      <c r="Z20" s="1813"/>
      <c r="AA20" s="1810"/>
      <c r="AB20" s="1810"/>
      <c r="AC20" s="1810"/>
    </row>
    <row r="21" spans="1:29" ht="71.25">
      <c r="A21" s="403"/>
      <c r="B21" s="630" t="s">
        <v>2795</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78"/>
      <c r="Q21" s="1809" t="str">
        <f t="shared" si="8"/>
        <v>环境状况</v>
      </c>
      <c r="R21" s="773" t="s">
        <v>17</v>
      </c>
      <c r="S21" s="774">
        <f>F21</f>
        <v>100</v>
      </c>
      <c r="T21" s="773" t="s">
        <v>17</v>
      </c>
      <c r="U21" s="774">
        <f>H21</f>
        <v>100</v>
      </c>
      <c r="V21" s="773" t="s">
        <v>17</v>
      </c>
      <c r="W21" s="774">
        <f>J21</f>
        <v>100</v>
      </c>
      <c r="X21" s="1812"/>
      <c r="Y21" s="3278"/>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278"/>
      <c r="Q22" s="1809"/>
      <c r="R22" s="773"/>
      <c r="S22" s="774"/>
      <c r="T22" s="773"/>
      <c r="U22" s="774"/>
      <c r="V22" s="773"/>
      <c r="W22" s="774"/>
      <c r="X22" s="1812"/>
      <c r="Y22" s="3278"/>
      <c r="Z22" s="1813"/>
      <c r="AA22" s="1810">
        <v>1</v>
      </c>
      <c r="AB22" s="1810">
        <v>1</v>
      </c>
      <c r="AC22" s="1810">
        <v>1</v>
      </c>
    </row>
    <row r="23" spans="1:29" s="116" customFormat="1" ht="42.75">
      <c r="A23" s="648"/>
      <c r="B23" s="632" t="s">
        <v>2651</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78"/>
      <c r="Q23" s="1794" t="str">
        <f t="shared" si="8"/>
        <v>公共配套设施</v>
      </c>
      <c r="R23" s="769" t="s">
        <v>17</v>
      </c>
      <c r="S23" s="770">
        <f>F23</f>
        <v>100</v>
      </c>
      <c r="T23" s="769" t="s">
        <v>17</v>
      </c>
      <c r="U23" s="770">
        <f>H23</f>
        <v>100</v>
      </c>
      <c r="V23" s="769" t="s">
        <v>17</v>
      </c>
      <c r="W23" s="770">
        <f>J23</f>
        <v>100</v>
      </c>
      <c r="X23" s="771"/>
      <c r="Y23" s="3278"/>
      <c r="Z23" s="55" t="str">
        <f>Q23</f>
        <v>公共配套设施</v>
      </c>
      <c r="AA23" s="1810">
        <f>D23/F23</f>
        <v>1</v>
      </c>
      <c r="AB23" s="1810">
        <f>D23/H23</f>
        <v>1</v>
      </c>
      <c r="AC23" s="1810">
        <f>D23/J23</f>
        <v>1</v>
      </c>
    </row>
    <row r="24" spans="1:29" s="116" customFormat="1" ht="15">
      <c r="A24" s="648"/>
      <c r="B24" s="631"/>
      <c r="C24" s="2700"/>
      <c r="D24" s="447"/>
      <c r="E24" s="2611"/>
      <c r="F24" s="447"/>
      <c r="G24" s="2611"/>
      <c r="H24" s="447"/>
      <c r="I24" s="446"/>
      <c r="J24" s="447"/>
      <c r="K24" s="671"/>
      <c r="L24" s="1131"/>
      <c r="M24" s="1132"/>
      <c r="N24" s="1132"/>
      <c r="O24" s="1133"/>
      <c r="P24" s="3278"/>
      <c r="Q24" s="1794"/>
      <c r="R24" s="769"/>
      <c r="S24" s="770"/>
      <c r="T24" s="769"/>
      <c r="U24" s="770"/>
      <c r="V24" s="769"/>
      <c r="W24" s="770"/>
      <c r="X24" s="771"/>
      <c r="Y24" s="3278"/>
      <c r="Z24" s="55"/>
      <c r="AA24" s="772">
        <v>1</v>
      </c>
      <c r="AB24" s="772">
        <v>1</v>
      </c>
      <c r="AC24" s="772">
        <v>1</v>
      </c>
    </row>
    <row r="25" spans="1:29" s="116" customFormat="1" ht="28.5">
      <c r="A25" s="648"/>
      <c r="B25" s="632" t="s">
        <v>2652</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78"/>
      <c r="Q25" s="1794" t="str">
        <f t="shared" ref="Q25" si="9">B25</f>
        <v>基础设施水平</v>
      </c>
      <c r="R25" s="769" t="s">
        <v>17</v>
      </c>
      <c r="S25" s="770">
        <f>F25</f>
        <v>100</v>
      </c>
      <c r="T25" s="769" t="s">
        <v>17</v>
      </c>
      <c r="U25" s="770">
        <f>H25</f>
        <v>100</v>
      </c>
      <c r="V25" s="769" t="s">
        <v>17</v>
      </c>
      <c r="W25" s="770">
        <f>J25</f>
        <v>100</v>
      </c>
      <c r="X25" s="771"/>
      <c r="Y25" s="3278"/>
      <c r="Z25" s="55" t="str">
        <f>Q25</f>
        <v>基础设施水平</v>
      </c>
      <c r="AA25" s="1810">
        <f>D25/F25</f>
        <v>1</v>
      </c>
      <c r="AB25" s="1810">
        <f>D25/H25</f>
        <v>1</v>
      </c>
      <c r="AC25" s="1810">
        <f>D25/J25</f>
        <v>1</v>
      </c>
    </row>
    <row r="26" spans="1:29" s="116" customFormat="1" ht="15">
      <c r="A26" s="648"/>
      <c r="B26" s="631"/>
      <c r="C26" s="2700"/>
      <c r="D26" s="447"/>
      <c r="E26" s="2701"/>
      <c r="F26" s="447"/>
      <c r="G26" s="2701"/>
      <c r="H26" s="447"/>
      <c r="I26" s="2701"/>
      <c r="J26" s="447"/>
      <c r="K26" s="671"/>
      <c r="L26" s="1131"/>
      <c r="M26" s="1132"/>
      <c r="N26" s="1132"/>
      <c r="O26" s="1133"/>
      <c r="P26" s="3278"/>
      <c r="Q26" s="1794"/>
      <c r="R26" s="769"/>
      <c r="S26" s="770"/>
      <c r="T26" s="769"/>
      <c r="U26" s="770"/>
      <c r="V26" s="769"/>
      <c r="W26" s="770"/>
      <c r="X26" s="771"/>
      <c r="Y26" s="3278"/>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78"/>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78"/>
      <c r="Z27" s="1813" t="str">
        <f t="shared" ref="Z27:Z40" si="13">Q27</f>
        <v>临街状况</v>
      </c>
      <c r="AA27" s="1810">
        <f t="shared" si="3"/>
        <v>1</v>
      </c>
      <c r="AB27" s="1810">
        <f t="shared" si="4"/>
        <v>1</v>
      </c>
      <c r="AC27" s="1810">
        <f t="shared" si="5"/>
        <v>1</v>
      </c>
    </row>
    <row r="28" spans="1:29" ht="27">
      <c r="A28" s="427"/>
      <c r="B28" s="632" t="s">
        <v>2688</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78"/>
      <c r="Q28" s="1809" t="str">
        <f t="shared" si="8"/>
        <v>毗邻道路的类型与等级</v>
      </c>
      <c r="R28" s="773" t="s">
        <v>17</v>
      </c>
      <c r="S28" s="774">
        <f t="shared" si="10"/>
        <v>100</v>
      </c>
      <c r="T28" s="773" t="s">
        <v>17</v>
      </c>
      <c r="U28" s="774">
        <f t="shared" si="11"/>
        <v>100</v>
      </c>
      <c r="V28" s="773" t="s">
        <v>17</v>
      </c>
      <c r="W28" s="774">
        <f t="shared" si="12"/>
        <v>100</v>
      </c>
      <c r="X28" s="1812"/>
      <c r="Y28" s="3278"/>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278"/>
      <c r="Q29" s="1809"/>
      <c r="R29" s="773"/>
      <c r="S29" s="774"/>
      <c r="T29" s="773"/>
      <c r="U29" s="774"/>
      <c r="V29" s="773"/>
      <c r="W29" s="774"/>
      <c r="X29" s="1812"/>
      <c r="Y29" s="3278"/>
      <c r="Z29" s="1813"/>
      <c r="AA29" s="1810">
        <v>1</v>
      </c>
      <c r="AB29" s="1810">
        <v>1</v>
      </c>
      <c r="AC29" s="1810">
        <v>1</v>
      </c>
    </row>
    <row r="30" spans="1:29" ht="15">
      <c r="A30" s="427"/>
      <c r="B30" s="653" t="s">
        <v>2746</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78"/>
      <c r="Q30" s="1809" t="str">
        <f t="shared" si="8"/>
        <v>土地级别</v>
      </c>
      <c r="R30" s="773" t="s">
        <v>17</v>
      </c>
      <c r="S30" s="774">
        <f t="shared" si="10"/>
        <v>100</v>
      </c>
      <c r="T30" s="773" t="s">
        <v>17</v>
      </c>
      <c r="U30" s="774">
        <f t="shared" si="11"/>
        <v>100</v>
      </c>
      <c r="V30" s="773" t="s">
        <v>17</v>
      </c>
      <c r="W30" s="774">
        <f t="shared" si="12"/>
        <v>100</v>
      </c>
      <c r="X30" s="1812"/>
      <c r="Y30" s="3278"/>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78"/>
      <c r="Q31" s="1809">
        <f t="shared" si="8"/>
        <v>111</v>
      </c>
      <c r="R31" s="773" t="s">
        <v>17</v>
      </c>
      <c r="S31" s="774">
        <f t="shared" si="10"/>
        <v>100</v>
      </c>
      <c r="T31" s="773" t="s">
        <v>17</v>
      </c>
      <c r="U31" s="774">
        <f t="shared" si="11"/>
        <v>100</v>
      </c>
      <c r="V31" s="773" t="s">
        <v>17</v>
      </c>
      <c r="W31" s="774">
        <f t="shared" si="12"/>
        <v>100</v>
      </c>
      <c r="X31" s="1812"/>
      <c r="Y31" s="3278"/>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31" t="s">
        <v>2562</v>
      </c>
      <c r="Q32" s="1809">
        <f t="shared" si="8"/>
        <v>111</v>
      </c>
      <c r="R32" s="773" t="s">
        <v>17</v>
      </c>
      <c r="S32" s="774">
        <f t="shared" si="10"/>
        <v>100</v>
      </c>
      <c r="T32" s="773" t="s">
        <v>17</v>
      </c>
      <c r="U32" s="774">
        <f t="shared" si="11"/>
        <v>100</v>
      </c>
      <c r="V32" s="773" t="s">
        <v>17</v>
      </c>
      <c r="W32" s="774">
        <f t="shared" si="12"/>
        <v>100</v>
      </c>
      <c r="X32" s="1812"/>
      <c r="Y32" s="3282" t="s">
        <v>2562</v>
      </c>
      <c r="Z32" s="1813">
        <f t="shared" si="13"/>
        <v>111</v>
      </c>
      <c r="AA32" s="1810">
        <f t="shared" si="3"/>
        <v>1</v>
      </c>
      <c r="AB32" s="1810">
        <f t="shared" si="4"/>
        <v>1</v>
      </c>
      <c r="AC32" s="1810">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82"/>
      <c r="Q33" s="1809">
        <f t="shared" si="8"/>
        <v>111</v>
      </c>
      <c r="R33" s="776" t="s">
        <v>17</v>
      </c>
      <c r="S33" s="777">
        <f t="shared" si="10"/>
        <v>100</v>
      </c>
      <c r="T33" s="776" t="s">
        <v>17</v>
      </c>
      <c r="U33" s="777">
        <f t="shared" si="11"/>
        <v>100</v>
      </c>
      <c r="V33" s="776" t="s">
        <v>17</v>
      </c>
      <c r="W33" s="777">
        <f t="shared" si="12"/>
        <v>100</v>
      </c>
      <c r="X33" s="778"/>
      <c r="Y33" s="3282"/>
      <c r="Z33" s="779">
        <f t="shared" si="13"/>
        <v>111</v>
      </c>
      <c r="AA33" s="1810">
        <f t="shared" si="3"/>
        <v>1</v>
      </c>
      <c r="AB33" s="1810">
        <f t="shared" si="4"/>
        <v>1</v>
      </c>
      <c r="AC33" s="1810">
        <f t="shared" si="5"/>
        <v>1</v>
      </c>
    </row>
    <row r="34" spans="1:29" ht="15">
      <c r="A34" s="439" t="s">
        <v>2560</v>
      </c>
      <c r="B34" s="455" t="s">
        <v>2747</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82"/>
      <c r="Q34" s="1809" t="str">
        <f>B34</f>
        <v>宗地面积</v>
      </c>
      <c r="R34" s="773" t="s">
        <v>17</v>
      </c>
      <c r="S34" s="774" t="e">
        <f t="shared" si="10"/>
        <v>#N/A</v>
      </c>
      <c r="T34" s="773" t="s">
        <v>17</v>
      </c>
      <c r="U34" s="774" t="e">
        <f t="shared" si="11"/>
        <v>#N/A</v>
      </c>
      <c r="V34" s="773" t="s">
        <v>17</v>
      </c>
      <c r="W34" s="774" t="e">
        <f t="shared" si="12"/>
        <v>#N/A</v>
      </c>
      <c r="X34" s="1812"/>
      <c r="Y34" s="3282"/>
      <c r="Z34" s="1813" t="str">
        <f t="shared" si="13"/>
        <v>宗地面积</v>
      </c>
      <c r="AA34" s="1810" t="e">
        <f t="shared" si="3"/>
        <v>#N/A</v>
      </c>
      <c r="AB34" s="1810" t="e">
        <f t="shared" si="4"/>
        <v>#N/A</v>
      </c>
      <c r="AC34" s="1810" t="e">
        <f t="shared" si="5"/>
        <v>#N/A</v>
      </c>
    </row>
    <row r="35" spans="1:29" ht="15">
      <c r="A35" s="471"/>
      <c r="B35" s="421" t="s">
        <v>2748</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82"/>
      <c r="Q35" s="1809" t="str">
        <f t="shared" ref="Q35:Q40" si="14">B35</f>
        <v>宗地形状</v>
      </c>
      <c r="R35" s="773" t="s">
        <v>17</v>
      </c>
      <c r="S35" s="774">
        <f t="shared" si="10"/>
        <v>100</v>
      </c>
      <c r="T35" s="773" t="s">
        <v>17</v>
      </c>
      <c r="U35" s="774">
        <f t="shared" si="11"/>
        <v>100</v>
      </c>
      <c r="V35" s="773" t="s">
        <v>17</v>
      </c>
      <c r="W35" s="774">
        <f t="shared" si="12"/>
        <v>100</v>
      </c>
      <c r="X35" s="1812"/>
      <c r="Y35" s="3282"/>
      <c r="Z35" s="1813" t="str">
        <f t="shared" si="13"/>
        <v>宗地形状</v>
      </c>
      <c r="AA35" s="1810">
        <f t="shared" si="3"/>
        <v>1</v>
      </c>
      <c r="AB35" s="1810">
        <f t="shared" si="4"/>
        <v>1</v>
      </c>
      <c r="AC35" s="1810">
        <f t="shared" si="5"/>
        <v>1</v>
      </c>
    </row>
    <row r="36" spans="1:29" s="116" customFormat="1" ht="15">
      <c r="A36" s="472"/>
      <c r="B36" s="421" t="s">
        <v>2750</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82"/>
      <c r="Q36" s="1809" t="str">
        <f t="shared" si="14"/>
        <v>宗地开发程度</v>
      </c>
      <c r="R36" s="769" t="s">
        <v>17</v>
      </c>
      <c r="S36" s="770">
        <f t="shared" si="10"/>
        <v>100</v>
      </c>
      <c r="T36" s="769" t="s">
        <v>17</v>
      </c>
      <c r="U36" s="770">
        <f t="shared" si="11"/>
        <v>100</v>
      </c>
      <c r="V36" s="769" t="s">
        <v>17</v>
      </c>
      <c r="W36" s="770">
        <f t="shared" si="12"/>
        <v>100</v>
      </c>
      <c r="X36" s="771"/>
      <c r="Y36" s="3282"/>
      <c r="Z36" s="55" t="str">
        <f t="shared" si="13"/>
        <v>宗地开发程度</v>
      </c>
      <c r="AA36" s="772">
        <f t="shared" si="3"/>
        <v>1</v>
      </c>
      <c r="AB36" s="772">
        <f t="shared" si="4"/>
        <v>1</v>
      </c>
      <c r="AC36" s="772">
        <f t="shared" si="5"/>
        <v>1</v>
      </c>
    </row>
    <row r="37" spans="1:29" ht="15">
      <c r="A37" s="471"/>
      <c r="B37" s="421" t="s">
        <v>2751</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82" t="s">
        <v>2562</v>
      </c>
      <c r="Q37" s="1809" t="str">
        <f t="shared" si="14"/>
        <v>工程地质条件</v>
      </c>
      <c r="R37" s="773" t="s">
        <v>17</v>
      </c>
      <c r="S37" s="774">
        <f t="shared" si="10"/>
        <v>100</v>
      </c>
      <c r="T37" s="773" t="s">
        <v>17</v>
      </c>
      <c r="U37" s="774">
        <f t="shared" si="11"/>
        <v>100</v>
      </c>
      <c r="V37" s="773" t="s">
        <v>17</v>
      </c>
      <c r="W37" s="774">
        <f t="shared" si="12"/>
        <v>100</v>
      </c>
      <c r="X37" s="1812"/>
      <c r="Y37" s="3282" t="s">
        <v>2562</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82"/>
      <c r="Q38" s="1809">
        <f t="shared" si="14"/>
        <v>111</v>
      </c>
      <c r="R38" s="773" t="s">
        <v>17</v>
      </c>
      <c r="S38" s="774">
        <f t="shared" si="10"/>
        <v>100</v>
      </c>
      <c r="T38" s="773" t="s">
        <v>17</v>
      </c>
      <c r="U38" s="774">
        <f t="shared" si="11"/>
        <v>100</v>
      </c>
      <c r="V38" s="773" t="s">
        <v>17</v>
      </c>
      <c r="W38" s="774">
        <f t="shared" si="12"/>
        <v>100</v>
      </c>
      <c r="X38" s="1812"/>
      <c r="Y38" s="3282"/>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82"/>
      <c r="Q39" s="1809">
        <f t="shared" si="14"/>
        <v>111</v>
      </c>
      <c r="R39" s="773" t="s">
        <v>17</v>
      </c>
      <c r="S39" s="774">
        <f t="shared" si="10"/>
        <v>100</v>
      </c>
      <c r="T39" s="773" t="s">
        <v>17</v>
      </c>
      <c r="U39" s="774">
        <f t="shared" si="11"/>
        <v>100</v>
      </c>
      <c r="V39" s="773" t="s">
        <v>17</v>
      </c>
      <c r="W39" s="774">
        <f t="shared" si="12"/>
        <v>100</v>
      </c>
      <c r="X39" s="1812"/>
      <c r="Y39" s="3282"/>
      <c r="Z39" s="1813">
        <f t="shared" si="13"/>
        <v>111</v>
      </c>
      <c r="AA39" s="1810">
        <f t="shared" si="3"/>
        <v>1</v>
      </c>
      <c r="AB39" s="1810">
        <f t="shared" si="4"/>
        <v>1</v>
      </c>
      <c r="AC39" s="1810">
        <f t="shared" si="5"/>
        <v>1</v>
      </c>
    </row>
    <row r="40" spans="1:29" s="470" customFormat="1" ht="15.75"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82"/>
      <c r="Q40" s="1809">
        <f t="shared" si="14"/>
        <v>111</v>
      </c>
      <c r="R40" s="776" t="s">
        <v>17</v>
      </c>
      <c r="S40" s="777">
        <f t="shared" si="10"/>
        <v>100</v>
      </c>
      <c r="T40" s="776" t="s">
        <v>17</v>
      </c>
      <c r="U40" s="777">
        <f t="shared" si="11"/>
        <v>100</v>
      </c>
      <c r="V40" s="776" t="s">
        <v>17</v>
      </c>
      <c r="W40" s="777">
        <f t="shared" si="12"/>
        <v>100</v>
      </c>
      <c r="X40" s="778"/>
      <c r="Y40" s="3282"/>
      <c r="Z40" s="779">
        <f t="shared" si="13"/>
        <v>111</v>
      </c>
      <c r="AA40" s="1810">
        <f t="shared" si="3"/>
        <v>1</v>
      </c>
      <c r="AB40" s="1810">
        <f t="shared" si="4"/>
        <v>1</v>
      </c>
      <c r="AC40" s="1810">
        <f t="shared" si="5"/>
        <v>1</v>
      </c>
    </row>
    <row r="41" spans="1:29" ht="15">
      <c r="A41" s="478" t="s">
        <v>2717</v>
      </c>
      <c r="B41" s="2704" t="s">
        <v>2796</v>
      </c>
      <c r="C41" s="681" t="s">
        <v>1</v>
      </c>
      <c r="D41" s="480"/>
      <c r="E41" s="481"/>
      <c r="F41" s="482"/>
      <c r="G41" s="483"/>
      <c r="H41" s="484"/>
      <c r="I41" s="481"/>
      <c r="J41" s="484"/>
      <c r="K41" s="782"/>
      <c r="L41" s="1142"/>
      <c r="M41" s="1130"/>
      <c r="N41" s="1130"/>
      <c r="O41" s="1143"/>
      <c r="P41" s="3284" t="str">
        <f>A41</f>
        <v>成交单价</v>
      </c>
      <c r="Q41" s="3284"/>
      <c r="R41" s="3245">
        <f>E41</f>
        <v>0</v>
      </c>
      <c r="S41" s="3245"/>
      <c r="T41" s="3245">
        <f>G41</f>
        <v>0</v>
      </c>
      <c r="U41" s="3245"/>
      <c r="V41" s="3245">
        <f>I41</f>
        <v>0</v>
      </c>
      <c r="W41" s="3245"/>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2"/>
      <c r="M42" s="1130"/>
      <c r="N42" s="1130"/>
      <c r="O42" s="1143"/>
      <c r="P42" s="3284" t="str">
        <f>A42</f>
        <v>比较价值（元/平方米）</v>
      </c>
      <c r="Q42" s="3284"/>
      <c r="R42" s="3332" t="e">
        <f>ROUND(PRODUCT(R41,AA7:AA40),0)</f>
        <v>#DIV/0!</v>
      </c>
      <c r="S42" s="3332"/>
      <c r="T42" s="3332" t="e">
        <f>ROUND(PRODUCT(T41,AB7:AB40),0)</f>
        <v>#DIV/0!</v>
      </c>
      <c r="U42" s="3332"/>
      <c r="V42" s="3332" t="e">
        <f>ROUND(PRODUCT(V41,AC7:AC40),0)</f>
        <v>#DIV/0!</v>
      </c>
      <c r="W42" s="3332"/>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2"/>
      <c r="M43" s="1130"/>
      <c r="N43" s="1130"/>
      <c r="O43" s="1143"/>
      <c r="P43" s="3286" t="str">
        <f>A43</f>
        <v>估价对象XX用房的比较价值（楼面单价，元/平方米）</v>
      </c>
      <c r="Q43" s="3287"/>
      <c r="R43" s="3333" t="e">
        <f>ROUND(AVERAGE(R42:V42),0)</f>
        <v>#DIV/0!</v>
      </c>
      <c r="S43" s="3333"/>
      <c r="T43" s="3333"/>
      <c r="U43" s="3333"/>
      <c r="V43" s="3333"/>
      <c r="W43" s="333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2754</v>
      </c>
      <c r="B50" s="684" t="s">
        <v>2755</v>
      </c>
      <c r="C50" s="2705" t="s">
        <v>2756</v>
      </c>
      <c r="D50" s="2706" t="s">
        <v>2757</v>
      </c>
      <c r="E50" s="685" t="s">
        <v>2758</v>
      </c>
      <c r="F50" s="686" t="s">
        <v>2759</v>
      </c>
      <c r="G50" s="3262" t="s">
        <v>2760</v>
      </c>
      <c r="H50" s="3334"/>
      <c r="I50" s="1813" t="s">
        <v>2797</v>
      </c>
      <c r="J50" s="1813">
        <f>项目基本情况!F35</f>
        <v>0</v>
      </c>
      <c r="K50" s="2708" t="s">
        <v>2762</v>
      </c>
      <c r="L50" s="1105"/>
      <c r="M50" s="1143"/>
      <c r="N50" s="1143"/>
      <c r="O50" s="1143"/>
    </row>
    <row r="51" spans="1:17" s="691" customFormat="1">
      <c r="A51" s="687" t="s">
        <v>2763</v>
      </c>
      <c r="B51" s="688" t="e">
        <f>C43</f>
        <v>#DIV/0!</v>
      </c>
      <c r="C51" s="689">
        <v>1</v>
      </c>
      <c r="D51" s="1162">
        <v>1</v>
      </c>
      <c r="E51" s="689">
        <f>'数据-汇总表'!E8+'数据-汇总表'!E9</f>
        <v>31181.27</v>
      </c>
      <c r="F51" s="690" t="e">
        <f t="shared" ref="F51:F60" si="15">ROUND(B51*E51/10000,0)</f>
        <v>#DIV/0!</v>
      </c>
      <c r="G51" s="3261"/>
      <c r="H51" s="3284"/>
      <c r="I51" s="941">
        <v>1</v>
      </c>
      <c r="J51" s="941">
        <v>1</v>
      </c>
      <c r="K51" s="1144"/>
      <c r="L51" s="940"/>
      <c r="M51" s="940"/>
      <c r="N51" s="940"/>
      <c r="O51" s="940"/>
    </row>
    <row r="52" spans="1:17" s="691" customFormat="1">
      <c r="A52" s="692" t="s">
        <v>2764</v>
      </c>
      <c r="B52" s="261" t="e">
        <f>ROUND($C$43*C52*D52,0)</f>
        <v>#DIV/0!</v>
      </c>
      <c r="C52" s="199">
        <f t="shared" ref="C52:C60" si="16">IF($C$50="北京市系数",I52,J52)</f>
        <v>0</v>
      </c>
      <c r="D52" s="1163">
        <v>0.25</v>
      </c>
      <c r="E52" s="693"/>
      <c r="F52" s="690" t="e">
        <f t="shared" si="15"/>
        <v>#DIV/0!</v>
      </c>
      <c r="G52" s="3335" t="s">
        <v>2765</v>
      </c>
      <c r="H52" s="1103">
        <f>项目基本情况!B37</f>
        <v>0</v>
      </c>
      <c r="I52" s="941">
        <f>SUMIF(修正!A45:A56,H52,修正!B45:B56)</f>
        <v>0</v>
      </c>
      <c r="J52" s="942"/>
      <c r="K52" s="1143"/>
      <c r="L52" s="940"/>
      <c r="M52" s="940"/>
      <c r="N52" s="940"/>
      <c r="O52" s="940"/>
    </row>
    <row r="53" spans="1:17" s="691" customFormat="1">
      <c r="A53" s="692" t="s">
        <v>2766</v>
      </c>
      <c r="B53" s="261" t="e">
        <f t="shared" ref="B53:B60" si="17">ROUND($C$43*C53*D53,0)</f>
        <v>#DIV/0!</v>
      </c>
      <c r="C53" s="199">
        <f t="shared" si="16"/>
        <v>0</v>
      </c>
      <c r="D53" s="1163">
        <v>0.25</v>
      </c>
      <c r="E53" s="693"/>
      <c r="F53" s="690" t="e">
        <f t="shared" si="15"/>
        <v>#DIV/0!</v>
      </c>
      <c r="G53" s="3335"/>
      <c r="H53" s="1103">
        <f>项目基本情况!B37</f>
        <v>0</v>
      </c>
      <c r="I53" s="941">
        <f>SUMIF(修正!A45:A56,H53,修正!C45:C56)</f>
        <v>0</v>
      </c>
      <c r="J53" s="942"/>
      <c r="K53" s="1144"/>
      <c r="L53" s="940"/>
      <c r="M53" s="940"/>
      <c r="N53" s="940"/>
      <c r="O53" s="940"/>
    </row>
    <row r="54" spans="1:17" s="691" customFormat="1">
      <c r="A54" s="692" t="s">
        <v>2767</v>
      </c>
      <c r="B54" s="261" t="e">
        <f t="shared" si="17"/>
        <v>#DIV/0!</v>
      </c>
      <c r="C54" s="199">
        <f t="shared" si="16"/>
        <v>0</v>
      </c>
      <c r="D54" s="1163">
        <v>0.25</v>
      </c>
      <c r="E54" s="693"/>
      <c r="F54" s="690" t="e">
        <f t="shared" si="15"/>
        <v>#DIV/0!</v>
      </c>
      <c r="G54" s="3335"/>
      <c r="H54" s="1103">
        <f>项目基本情况!B37</f>
        <v>0</v>
      </c>
      <c r="I54" s="941">
        <f>SUMIF(修正!A45:A56,H54,修正!D45:D56)</f>
        <v>0</v>
      </c>
      <c r="J54" s="942"/>
      <c r="K54" s="1143"/>
      <c r="L54" s="940"/>
      <c r="M54" s="940"/>
      <c r="N54" s="940"/>
      <c r="O54" s="940"/>
    </row>
    <row r="55" spans="1:17" s="691" customFormat="1">
      <c r="A55" s="692" t="s">
        <v>2768</v>
      </c>
      <c r="B55" s="261" t="e">
        <f t="shared" si="17"/>
        <v>#DIV/0!</v>
      </c>
      <c r="C55" s="199">
        <f t="shared" si="16"/>
        <v>0</v>
      </c>
      <c r="D55" s="1163">
        <v>0.25</v>
      </c>
      <c r="E55" s="693"/>
      <c r="F55" s="690" t="e">
        <f t="shared" si="15"/>
        <v>#DIV/0!</v>
      </c>
      <c r="G55" s="3335"/>
      <c r="H55" s="1103">
        <f>项目基本情况!B37</f>
        <v>0</v>
      </c>
      <c r="I55" s="941">
        <f>SUMIF(修正!A45:A56,H55,修正!E45:E56)</f>
        <v>0</v>
      </c>
      <c r="J55" s="942"/>
      <c r="K55" s="1144"/>
      <c r="L55" s="940"/>
      <c r="M55" s="940"/>
      <c r="N55" s="940"/>
      <c r="O55" s="940"/>
    </row>
    <row r="56" spans="1:17" s="691" customFormat="1">
      <c r="A56" s="692" t="s">
        <v>2769</v>
      </c>
      <c r="B56" s="261" t="e">
        <f t="shared" si="17"/>
        <v>#DIV/0!</v>
      </c>
      <c r="C56" s="199">
        <f t="shared" si="16"/>
        <v>0</v>
      </c>
      <c r="D56" s="1163">
        <v>0.25</v>
      </c>
      <c r="E56" s="260">
        <f>'数据-汇总表'!E11</f>
        <v>0</v>
      </c>
      <c r="F56" s="690" t="e">
        <f t="shared" si="15"/>
        <v>#DIV/0!</v>
      </c>
      <c r="G56" s="2709" t="s">
        <v>2770</v>
      </c>
      <c r="H56" s="1103">
        <f>项目基本情况!C37</f>
        <v>0</v>
      </c>
      <c r="I56" s="941">
        <f>SUMIF(修正!A45:A56,H56,修正!F45:F56)</f>
        <v>0</v>
      </c>
      <c r="J56" s="942"/>
      <c r="K56" s="1143"/>
      <c r="L56" s="940"/>
      <c r="M56" s="940"/>
      <c r="N56" s="940"/>
      <c r="O56" s="940"/>
    </row>
    <row r="57" spans="1:17" s="691" customFormat="1">
      <c r="A57" s="692" t="s">
        <v>2771</v>
      </c>
      <c r="B57" s="261" t="e">
        <f t="shared" si="17"/>
        <v>#DIV/0!</v>
      </c>
      <c r="C57" s="199">
        <f t="shared" si="16"/>
        <v>0</v>
      </c>
      <c r="D57" s="1163">
        <v>0.25</v>
      </c>
      <c r="E57" s="260">
        <f>'数据-汇总表'!E12</f>
        <v>0</v>
      </c>
      <c r="F57" s="690" t="e">
        <f t="shared" si="15"/>
        <v>#DIV/0!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2773</v>
      </c>
      <c r="B58" s="261" t="e">
        <f t="shared" si="17"/>
        <v>#DIV/0!</v>
      </c>
      <c r="C58" s="199">
        <f t="shared" si="16"/>
        <v>0</v>
      </c>
      <c r="D58" s="1163">
        <v>0.25</v>
      </c>
      <c r="E58" s="260">
        <f>'数据-汇总表'!E13</f>
        <v>3559.58</v>
      </c>
      <c r="F58" s="690" t="e">
        <f t="shared" si="15"/>
        <v>#DIV/0!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2775</v>
      </c>
      <c r="B59" s="261" t="e">
        <f t="shared" si="17"/>
        <v>#DIV/0!</v>
      </c>
      <c r="C59" s="199">
        <f t="shared" si="16"/>
        <v>0</v>
      </c>
      <c r="D59" s="1163">
        <v>0.25</v>
      </c>
      <c r="E59" s="260">
        <f>'数据-汇总表'!E14</f>
        <v>0</v>
      </c>
      <c r="F59" s="690" t="e">
        <f t="shared" si="15"/>
        <v>#DIV/0!</v>
      </c>
      <c r="G59" s="2709" t="s">
        <v>2765</v>
      </c>
      <c r="H59" s="1103">
        <f>项目基本情况!B37</f>
        <v>0</v>
      </c>
      <c r="I59" s="941">
        <f>SUMIF(修正!A45:A56,H59,修正!H45:H56)</f>
        <v>0</v>
      </c>
      <c r="J59" s="942"/>
      <c r="K59" s="1144"/>
      <c r="L59" s="940"/>
      <c r="M59" s="940"/>
      <c r="N59" s="940"/>
      <c r="O59" s="940"/>
    </row>
    <row r="60" spans="1:17" s="691" customFormat="1" ht="15" thickBot="1">
      <c r="A60" s="692" t="s">
        <v>2776</v>
      </c>
      <c r="B60" s="261" t="e">
        <f t="shared" si="17"/>
        <v>#DIV/0!</v>
      </c>
      <c r="C60" s="199">
        <f t="shared" si="16"/>
        <v>0</v>
      </c>
      <c r="D60" s="1163">
        <v>0.25</v>
      </c>
      <c r="E60" s="260">
        <f>'数据-汇总表'!E15</f>
        <v>0</v>
      </c>
      <c r="F60" s="690" t="e">
        <f t="shared" si="15"/>
        <v>#DIV/0!</v>
      </c>
      <c r="G60" s="2710" t="s">
        <v>2770</v>
      </c>
      <c r="H60" s="1113">
        <f>项目基本情况!C37</f>
        <v>0</v>
      </c>
      <c r="I60" s="941">
        <f>SUMIF(修正!A45:A56,H60,修正!H45:H56)</f>
        <v>0</v>
      </c>
      <c r="J60" s="942"/>
      <c r="K60" s="1143"/>
      <c r="L60" s="940"/>
      <c r="M60" s="940"/>
      <c r="N60" s="940"/>
      <c r="O60" s="940"/>
    </row>
    <row r="61" spans="1:17" s="691" customFormat="1" ht="15" thickBot="1">
      <c r="A61" s="694" t="s">
        <v>2777</v>
      </c>
      <c r="B61" s="695" t="s">
        <v>28</v>
      </c>
      <c r="C61" s="695" t="s">
        <v>29</v>
      </c>
      <c r="D61" s="695" t="s">
        <v>1026</v>
      </c>
      <c r="E61" s="695">
        <f>IF(B41="楼面地价",SUM(E51:E60),'数据-汇总表'!D3)</f>
        <v>10186.06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2671</v>
      </c>
      <c r="B64" s="758"/>
      <c r="C64" s="763"/>
      <c r="D64" s="763"/>
      <c r="E64" s="763"/>
      <c r="F64" s="764"/>
      <c r="G64" s="764"/>
      <c r="H64" s="763"/>
      <c r="I64" s="763"/>
      <c r="J64" s="763"/>
      <c r="K64" s="765"/>
      <c r="L64" s="766"/>
      <c r="M64" s="763"/>
      <c r="N64" s="763"/>
      <c r="O64" s="1158"/>
      <c r="P64" s="502"/>
      <c r="Q64" s="503"/>
    </row>
    <row r="65" spans="1:17" s="507" customFormat="1" ht="15">
      <c r="A65" s="2711" t="s">
        <v>2778</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6" customFormat="1" ht="30.75" customHeight="1">
      <c r="A66" s="2716" t="s">
        <v>2798</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6" customFormat="1" ht="15.75" thickBot="1">
      <c r="A67" s="514" t="s">
        <v>2582</v>
      </c>
      <c r="B67" s="515"/>
      <c r="C67" s="516"/>
      <c r="D67" s="517"/>
      <c r="E67" s="517"/>
      <c r="F67" s="517"/>
      <c r="G67" s="517"/>
      <c r="H67" s="517"/>
      <c r="I67" s="517"/>
      <c r="J67" s="517"/>
      <c r="K67" s="517"/>
      <c r="L67" s="517"/>
      <c r="M67" s="518"/>
      <c r="N67" s="518"/>
      <c r="O67" s="519"/>
      <c r="P67" s="503"/>
      <c r="Q67" s="503"/>
    </row>
    <row r="68" spans="1:17" s="116" customFormat="1" ht="15">
      <c r="A68" s="520" t="s">
        <v>2547</v>
      </c>
      <c r="B68" s="509"/>
      <c r="C68" s="521" t="s">
        <v>2649</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2585</v>
      </c>
      <c r="B70" s="527" t="s">
        <v>2551</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2554</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2781</v>
      </c>
      <c r="C87" s="572" t="s">
        <v>2594</v>
      </c>
      <c r="D87" s="572" t="s">
        <v>2595</v>
      </c>
      <c r="E87" s="572" t="s">
        <v>2596</v>
      </c>
      <c r="F87" s="572" t="s">
        <v>2597</v>
      </c>
      <c r="G87" s="572" t="s">
        <v>2598</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2782</v>
      </c>
      <c r="C89" s="572" t="s">
        <v>2594</v>
      </c>
      <c r="D89" s="572" t="s">
        <v>2595</v>
      </c>
      <c r="E89" s="572" t="s">
        <v>2596</v>
      </c>
      <c r="F89" s="572" t="s">
        <v>2597</v>
      </c>
      <c r="G89" s="572" t="s">
        <v>2598</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2799</v>
      </c>
      <c r="C93" s="659" t="s">
        <v>2672</v>
      </c>
      <c r="D93" s="659" t="s">
        <v>2673</v>
      </c>
      <c r="E93" s="659" t="s">
        <v>2674</v>
      </c>
      <c r="F93" s="659" t="s">
        <v>2675</v>
      </c>
      <c r="G93" s="659" t="s">
        <v>2676</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2783</v>
      </c>
      <c r="D95" s="538" t="s">
        <v>2784</v>
      </c>
      <c r="E95" s="538" t="s">
        <v>2785</v>
      </c>
      <c r="F95" s="538" t="s">
        <v>2786</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2688</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2746</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2560</v>
      </c>
      <c r="B107" s="527" t="s">
        <v>2787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2788</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2790</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2791</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3" sqref="L3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39" t="s">
        <v>2800</v>
      </c>
      <c r="B1" s="240"/>
      <c r="C1" s="244" t="s">
        <v>2801</v>
      </c>
      <c r="D1" s="387">
        <f>SUM(D29:D30,D33:D39)</f>
        <v>0</v>
      </c>
      <c r="E1" s="2717"/>
      <c r="F1" s="2717"/>
      <c r="G1" s="2717"/>
      <c r="H1" s="2717"/>
      <c r="I1" s="2717"/>
      <c r="J1" s="2717"/>
      <c r="K1" s="1369"/>
      <c r="L1" s="2718" t="s">
        <v>2802</v>
      </c>
      <c r="M1" s="1079">
        <f>SUMPRODUCT((区片价!B5:B9=I2)*(区片价!C3:F3=E2)*(区片价!C5:F9))</f>
        <v>0</v>
      </c>
      <c r="N1" s="1082">
        <f>SUMPRODUCT((因素修正幅度!B5:B9=I2)*(因素修正幅度!C3:F3=E2)*(因素修正幅度!C5:F9))</f>
        <v>0</v>
      </c>
      <c r="O1" s="2719"/>
      <c r="P1" s="2719"/>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4" t="s">
        <v>2808</v>
      </c>
      <c r="B2" s="247" t="e">
        <f>C26</f>
        <v>#DIV/0!</v>
      </c>
      <c r="C2" s="2721" t="s">
        <v>2809</v>
      </c>
      <c r="D2" s="2722" t="s">
        <v>2810</v>
      </c>
      <c r="E2" s="2723"/>
      <c r="F2" s="2722" t="s">
        <v>2811</v>
      </c>
      <c r="G2" s="2724">
        <f>IF(E2="商业",项目基本情况!B37,IF(E2="办公",项目基本情况!C37,IF(E2="住宅",项目基本情况!D37,项目基本情况!E37)))</f>
        <v>0</v>
      </c>
      <c r="H2" s="2722" t="s">
        <v>2812</v>
      </c>
      <c r="I2" s="2724">
        <f>IF(E2="商业",项目基本情况!B38,IF(E2="办公",项目基本情况!C38,IF(E2="住宅",项目基本情况!D38,项目基本情况!E38)))</f>
        <v>0</v>
      </c>
      <c r="J2" s="2725"/>
      <c r="K2" s="1369"/>
      <c r="L2" s="2726" t="s">
        <v>2813</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2814</v>
      </c>
      <c r="B3" s="247" t="e">
        <f>ROUND(B2*10000/D1,0)</f>
        <v>#DIV/0!</v>
      </c>
      <c r="C3" s="2721" t="s">
        <v>2815</v>
      </c>
      <c r="D3" s="2722" t="s">
        <v>2816</v>
      </c>
      <c r="E3" s="2727"/>
      <c r="F3" s="2728" t="s">
        <v>2817</v>
      </c>
      <c r="G3" s="915">
        <f>IF(F3="宗地容积率",'数据-汇总表'!I4,IF(F3="估价对象容积率",'数据-汇总表'!I6,'数据-汇总表'!I7))</f>
        <v>3.06</v>
      </c>
      <c r="H3" s="197" t="s">
        <v>2818</v>
      </c>
      <c r="I3" s="943"/>
      <c r="J3" s="2725" t="s">
        <v>2819</v>
      </c>
      <c r="K3" s="1369"/>
      <c r="L3" s="2726" t="s">
        <v>2820</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56"/>
      <c r="B4" s="3357"/>
      <c r="C4" s="3357"/>
      <c r="D4" s="3358"/>
      <c r="E4" s="3358"/>
      <c r="F4" s="3358"/>
      <c r="G4" s="3358"/>
      <c r="H4" s="3358"/>
      <c r="I4" s="3358"/>
      <c r="J4" s="3359"/>
      <c r="K4" s="1369"/>
      <c r="L4" s="2726" t="s">
        <v>2821</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2822</v>
      </c>
      <c r="C5" s="916" t="e">
        <f>ROUND(IF(E2="商业",C6*C7+C16,(IF(E2="住宅",C6*C12+C16,C6+C16))),0)</f>
        <v>#DIV/0!</v>
      </c>
      <c r="D5" s="1786" t="e">
        <f>ROUND(IF(F17="增加",C6+C16,C6-C16),0)</f>
        <v>#DIV/0!</v>
      </c>
      <c r="E5" s="1786"/>
      <c r="F5" s="2731"/>
      <c r="G5" s="2732"/>
      <c r="H5" s="2732"/>
      <c r="I5" s="2732"/>
      <c r="J5" s="2733"/>
      <c r="K5" s="2734"/>
      <c r="L5" s="2726" t="s">
        <v>2823</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2824</v>
      </c>
      <c r="B6" s="2740" t="s">
        <v>2825</v>
      </c>
      <c r="C6" s="917">
        <f>SUMIF(L1:L12,G2,M1:M12)</f>
        <v>0</v>
      </c>
      <c r="D6" s="2741" t="s">
        <v>2826</v>
      </c>
      <c r="E6" s="2742"/>
      <c r="F6" s="2742"/>
      <c r="G6" s="2743"/>
      <c r="H6" s="2743"/>
      <c r="I6" s="2743"/>
      <c r="J6" s="2744"/>
      <c r="K6" s="1841"/>
      <c r="L6" s="2726" t="s">
        <v>2827</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40" t="str">
        <f>IF(E2="商业",IF(C8="不临58条商业街","",2),"")</f>
        <v/>
      </c>
      <c r="B7" s="2745" t="s">
        <v>2828</v>
      </c>
      <c r="C7" s="918" t="e">
        <f>IF(C8="不临58条商业街",1,ROUND(1+(1.6*E8+1.2*E9+0.8*E10+0.4*E11)*C9,4))</f>
        <v>#DIV/0!</v>
      </c>
      <c r="D7" s="2746" t="s">
        <v>2829</v>
      </c>
      <c r="E7" s="944"/>
      <c r="F7" s="2747"/>
      <c r="G7" s="2748"/>
      <c r="H7" s="2748"/>
      <c r="I7" s="2748"/>
      <c r="J7" s="2749"/>
      <c r="K7" s="1841"/>
      <c r="L7" s="2726" t="s">
        <v>2830</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2831</v>
      </c>
      <c r="X7" s="1603">
        <f>G2</f>
        <v>0</v>
      </c>
      <c r="Y7" s="1603" t="s">
        <v>2832</v>
      </c>
      <c r="Z7" s="1604">
        <f>G3</f>
        <v>3.06</v>
      </c>
      <c r="AA7" s="1605"/>
      <c r="AB7" s="1605"/>
      <c r="AC7" s="1606"/>
      <c r="AD7" s="1607"/>
      <c r="AE7" s="1607"/>
      <c r="AF7" s="1607"/>
      <c r="AG7" s="1607"/>
      <c r="AH7" s="1607"/>
      <c r="AI7" s="1607"/>
      <c r="AJ7" s="1608"/>
    </row>
    <row r="8" spans="1:36" ht="15">
      <c r="A8" s="3360"/>
      <c r="B8" s="197" t="s">
        <v>2833</v>
      </c>
      <c r="C8" s="2750"/>
      <c r="D8" s="919" t="s">
        <v>139</v>
      </c>
      <c r="E8" s="920" t="e">
        <f>ROUND(C11/E7,4)</f>
        <v>#DIV/0!</v>
      </c>
      <c r="F8" s="2751" t="s">
        <v>2834</v>
      </c>
      <c r="G8" s="2752"/>
      <c r="H8" s="2752"/>
      <c r="I8" s="2752"/>
      <c r="J8" s="2753"/>
      <c r="K8" s="1369"/>
      <c r="L8" s="2726" t="s">
        <v>2835</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53" t="s">
        <v>2836</v>
      </c>
      <c r="X8" s="3354"/>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360"/>
      <c r="B9" s="197" t="s">
        <v>2849</v>
      </c>
      <c r="C9" s="921">
        <f>SUMIF(修正!C59:C119,C8,修正!E59:E119)</f>
        <v>0</v>
      </c>
      <c r="D9" s="199" t="s">
        <v>140</v>
      </c>
      <c r="E9" s="199" t="e">
        <f>ROUND(C11/E7,4)</f>
        <v>#DIV/0!</v>
      </c>
      <c r="F9" s="2751" t="s">
        <v>2850</v>
      </c>
      <c r="G9" s="2752"/>
      <c r="H9" s="2752"/>
      <c r="I9" s="2752"/>
      <c r="J9" s="2753"/>
      <c r="K9" s="1369"/>
      <c r="L9" s="2726" t="s">
        <v>2851</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55"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60"/>
      <c r="B10" s="197" t="s">
        <v>2854</v>
      </c>
      <c r="C10" s="199">
        <f>SUMIF(修正!C59:C119,C8,修正!F59:F119)</f>
        <v>0</v>
      </c>
      <c r="D10" s="199" t="s">
        <v>141</v>
      </c>
      <c r="E10" s="199" t="e">
        <f>ROUND(C11/E7,4)</f>
        <v>#DIV/0!</v>
      </c>
      <c r="F10" s="2751" t="s">
        <v>2855</v>
      </c>
      <c r="G10" s="2752"/>
      <c r="H10" s="2752"/>
      <c r="I10" s="2752"/>
      <c r="J10" s="2753"/>
      <c r="K10" s="1369"/>
      <c r="L10" s="2726" t="s">
        <v>2856</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5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60"/>
      <c r="B11" s="2754" t="s">
        <v>2857</v>
      </c>
      <c r="C11" s="922">
        <f>C10/4</f>
        <v>0</v>
      </c>
      <c r="D11" s="922" t="s">
        <v>142</v>
      </c>
      <c r="E11" s="922" t="e">
        <f>ROUND(C11/E7,4)</f>
        <v>#DIV/0!</v>
      </c>
      <c r="F11" s="2755" t="s">
        <v>2858</v>
      </c>
      <c r="G11" s="2756"/>
      <c r="H11" s="2756"/>
      <c r="I11" s="2756"/>
      <c r="J11" s="2757"/>
      <c r="K11" s="1369"/>
      <c r="L11" s="2726" t="s">
        <v>2859</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55" t="s">
        <v>2860</v>
      </c>
      <c r="X11" s="1613" t="s">
        <v>2861</v>
      </c>
      <c r="Y11" s="1614">
        <f>$G$3</f>
        <v>3.06</v>
      </c>
      <c r="Z11" s="1614">
        <f t="shared" ref="Z11:AJ11" si="3">$G$3</f>
        <v>3.06</v>
      </c>
      <c r="AA11" s="1614">
        <f t="shared" si="3"/>
        <v>3.06</v>
      </c>
      <c r="AB11" s="1614">
        <f t="shared" si="3"/>
        <v>3.06</v>
      </c>
      <c r="AC11" s="1614">
        <f t="shared" si="3"/>
        <v>3.06</v>
      </c>
      <c r="AD11" s="1614">
        <f t="shared" si="3"/>
        <v>3.06</v>
      </c>
      <c r="AE11" s="1614">
        <f t="shared" si="3"/>
        <v>3.06</v>
      </c>
      <c r="AF11" s="1614">
        <f t="shared" si="3"/>
        <v>3.06</v>
      </c>
      <c r="AG11" s="1614">
        <f t="shared" si="3"/>
        <v>3.06</v>
      </c>
      <c r="AH11" s="1614">
        <f t="shared" si="3"/>
        <v>3.06</v>
      </c>
      <c r="AI11" s="1614">
        <f t="shared" si="3"/>
        <v>3.06</v>
      </c>
      <c r="AJ11" s="1614">
        <f t="shared" si="3"/>
        <v>3.06</v>
      </c>
    </row>
    <row r="12" spans="1:36" ht="25.5" thickBot="1">
      <c r="A12" s="3340" t="s">
        <v>2862</v>
      </c>
      <c r="B12" s="2758" t="s">
        <v>2863</v>
      </c>
      <c r="C12" s="918">
        <f>ROUND(C15*D15*E15*F15*G15*H15*I15*J15,4)</f>
        <v>1</v>
      </c>
      <c r="D12" s="2759" t="s">
        <v>2864</v>
      </c>
      <c r="E12" s="2760"/>
      <c r="F12" s="2760"/>
      <c r="G12" s="2761"/>
      <c r="H12" s="2761"/>
      <c r="I12" s="2761"/>
      <c r="J12" s="2762"/>
      <c r="K12" s="1369"/>
      <c r="L12" s="2763" t="s">
        <v>2865</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55"/>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61"/>
      <c r="B13" s="2764" t="s">
        <v>2867</v>
      </c>
      <c r="C13" s="2765" t="s">
        <v>2868</v>
      </c>
      <c r="D13" s="1807" t="s">
        <v>2869</v>
      </c>
      <c r="E13" s="1807" t="s">
        <v>2870</v>
      </c>
      <c r="F13" s="30" t="s">
        <v>2871</v>
      </c>
      <c r="G13" s="2766" t="s">
        <v>2872</v>
      </c>
      <c r="H13" s="2766" t="s">
        <v>2872</v>
      </c>
      <c r="I13" s="2766" t="s">
        <v>2872</v>
      </c>
      <c r="J13" s="2767" t="s">
        <v>2872</v>
      </c>
      <c r="K13" s="1369"/>
      <c r="L13" s="1369"/>
      <c r="M13" s="1369"/>
      <c r="N13" s="1369"/>
      <c r="O13" s="1369"/>
      <c r="P13" s="1369"/>
      <c r="Q13" s="1369"/>
      <c r="R13" s="1601">
        <v>12</v>
      </c>
      <c r="S13" s="1602"/>
      <c r="T13" s="1601" t="e">
        <f t="shared" si="0"/>
        <v>#DIV/0!</v>
      </c>
      <c r="U13" s="1602"/>
      <c r="V13" s="1601" t="e">
        <f t="shared" si="1"/>
        <v>#DIV/0!</v>
      </c>
      <c r="W13" s="3355"/>
      <c r="X13" s="1615"/>
      <c r="Y13" s="1612">
        <f>(-0.163*(Y12^2)-0.59*Y12+7617)*(10^(-4))/Y11</f>
        <v>0.24892156862745099</v>
      </c>
      <c r="Z13" s="1612">
        <f t="shared" ref="Z13:AJ13" si="5">(-0.163*(Z12^2)-0.59*Z12+7617)*(10^(-4))/Z11</f>
        <v>0.24892156862745099</v>
      </c>
      <c r="AA13" s="1612">
        <f t="shared" si="5"/>
        <v>0.24892156862745099</v>
      </c>
      <c r="AB13" s="1612">
        <f t="shared" si="5"/>
        <v>0.24892156862745099</v>
      </c>
      <c r="AC13" s="1612">
        <f t="shared" si="5"/>
        <v>0.24892156862745099</v>
      </c>
      <c r="AD13" s="1612">
        <f t="shared" si="5"/>
        <v>0.24892156862745099</v>
      </c>
      <c r="AE13" s="1612">
        <f t="shared" si="5"/>
        <v>0.24892156862745099</v>
      </c>
      <c r="AF13" s="1612">
        <f t="shared" si="5"/>
        <v>0.24892156862745099</v>
      </c>
      <c r="AG13" s="1612">
        <f t="shared" si="5"/>
        <v>0.24892156862745099</v>
      </c>
      <c r="AH13" s="1612">
        <f t="shared" si="5"/>
        <v>0.24892156862745099</v>
      </c>
      <c r="AI13" s="1612">
        <f t="shared" si="5"/>
        <v>0.24892156862745099</v>
      </c>
      <c r="AJ13" s="1612">
        <f t="shared" si="5"/>
        <v>0.24892156862745099</v>
      </c>
    </row>
    <row r="14" spans="1:36" ht="15">
      <c r="A14" s="3361"/>
      <c r="B14" s="2768"/>
      <c r="C14" s="2769"/>
      <c r="D14" s="2770"/>
      <c r="E14" s="2770"/>
      <c r="F14" s="2771"/>
      <c r="G14" s="2772" t="s">
        <v>2873</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62"/>
      <c r="B15" s="2776" t="s">
        <v>2874</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40" t="s">
        <v>2879</v>
      </c>
      <c r="B16" s="2745" t="s">
        <v>2880</v>
      </c>
      <c r="C16" s="2935" t="e">
        <f>ROUND(IF(F17="与级别开发程度一致",0,(G17-E17)/C17),0)</f>
        <v>#DIV/0!</v>
      </c>
      <c r="D16" s="3351" t="s">
        <v>2884</v>
      </c>
      <c r="E16" s="3352"/>
      <c r="F16" s="3351" t="s">
        <v>2881</v>
      </c>
      <c r="G16" s="3352"/>
      <c r="H16" s="2779"/>
      <c r="I16" s="2779"/>
      <c r="J16" s="2939"/>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41"/>
      <c r="B17" s="2946" t="s">
        <v>2883</v>
      </c>
      <c r="C17" s="2947">
        <f>SUMPRODUCT((修正!A2:A5=E2)*(修正!B1:M1=G2)*(修正!B2:M5))</f>
        <v>0</v>
      </c>
      <c r="D17" s="228"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40" t="s">
        <v>808</v>
      </c>
      <c r="B18" s="2941" t="s">
        <v>2886</v>
      </c>
      <c r="C18" s="2942">
        <f>SUMIF(修正!C18:C39,E3,修正!E18:E39)</f>
        <v>0</v>
      </c>
      <c r="D18" s="2943"/>
      <c r="E18" s="2944"/>
      <c r="F18" s="2944"/>
      <c r="G18" s="2944"/>
      <c r="H18" s="2944"/>
      <c r="I18" s="2944"/>
      <c r="J18" s="2945"/>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2887</v>
      </c>
      <c r="C19" s="923" t="e">
        <f>ROUND(IF(H19="按公示增长率计算",SUMPRODUCT((地价!A3:A26=YEAR(G19)&amp;"-"&amp;ROUNDUP(MONTH(G19)/3,0))*(地价!X2:AB2=E2)*(地价!X3:AB26)),IF(H19="地价指数",M20/M19,(1+I19)^O19)),4)</f>
        <v>#DIV/0!</v>
      </c>
      <c r="D19" s="2789" t="s">
        <v>2888</v>
      </c>
      <c r="E19" s="924">
        <v>41640</v>
      </c>
      <c r="F19" s="2789" t="s">
        <v>2889</v>
      </c>
      <c r="G19" s="925">
        <f>'数据-取费表'!B2</f>
        <v>43634</v>
      </c>
      <c r="H19" s="2790" t="s">
        <v>2890</v>
      </c>
      <c r="I19" s="926" t="str">
        <f>IF(H19="季度增幅（自定义）",SUMIF(N21:N24,E2,O21:O24),"")</f>
        <v/>
      </c>
      <c r="J19" s="2787"/>
      <c r="K19" s="1376"/>
      <c r="L19" s="2791" t="s">
        <v>2891</v>
      </c>
      <c r="M19" s="1733">
        <f>ROUND(SUMIF(地价!B2:F2,E2,地价!B26:F26),0)</f>
        <v>0</v>
      </c>
      <c r="N19" s="2792" t="s">
        <v>2892</v>
      </c>
      <c r="O19" s="927">
        <f>ROUNDDOWN(DATEDIF(E19,G19,"M")/3,0)</f>
        <v>21</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2893</v>
      </c>
      <c r="C20" s="928" t="e">
        <f>ROUND(POWER(1+G20,J20-I20)*(POWER(1+G20,I20)-1)/(POWER(1+G20,J20)-1),4)</f>
        <v>#DIV/0!</v>
      </c>
      <c r="D20" s="2798" t="s">
        <v>2894</v>
      </c>
      <c r="E20" s="1767">
        <f ca="1">存贷款利率!D4/100</f>
        <v>4.3499999999999997E-2</v>
      </c>
      <c r="F20" s="2798" t="s">
        <v>2885</v>
      </c>
      <c r="G20" s="933">
        <f>SUMIF(M26:P26,E2,M28:P28)</f>
        <v>0</v>
      </c>
      <c r="H20" s="2798" t="s">
        <v>2895</v>
      </c>
      <c r="I20" s="934" t="e">
        <f>SUMIF('数据-取费表'!C6:C15,E2,'数据-取费表'!F6:F15)/COUNTIF('数据-取费表'!C6:C15,E2)</f>
        <v>#DIV/0!</v>
      </c>
      <c r="J20" s="935">
        <f>IF(E2="住宅",70,IF(E2="商业",40,50))</f>
        <v>50</v>
      </c>
      <c r="K20" s="1376"/>
      <c r="L20" s="2799" t="s">
        <v>2896</v>
      </c>
      <c r="M20" s="1734">
        <f>ROUND(SUMPRODUCT((地价!A4:A26=YEAR(G19)&amp;"-"&amp;ROUNDUP(MONTH(G19)/3,0))*(地价!B2:F2=E2)*(地价!B4:F26)),0)</f>
        <v>0</v>
      </c>
      <c r="N20" s="2800" t="s">
        <v>2897</v>
      </c>
      <c r="O20" s="2801" t="s">
        <v>2898</v>
      </c>
      <c r="P20" s="2802" t="s">
        <v>2899</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2900</v>
      </c>
      <c r="C21" s="936">
        <f>IF(B21="容积率修正",IF(G3&lt;=10,D22,J22),C23)</f>
        <v>0</v>
      </c>
      <c r="D21" s="2805"/>
      <c r="E21" s="2805"/>
      <c r="F21" s="2805"/>
      <c r="G21" s="2805"/>
      <c r="H21" s="2805"/>
      <c r="I21" s="2805"/>
      <c r="J21" s="2806"/>
      <c r="K21" s="1376"/>
      <c r="N21" s="2807" t="s">
        <v>2901</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8" customFormat="1" ht="14.25">
      <c r="A22" s="2664" t="s">
        <v>2902</v>
      </c>
      <c r="B22" s="2808" t="s">
        <v>2903</v>
      </c>
      <c r="C22" s="1809" t="s">
        <v>2904</v>
      </c>
      <c r="D22" s="1809">
        <f>IF(E22=G22,F22,IF(G3&lt;=10,ROUND(F22+(H22-F22)*(G3-E22)/(G22-E22),4),"——"))</f>
        <v>0</v>
      </c>
      <c r="E22" s="915">
        <f>ROUNDDOWN(G3,1)</f>
        <v>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2905</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4" t="s">
        <v>2906</v>
      </c>
      <c r="B23" s="2809" t="s">
        <v>2907</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2908</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2909</v>
      </c>
      <c r="C24" s="923">
        <f>SUMIF(A45:A88,E2,B45:B88)</f>
        <v>0</v>
      </c>
      <c r="D24" s="2786"/>
      <c r="E24" s="2815"/>
      <c r="F24" s="2815"/>
      <c r="G24" s="2815"/>
      <c r="H24" s="2815"/>
      <c r="I24" s="2815"/>
      <c r="J24" s="2816"/>
      <c r="K24" s="1376"/>
      <c r="N24" s="2817" t="s">
        <v>2910</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2911</v>
      </c>
      <c r="C25" s="929"/>
      <c r="D25" s="2748"/>
      <c r="E25" s="2748"/>
      <c r="F25" s="2819"/>
      <c r="G25" s="2748"/>
      <c r="H25" s="2748"/>
      <c r="I25" s="2748"/>
      <c r="J25" s="2749"/>
      <c r="K25" s="1369"/>
      <c r="N25" s="2820" t="s">
        <v>2912</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1"/>
      <c r="B26" s="2808" t="s">
        <v>2913</v>
      </c>
      <c r="C26" s="205" t="e">
        <f>E29+SUM(E33:E39)</f>
        <v>#DIV/0!</v>
      </c>
      <c r="D26" s="2822"/>
      <c r="E26" s="2773"/>
      <c r="F26" s="2823"/>
      <c r="G26" s="2773"/>
      <c r="H26" s="2773"/>
      <c r="I26" s="2773"/>
      <c r="J26" s="2824"/>
      <c r="K26" s="1369"/>
      <c r="L26" s="2777" t="s">
        <v>2810</v>
      </c>
      <c r="M26" s="919" t="s">
        <v>2875</v>
      </c>
      <c r="N26" s="919" t="s">
        <v>2876</v>
      </c>
      <c r="O26" s="919" t="s">
        <v>2877</v>
      </c>
      <c r="P26" s="2778" t="s">
        <v>2878</v>
      </c>
      <c r="R26" s="1375"/>
      <c r="S26" s="1375"/>
      <c r="T26" s="1370"/>
      <c r="U26" s="1370"/>
      <c r="V26" s="1370"/>
      <c r="W26" s="1369"/>
      <c r="X26" s="1369"/>
      <c r="Y26" s="1369"/>
      <c r="Z26" s="1376"/>
      <c r="AA26" s="1377"/>
      <c r="AB26" s="1377"/>
      <c r="AC26" s="1377"/>
      <c r="AD26" s="1377"/>
    </row>
    <row r="27" spans="1:37" ht="15.75" thickBot="1">
      <c r="A27" s="2821"/>
      <c r="B27" s="2825" t="s">
        <v>2914</v>
      </c>
      <c r="C27" s="930" t="e">
        <f>E30+SUM(I33:I39)</f>
        <v>#DIV/0!</v>
      </c>
      <c r="D27" s="2826"/>
      <c r="E27" s="2827"/>
      <c r="F27" s="2828"/>
      <c r="G27" s="2827"/>
      <c r="H27" s="2827"/>
      <c r="I27" s="2827"/>
      <c r="J27" s="2829"/>
      <c r="K27" s="1369"/>
      <c r="L27" s="2781" t="s">
        <v>2882</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2915</v>
      </c>
      <c r="C28" s="2832" t="s">
        <v>2916</v>
      </c>
      <c r="D28" s="2832" t="s">
        <v>2917</v>
      </c>
      <c r="E28" s="2833" t="s">
        <v>2918</v>
      </c>
      <c r="F28" s="2834"/>
      <c r="G28" s="2761"/>
      <c r="H28" s="2761"/>
      <c r="I28" s="2761"/>
      <c r="J28" s="2762"/>
      <c r="K28" s="1369"/>
      <c r="L28" s="2782" t="s">
        <v>2885</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2919</v>
      </c>
      <c r="C29" s="205" t="e">
        <f>ROUND(C5*C18*C19*C20*C21*C24,0)</f>
        <v>#DIV/0!</v>
      </c>
      <c r="D29" s="2837"/>
      <c r="E29" s="941" t="e">
        <f>ROUND(C29*D29/10000,0)</f>
        <v>#DIV/0!</v>
      </c>
      <c r="F29" s="2838" t="s">
        <v>2920</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2921</v>
      </c>
      <c r="C30" s="228" t="e">
        <f>ROUND(IF(E2="工业",C29*M39,C29*M38),0)</f>
        <v>#DIV/0!</v>
      </c>
      <c r="D30" s="2843"/>
      <c r="E30" s="941" t="e">
        <f>ROUND(C30*D30/10000,0)</f>
        <v>#DIV/0!</v>
      </c>
      <c r="F30" s="2844" t="s">
        <v>2922</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0" t="s">
        <v>2916</v>
      </c>
      <c r="D32" s="497" t="s">
        <v>2917</v>
      </c>
      <c r="E32" s="497" t="s">
        <v>2918</v>
      </c>
      <c r="F32" s="387" t="s">
        <v>2926</v>
      </c>
      <c r="G32" s="2852" t="s">
        <v>2916</v>
      </c>
      <c r="H32" s="2852" t="s">
        <v>2917</v>
      </c>
      <c r="I32" s="2852" t="s">
        <v>2918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48" t="s">
        <v>2927</v>
      </c>
      <c r="B33" s="2853" t="s">
        <v>2928</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49"/>
      <c r="B34" s="2765" t="s">
        <v>2929</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49"/>
      <c r="B35" s="2765" t="s">
        <v>2930</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50"/>
      <c r="B36" s="2765" t="s">
        <v>2931</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2932</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9"/>
      <c r="L37" s="2856" t="s">
        <v>2933</v>
      </c>
      <c r="M37" s="2857"/>
      <c r="N37" s="1369"/>
      <c r="O37" s="1369"/>
      <c r="P37" s="1369"/>
      <c r="Q37" s="1369"/>
      <c r="R37" s="1369"/>
      <c r="S37" s="1369"/>
      <c r="T37" s="1369"/>
      <c r="U37" s="1369"/>
      <c r="V37" s="1369"/>
      <c r="W37" s="1369"/>
      <c r="X37" s="1369"/>
      <c r="Y37" s="1369"/>
      <c r="Z37" s="1370"/>
    </row>
    <row r="38" spans="1:37">
      <c r="A38" s="2855"/>
      <c r="B38" s="2765" t="s">
        <v>2934</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9"/>
      <c r="L38" s="1886" t="s">
        <v>2935</v>
      </c>
      <c r="M38" s="2858">
        <v>0.25</v>
      </c>
      <c r="N38" s="1369"/>
      <c r="O38" s="1369"/>
      <c r="P38" s="1369"/>
      <c r="Q38" s="1369"/>
      <c r="R38" s="1369"/>
      <c r="S38" s="1369"/>
      <c r="T38" s="1369"/>
      <c r="U38" s="1369"/>
      <c r="V38" s="1369"/>
      <c r="W38" s="1369"/>
      <c r="X38" s="1369"/>
      <c r="Y38" s="1369"/>
      <c r="Z38" s="1370"/>
    </row>
    <row r="39" spans="1:37" ht="13.5" thickBot="1">
      <c r="A39" s="2841"/>
      <c r="B39" s="2859" t="s">
        <v>2936</v>
      </c>
      <c r="C39" s="228" t="e">
        <f>ROUND(D5*C19*C41*C24*F39,0)</f>
        <v>#DIV/0!</v>
      </c>
      <c r="D39" s="2843"/>
      <c r="E39" s="228" t="e">
        <f t="shared" si="7"/>
        <v>#DIV/0!</v>
      </c>
      <c r="F39" s="931">
        <f>SUMIF(修正!A45:A56,G2,修正!H45:H56)</f>
        <v>0</v>
      </c>
      <c r="G39" s="228" t="e">
        <f>ROUND(IF(E2="工业",C39*$M$39,C39*$M$38),0)</f>
        <v>#DIV/0!</v>
      </c>
      <c r="H39" s="228">
        <f t="shared" si="8"/>
        <v>0</v>
      </c>
      <c r="I39" s="228" t="e">
        <f t="shared" si="9"/>
        <v>#DIV/0!</v>
      </c>
      <c r="J39" s="2860"/>
      <c r="K39" s="1369"/>
      <c r="L39" s="2861" t="s">
        <v>2878</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3046</v>
      </c>
      <c r="C41" s="387" t="e">
        <f>ROUND(POWER(1+E41,H41-G41)*(POWER(1+E41,G41)-1)/(POWER(1+E41,H41)-1),4)</f>
        <v>#DIV/0!</v>
      </c>
      <c r="D41" s="199" t="s">
        <v>2885</v>
      </c>
      <c r="E41" s="2929">
        <f>G20</f>
        <v>0</v>
      </c>
      <c r="F41" s="199" t="s">
        <v>2895</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2937</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2938</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2939</v>
      </c>
      <c r="B47" s="1808" t="s">
        <v>2940</v>
      </c>
      <c r="C47" s="1808" t="s">
        <v>2941</v>
      </c>
      <c r="D47" s="1808" t="s">
        <v>2942</v>
      </c>
      <c r="E47" s="818" t="s">
        <v>2943</v>
      </c>
      <c r="F47" s="2871" t="s">
        <v>2944</v>
      </c>
      <c r="G47" s="1808" t="s">
        <v>754</v>
      </c>
      <c r="H47" s="2872" t="s">
        <v>2945</v>
      </c>
      <c r="I47" s="1808" t="s">
        <v>2946</v>
      </c>
      <c r="J47" s="602" t="s">
        <v>2594</v>
      </c>
      <c r="K47" s="602" t="s">
        <v>2595</v>
      </c>
      <c r="L47" s="602" t="s">
        <v>2596</v>
      </c>
      <c r="M47" s="602" t="s">
        <v>2597</v>
      </c>
      <c r="N47" s="602" t="s">
        <v>2598</v>
      </c>
      <c r="AA47" s="1370"/>
      <c r="AB47" s="1370"/>
      <c r="AC47" s="1370"/>
      <c r="AD47" s="1370"/>
      <c r="AE47" s="1370"/>
      <c r="AF47" s="1370"/>
      <c r="AG47" s="1370"/>
      <c r="AH47" s="1370"/>
      <c r="AI47" s="1370"/>
      <c r="AJ47" s="1370"/>
      <c r="AK47" s="1370"/>
    </row>
    <row r="48" spans="1:37" s="1369" customFormat="1" ht="38.25">
      <c r="A48" s="2870" t="s">
        <v>2947</v>
      </c>
      <c r="B48" s="2873" t="str">
        <f>估价对象房地状况!C4</f>
        <v>较好</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2948</v>
      </c>
      <c r="B49" s="2874" t="str">
        <f>估价对象房地状况!C18</f>
        <v>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2949</v>
      </c>
      <c r="B50" s="2874">
        <f>估价对象房地状况!C19</f>
        <v>0</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2950</v>
      </c>
      <c r="B51" s="2875" t="s">
        <v>2951</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2952</v>
      </c>
      <c r="B52" s="2874">
        <f>估价对象房地状况!C24</f>
        <v>0</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2953</v>
      </c>
      <c r="B53" s="2876" t="s">
        <v>2954</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2955</v>
      </c>
      <c r="B54" s="1724" t="str">
        <f>估价对象房地状况!C21</f>
        <v>较好</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2956</v>
      </c>
      <c r="B55" s="2874" t="str">
        <f>估价对象房地状况!C22</f>
        <v>七通</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2957</v>
      </c>
      <c r="B56" s="2879" t="str">
        <f>估价对象房地状况!C20</f>
        <v>一般</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2958</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2939</v>
      </c>
      <c r="B58" s="1808"/>
      <c r="C58" s="1808" t="s">
        <v>2941</v>
      </c>
      <c r="D58" s="1808" t="s">
        <v>2942</v>
      </c>
      <c r="E58" s="818" t="s">
        <v>2943</v>
      </c>
      <c r="F58" s="2871" t="s">
        <v>2959</v>
      </c>
      <c r="G58" s="1808" t="s">
        <v>754</v>
      </c>
      <c r="H58" s="2872" t="s">
        <v>2945</v>
      </c>
      <c r="I58" s="1808" t="s">
        <v>2946</v>
      </c>
      <c r="J58" s="602" t="s">
        <v>2594</v>
      </c>
      <c r="K58" s="602" t="s">
        <v>2595</v>
      </c>
      <c r="L58" s="602" t="s">
        <v>2596</v>
      </c>
      <c r="M58" s="602" t="s">
        <v>2597</v>
      </c>
      <c r="N58" s="602" t="s">
        <v>2598</v>
      </c>
      <c r="AA58" s="1370"/>
      <c r="AB58" s="1370"/>
      <c r="AC58" s="1370"/>
      <c r="AD58" s="1370"/>
      <c r="AE58" s="1370"/>
      <c r="AF58" s="1370"/>
      <c r="AG58" s="1370"/>
      <c r="AH58" s="1370"/>
      <c r="AI58" s="1370"/>
      <c r="AJ58" s="1370"/>
      <c r="AK58" s="1370"/>
    </row>
    <row r="59" spans="1:37" s="1369" customFormat="1" ht="38.25">
      <c r="A59" s="2870" t="s">
        <v>2960</v>
      </c>
      <c r="B59" s="2873">
        <f>估价对象房地状况!C17</f>
        <v>0</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2948</v>
      </c>
      <c r="B60" s="2874" t="str">
        <f>估价对象房地状况!C18</f>
        <v>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2949</v>
      </c>
      <c r="B61" s="2874">
        <f>估价对象房地状况!C19</f>
        <v>0</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2950</v>
      </c>
      <c r="B62" s="2875" t="s">
        <v>2951</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2952</v>
      </c>
      <c r="B63" s="2874">
        <f>估价对象房地状况!C24</f>
        <v>0</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2953</v>
      </c>
      <c r="B64" s="2876" t="s">
        <v>2954</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2955</v>
      </c>
      <c r="B65" s="1724" t="str">
        <f>估价对象房地状况!C21</f>
        <v>较好</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2956</v>
      </c>
      <c r="B66" s="1724" t="str">
        <f>估价对象房地状况!C22</f>
        <v>七通</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2957</v>
      </c>
      <c r="B67" s="2880" t="str">
        <f>估价对象房地状况!C20</f>
        <v>一般</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2961</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2939</v>
      </c>
      <c r="B69" s="1808"/>
      <c r="C69" s="1808" t="s">
        <v>2941</v>
      </c>
      <c r="D69" s="1808" t="s">
        <v>2942</v>
      </c>
      <c r="E69" s="818" t="s">
        <v>2943</v>
      </c>
      <c r="F69" s="2871" t="s">
        <v>2959</v>
      </c>
      <c r="G69" s="1808" t="s">
        <v>754</v>
      </c>
      <c r="H69" s="2872" t="s">
        <v>2945</v>
      </c>
      <c r="I69" s="1808" t="s">
        <v>2946</v>
      </c>
      <c r="J69" s="602" t="s">
        <v>2594</v>
      </c>
      <c r="K69" s="602" t="s">
        <v>2595</v>
      </c>
      <c r="L69" s="602" t="s">
        <v>2596</v>
      </c>
      <c r="M69" s="602" t="s">
        <v>2597</v>
      </c>
      <c r="N69" s="602" t="s">
        <v>2598</v>
      </c>
      <c r="AA69" s="1370"/>
      <c r="AB69" s="1370"/>
      <c r="AC69" s="1370"/>
      <c r="AD69" s="1370"/>
      <c r="AE69" s="1370"/>
      <c r="AF69" s="1370"/>
      <c r="AG69" s="1370"/>
      <c r="AH69" s="1370"/>
      <c r="AI69" s="1370"/>
      <c r="AJ69" s="1370"/>
      <c r="AK69" s="1370"/>
    </row>
    <row r="70" spans="1:37" s="1369" customFormat="1" ht="51">
      <c r="A70" s="2870" t="s">
        <v>2962</v>
      </c>
      <c r="B70" s="2873">
        <f>估价对象房地状况!C15</f>
        <v>0</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2948</v>
      </c>
      <c r="B71" s="2874" t="str">
        <f>估价对象房地状况!C18</f>
        <v>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2949</v>
      </c>
      <c r="B72" s="2874">
        <f>估价对象房地状况!C19</f>
        <v>0</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2963</v>
      </c>
      <c r="B73" s="2874">
        <f>估价对象房地状况!C24</f>
        <v>0</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2955</v>
      </c>
      <c r="B74" s="1724" t="str">
        <f>估价对象房地状况!C21</f>
        <v>较好</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2956</v>
      </c>
      <c r="B75" s="1724" t="str">
        <f>估价对象房地状况!C22</f>
        <v>七通</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2953</v>
      </c>
      <c r="B76" s="2876" t="s">
        <v>2954</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2957</v>
      </c>
      <c r="B77" s="2873" t="str">
        <f>估价对象房地状况!C20</f>
        <v>一般</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2964</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2965</v>
      </c>
      <c r="B79" s="2867">
        <f>1+E81</f>
        <v>1</v>
      </c>
      <c r="C79" s="813"/>
      <c r="D79" s="813"/>
      <c r="E79" s="814"/>
      <c r="F79" s="2869"/>
      <c r="G79" s="6"/>
      <c r="H79" s="6"/>
      <c r="I79" s="6"/>
      <c r="J79" s="7"/>
      <c r="K79" s="7"/>
      <c r="L79" s="7"/>
      <c r="M79" s="7"/>
      <c r="N79" s="7"/>
      <c r="Z79" s="2720"/>
      <c r="AA79" s="2788"/>
      <c r="AG79" s="1371"/>
      <c r="AK79" s="2788"/>
    </row>
    <row r="80" spans="1:37" ht="24.75">
      <c r="A80" s="2870" t="s">
        <v>2939</v>
      </c>
      <c r="B80" s="1808"/>
      <c r="C80" s="1808" t="s">
        <v>2941</v>
      </c>
      <c r="D80" s="1808" t="s">
        <v>2942</v>
      </c>
      <c r="E80" s="818" t="s">
        <v>2943</v>
      </c>
      <c r="F80" s="2871" t="s">
        <v>2959</v>
      </c>
      <c r="G80" s="1808" t="s">
        <v>754</v>
      </c>
      <c r="H80" s="2872" t="s">
        <v>2945</v>
      </c>
      <c r="I80" s="1808" t="s">
        <v>2946</v>
      </c>
      <c r="J80" s="602" t="s">
        <v>2594</v>
      </c>
      <c r="K80" s="602" t="s">
        <v>2595</v>
      </c>
      <c r="L80" s="602" t="s">
        <v>2596</v>
      </c>
      <c r="M80" s="602" t="s">
        <v>2597</v>
      </c>
      <c r="N80" s="602" t="s">
        <v>2598</v>
      </c>
      <c r="Z80" s="2720"/>
      <c r="AA80" s="2788"/>
      <c r="AG80" s="1371"/>
      <c r="AK80" s="2788"/>
    </row>
    <row r="81" spans="1:37" ht="38.25">
      <c r="A81" s="2870" t="s">
        <v>2966</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2948</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2949</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2963</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2955</v>
      </c>
      <c r="B85" s="1724"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2956</v>
      </c>
      <c r="B86" s="1724"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2953</v>
      </c>
      <c r="B87" s="2876" t="s">
        <v>2967</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2968</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42" t="s">
        <v>2969</v>
      </c>
      <c r="B90" s="3342"/>
      <c r="C90" s="3342"/>
      <c r="D90" s="3342"/>
      <c r="E90" s="3342"/>
      <c r="F90" s="3342"/>
      <c r="G90" s="3342"/>
      <c r="H90" s="3342"/>
      <c r="I90" s="3342"/>
      <c r="J90" s="3342"/>
      <c r="K90" s="2884"/>
      <c r="L90" s="2884"/>
      <c r="M90" s="2884"/>
      <c r="N90" s="2884"/>
    </row>
    <row r="91" spans="1:37">
      <c r="A91" s="3344" t="s">
        <v>2970</v>
      </c>
      <c r="B91" s="3344" t="s">
        <v>2971</v>
      </c>
      <c r="C91" s="2838" t="s">
        <v>2972</v>
      </c>
      <c r="D91" s="2839"/>
      <c r="E91" s="2839"/>
      <c r="F91" s="2839"/>
      <c r="G91" s="2839"/>
      <c r="H91" s="2839"/>
      <c r="I91" s="2839"/>
      <c r="J91" s="2885"/>
      <c r="K91" s="2886"/>
      <c r="L91" s="2886"/>
      <c r="M91" s="2886"/>
      <c r="N91" s="2886"/>
    </row>
    <row r="92" spans="1:37">
      <c r="A92" s="3344"/>
      <c r="B92" s="3344"/>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345"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46"/>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46"/>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46"/>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46"/>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46"/>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46"/>
      <c r="B99" s="2887" t="s">
        <v>2853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47"/>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45" t="s">
        <v>2974</v>
      </c>
      <c r="B101" s="2891" t="s">
        <v>2975</v>
      </c>
      <c r="C101" s="2892">
        <f>$G$3</f>
        <v>3.06</v>
      </c>
      <c r="D101" s="2892">
        <f t="shared" ref="D101:N101" si="31">$G$3</f>
        <v>3.06</v>
      </c>
      <c r="E101" s="2892">
        <f t="shared" si="31"/>
        <v>3.06</v>
      </c>
      <c r="F101" s="2892">
        <f t="shared" si="31"/>
        <v>3.06</v>
      </c>
      <c r="G101" s="2892">
        <f t="shared" si="31"/>
        <v>3.06</v>
      </c>
      <c r="H101" s="2892">
        <f t="shared" si="31"/>
        <v>3.06</v>
      </c>
      <c r="I101" s="2892">
        <f t="shared" si="31"/>
        <v>3.06</v>
      </c>
      <c r="J101" s="2892">
        <f t="shared" si="31"/>
        <v>3.06</v>
      </c>
      <c r="K101" s="2892">
        <f t="shared" si="31"/>
        <v>3.06</v>
      </c>
      <c r="L101" s="2892">
        <f t="shared" si="31"/>
        <v>3.06</v>
      </c>
      <c r="M101" s="2892">
        <f t="shared" si="31"/>
        <v>3.06</v>
      </c>
      <c r="N101" s="2892">
        <f t="shared" si="31"/>
        <v>3.06</v>
      </c>
    </row>
    <row r="102" spans="1:14">
      <c r="A102" s="3346"/>
      <c r="B102" s="2887">
        <v>1</v>
      </c>
      <c r="C102" s="2888">
        <f>1.9362/C101</f>
        <v>0.63274509803921564</v>
      </c>
      <c r="D102" s="2888">
        <f>1.9362/D101</f>
        <v>0.63274509803921564</v>
      </c>
      <c r="E102" s="2888">
        <f>1.8629/E101</f>
        <v>0.60879084967320263</v>
      </c>
      <c r="F102" s="2888">
        <f>1.8629/F101</f>
        <v>0.60879084967320263</v>
      </c>
      <c r="G102" s="2888">
        <f>1.8629/G101</f>
        <v>0.60879084967320263</v>
      </c>
      <c r="H102" s="2888">
        <f>1.8629/H101</f>
        <v>0.60879084967320263</v>
      </c>
      <c r="I102" s="2888">
        <f>1.8629/I101</f>
        <v>0.60879084967320263</v>
      </c>
      <c r="J102" s="2888">
        <f>1.942/J101</f>
        <v>0.63464052287581696</v>
      </c>
      <c r="K102" s="2888">
        <f>1.942/K101</f>
        <v>0.63464052287581696</v>
      </c>
      <c r="L102" s="2888">
        <f>1.942/L101</f>
        <v>0.63464052287581696</v>
      </c>
      <c r="M102" s="2888">
        <f>1.942/M101</f>
        <v>0.63464052287581696</v>
      </c>
      <c r="N102" s="2888">
        <f>1.942/N101</f>
        <v>0.63464052287581696</v>
      </c>
    </row>
    <row r="103" spans="1:14">
      <c r="A103" s="3346"/>
      <c r="B103" s="2887">
        <v>2</v>
      </c>
      <c r="C103" s="2888">
        <f>1.4198/C101</f>
        <v>0.46398692810457515</v>
      </c>
      <c r="D103" s="2888">
        <f>1.4198/D101</f>
        <v>0.46398692810457515</v>
      </c>
      <c r="E103" s="2888">
        <f>1.3372/E101</f>
        <v>0.43699346405228756</v>
      </c>
      <c r="F103" s="2888">
        <f>1.3372/F101</f>
        <v>0.43699346405228756</v>
      </c>
      <c r="G103" s="2888">
        <f>1.3372/G101</f>
        <v>0.43699346405228756</v>
      </c>
      <c r="H103" s="2888">
        <f>1.3372/H101</f>
        <v>0.43699346405228756</v>
      </c>
      <c r="I103" s="2888">
        <f>1.3372/I101</f>
        <v>0.43699346405228756</v>
      </c>
      <c r="J103" s="2888">
        <f>1.2799/J101</f>
        <v>0.41826797385620917</v>
      </c>
      <c r="K103" s="2888">
        <f>1.2799/K101</f>
        <v>0.41826797385620917</v>
      </c>
      <c r="L103" s="2888">
        <f>1.2799/L101</f>
        <v>0.41826797385620917</v>
      </c>
      <c r="M103" s="2888">
        <f>1.2799/M101</f>
        <v>0.41826797385620917</v>
      </c>
      <c r="N103" s="2888">
        <f>1.2799/N101</f>
        <v>0.41826797385620917</v>
      </c>
    </row>
    <row r="104" spans="1:14">
      <c r="A104" s="3346"/>
      <c r="B104" s="2887">
        <v>3</v>
      </c>
      <c r="C104" s="2888">
        <f>1.1594/C101</f>
        <v>0.37888888888888889</v>
      </c>
      <c r="D104" s="2888">
        <f>1.1594/D101</f>
        <v>0.37888888888888889</v>
      </c>
      <c r="E104" s="2888">
        <f>1.0788/E101</f>
        <v>0.35254901960784313</v>
      </c>
      <c r="F104" s="2888">
        <f>1.0788/F101</f>
        <v>0.35254901960784313</v>
      </c>
      <c r="G104" s="2888">
        <f>1.0788/G101</f>
        <v>0.35254901960784313</v>
      </c>
      <c r="H104" s="2888">
        <f>1.0788/H101</f>
        <v>0.35254901960784313</v>
      </c>
      <c r="I104" s="2888">
        <f>1.0788/I101</f>
        <v>0.35254901960784313</v>
      </c>
      <c r="J104" s="2888">
        <f>1.0072/J101</f>
        <v>0.32915032679738565</v>
      </c>
      <c r="K104" s="2888">
        <f>1.0072/K101</f>
        <v>0.32915032679738565</v>
      </c>
      <c r="L104" s="2888">
        <f>1.0072/L101</f>
        <v>0.32915032679738565</v>
      </c>
      <c r="M104" s="2888">
        <f>1.0072/M101</f>
        <v>0.32915032679738565</v>
      </c>
      <c r="N104" s="2888">
        <f>1.0072/N101</f>
        <v>0.32915032679738565</v>
      </c>
    </row>
    <row r="105" spans="1:14">
      <c r="A105" s="3346"/>
      <c r="B105" s="2887">
        <v>4</v>
      </c>
      <c r="C105" s="2888">
        <f>0.9622/C101</f>
        <v>0.31444444444444447</v>
      </c>
      <c r="D105" s="2888">
        <f>0.9622/D101</f>
        <v>0.31444444444444447</v>
      </c>
      <c r="E105" s="2888">
        <f>0.8656/E101</f>
        <v>0.28287581699346404</v>
      </c>
      <c r="F105" s="2888">
        <f>0.8656/F101</f>
        <v>0.28287581699346404</v>
      </c>
      <c r="G105" s="2888">
        <f>0.8656/G101</f>
        <v>0.28287581699346404</v>
      </c>
      <c r="H105" s="2888">
        <f>0.8656/H101</f>
        <v>0.28287581699346404</v>
      </c>
      <c r="I105" s="2888">
        <f>0.8656/I101</f>
        <v>0.28287581699346404</v>
      </c>
      <c r="J105" s="2888">
        <f>0.7525/J101</f>
        <v>0.24591503267973855</v>
      </c>
      <c r="K105" s="2888">
        <f>0.7525/K101</f>
        <v>0.24591503267973855</v>
      </c>
      <c r="L105" s="2888">
        <f>0.7525/L101</f>
        <v>0.24591503267973855</v>
      </c>
      <c r="M105" s="2888">
        <f>0.7525/M101</f>
        <v>0.24591503267973855</v>
      </c>
      <c r="N105" s="2888">
        <f>0.7525/N101</f>
        <v>0.24591503267973855</v>
      </c>
    </row>
    <row r="106" spans="1:14">
      <c r="A106" s="3346"/>
      <c r="B106" s="2887">
        <v>5</v>
      </c>
      <c r="C106" s="2888">
        <f>0.8417/C101</f>
        <v>0.27506535947712418</v>
      </c>
      <c r="D106" s="2888">
        <f>0.8417/D101</f>
        <v>0.27506535947712418</v>
      </c>
      <c r="E106" s="2888">
        <f>0.7371/E101</f>
        <v>0.24088235294117646</v>
      </c>
      <c r="F106" s="2888">
        <f>0.7371/F101</f>
        <v>0.24088235294117646</v>
      </c>
      <c r="G106" s="2888">
        <f>0.7371/G101</f>
        <v>0.24088235294117646</v>
      </c>
      <c r="H106" s="2888">
        <f>0.7371/H101</f>
        <v>0.24088235294117646</v>
      </c>
      <c r="I106" s="2888">
        <f>0.7371/I101</f>
        <v>0.24088235294117646</v>
      </c>
      <c r="J106" s="2888">
        <f>0.5659/J101</f>
        <v>0.18493464052287581</v>
      </c>
      <c r="K106" s="2888">
        <f>0.5659/K101</f>
        <v>0.18493464052287581</v>
      </c>
      <c r="L106" s="2888">
        <f>0.5659/L101</f>
        <v>0.18493464052287581</v>
      </c>
      <c r="M106" s="2888">
        <f>0.5659/M101</f>
        <v>0.18493464052287581</v>
      </c>
      <c r="N106" s="2888">
        <f>0.5659/N101</f>
        <v>0.18493464052287581</v>
      </c>
    </row>
    <row r="107" spans="1:14">
      <c r="A107" s="3346"/>
      <c r="B107" s="2887">
        <v>6</v>
      </c>
      <c r="C107" s="2888">
        <f>0.7608/C101</f>
        <v>0.24862745098039216</v>
      </c>
      <c r="D107" s="2888">
        <f>0.7608/D101</f>
        <v>0.24862745098039216</v>
      </c>
      <c r="E107" s="2888">
        <f>0.6482/E101</f>
        <v>0.21183006535947713</v>
      </c>
      <c r="F107" s="2888">
        <f>0.6482/F101</f>
        <v>0.21183006535947713</v>
      </c>
      <c r="G107" s="2888">
        <f>0.6482/G101</f>
        <v>0.21183006535947713</v>
      </c>
      <c r="H107" s="2888">
        <f>0.6482/H101</f>
        <v>0.21183006535947713</v>
      </c>
      <c r="I107" s="2888">
        <f>0.6482/I101</f>
        <v>0.21183006535947713</v>
      </c>
      <c r="J107" s="2888">
        <f>0.4525/J101</f>
        <v>0.14787581699346405</v>
      </c>
      <c r="K107" s="2888">
        <f>0.4525/K101</f>
        <v>0.14787581699346405</v>
      </c>
      <c r="L107" s="2888">
        <f>0.4525/L101</f>
        <v>0.14787581699346405</v>
      </c>
      <c r="M107" s="2888">
        <f>0.4525/M101</f>
        <v>0.14787581699346405</v>
      </c>
      <c r="N107" s="2888">
        <f>0.4525/N101</f>
        <v>0.14787581699346405</v>
      </c>
    </row>
    <row r="108" spans="1:14">
      <c r="A108" s="3346"/>
      <c r="B108" s="3168"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47"/>
      <c r="B109" s="3169"/>
      <c r="C109" s="2890">
        <f>(-0.163*(C108^2)-0.59*C108+7617)*(10^(-4))/C101</f>
        <v>0.24892156862745099</v>
      </c>
      <c r="D109" s="2890">
        <f>(-0.163*(D108^2)-0.59*D108+7617)*(10^(-4))/D101</f>
        <v>0.24892156862745099</v>
      </c>
      <c r="E109" s="2890">
        <f>(-0.161*(E108^2)-7.509*E108+6533)*(10^(-4))/E101</f>
        <v>0.21349673202614378</v>
      </c>
      <c r="F109" s="2890">
        <f>(-0.161*(F108^2)-7.509*F108+6533)*(10^(-4))/F101</f>
        <v>0.21349673202614378</v>
      </c>
      <c r="G109" s="2890">
        <f>(-0.161*(G108^2)-7.509*G108+6533)*(10^(-4))/G101</f>
        <v>0.21349673202614378</v>
      </c>
      <c r="H109" s="2890">
        <f>(-0.161*(H108^2)-7.509*H108+6533)*(10^(-4))/H101</f>
        <v>0.21349673202614378</v>
      </c>
      <c r="I109" s="2890">
        <f>(-0.161*(I108^2)-7.509*I108+6533)*(10^(-4))/I101</f>
        <v>0.21349673202614378</v>
      </c>
      <c r="J109" s="2890">
        <f>(-0.214*(J108^2)-21.991*J108+4665)*(10^(-4))/J101</f>
        <v>0.15245098039215688</v>
      </c>
      <c r="K109" s="2890">
        <f>(-0.214*(K108^2)-21.991*K108+4665)*(10^(-4))/K101</f>
        <v>0.15245098039215688</v>
      </c>
      <c r="L109" s="2890">
        <f>(-0.214*(L108^2)-21.991*L108+4665)*(10^(-4))/L101</f>
        <v>0.15245098039215688</v>
      </c>
      <c r="M109" s="2890">
        <f>(-0.214*(M108^2)-21.991*M108+4665)*(10^(-4))/M101</f>
        <v>0.15245098039215688</v>
      </c>
      <c r="N109" s="2890">
        <f>(-0.214*(N108^2)-21.991*N108+4665)*(10^(-4))/N101</f>
        <v>0.15245098039215688</v>
      </c>
    </row>
    <row r="110" spans="1:14">
      <c r="A110" s="3343" t="s">
        <v>2977</v>
      </c>
      <c r="B110" s="3343"/>
      <c r="C110" s="3343"/>
      <c r="D110" s="3343"/>
      <c r="E110" s="3343"/>
      <c r="F110" s="3343"/>
      <c r="G110" s="3343"/>
      <c r="H110" s="3343"/>
      <c r="I110" s="3343"/>
      <c r="J110" s="3343"/>
      <c r="K110" s="2893"/>
      <c r="L110" s="2893"/>
      <c r="M110" s="2893"/>
      <c r="N110" s="2893"/>
    </row>
    <row r="112" spans="1:14" ht="13.5" thickBot="1"/>
    <row r="113" spans="1:13" ht="25.5" thickBot="1">
      <c r="A113" s="902" t="s">
        <v>2978</v>
      </c>
      <c r="B113" s="1286">
        <f>G3</f>
        <v>3.06</v>
      </c>
      <c r="C113" s="903" t="s">
        <v>2979</v>
      </c>
      <c r="D113" s="904">
        <f>SUMPRODUCT((A115:A118=F113)*(B114:M114=H113)*B115:M118)</f>
        <v>0</v>
      </c>
      <c r="E113" s="2724" t="s">
        <v>2810</v>
      </c>
      <c r="F113" s="2895">
        <f>E2</f>
        <v>0</v>
      </c>
      <c r="G113" s="2724" t="s">
        <v>2811</v>
      </c>
      <c r="H113" s="2895">
        <f>G2</f>
        <v>0</v>
      </c>
      <c r="I113" s="2724"/>
      <c r="J113" s="2896"/>
      <c r="K113" s="2896"/>
      <c r="L113" s="2896"/>
      <c r="M113" s="2896"/>
    </row>
    <row r="114" spans="1:13">
      <c r="A114" s="907"/>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8" t="s">
        <v>2875</v>
      </c>
      <c r="B115" s="909">
        <f>ROUND(0.9335-0.0094*B113,4)</f>
        <v>0.90469999999999995</v>
      </c>
      <c r="C115" s="909">
        <f>B115</f>
        <v>0.90469999999999995</v>
      </c>
      <c r="D115" s="909">
        <f>ROUND(0.8331-0.0109*B113,4)</f>
        <v>0.79969999999999997</v>
      </c>
      <c r="E115" s="909">
        <f>D115</f>
        <v>0.79969999999999997</v>
      </c>
      <c r="F115" s="909">
        <f>E115</f>
        <v>0.79969999999999997</v>
      </c>
      <c r="G115" s="909">
        <f>F115</f>
        <v>0.79969999999999997</v>
      </c>
      <c r="H115" s="909">
        <f>G115</f>
        <v>0.79969999999999997</v>
      </c>
      <c r="I115" s="909">
        <f>ROUND(0.689-0.0155*B113,4)</f>
        <v>0.64159999999999995</v>
      </c>
      <c r="J115" s="909">
        <f t="shared" ref="J115:M118" si="33">I115</f>
        <v>0.64159999999999995</v>
      </c>
      <c r="K115" s="909">
        <f t="shared" si="33"/>
        <v>0.64159999999999995</v>
      </c>
      <c r="L115" s="909">
        <f t="shared" si="33"/>
        <v>0.64159999999999995</v>
      </c>
      <c r="M115" s="910">
        <f t="shared" si="33"/>
        <v>0.64159999999999995</v>
      </c>
    </row>
    <row r="116" spans="1:13">
      <c r="A116" s="908" t="s">
        <v>2876</v>
      </c>
      <c r="B116" s="909">
        <f>ROUND(0.949-0.012*B113,4)</f>
        <v>0.9123</v>
      </c>
      <c r="C116" s="909">
        <f>B116</f>
        <v>0.9123</v>
      </c>
      <c r="D116" s="909">
        <f>ROUND(0.8567-0.013*B113,4)</f>
        <v>0.81689999999999996</v>
      </c>
      <c r="E116" s="909">
        <f t="shared" ref="E116:H117" si="34">D116</f>
        <v>0.81689999999999996</v>
      </c>
      <c r="F116" s="909">
        <f t="shared" si="34"/>
        <v>0.81689999999999996</v>
      </c>
      <c r="G116" s="909">
        <f t="shared" si="34"/>
        <v>0.81689999999999996</v>
      </c>
      <c r="H116" s="909">
        <f t="shared" si="34"/>
        <v>0.81689999999999996</v>
      </c>
      <c r="I116" s="909">
        <f>ROUND(0.7694-0.014*B113,4)</f>
        <v>0.72660000000000002</v>
      </c>
      <c r="J116" s="909">
        <f t="shared" si="33"/>
        <v>0.72660000000000002</v>
      </c>
      <c r="K116" s="909">
        <f t="shared" si="33"/>
        <v>0.72660000000000002</v>
      </c>
      <c r="L116" s="909">
        <f t="shared" si="33"/>
        <v>0.72660000000000002</v>
      </c>
      <c r="M116" s="910">
        <f t="shared" si="33"/>
        <v>0.72660000000000002</v>
      </c>
    </row>
    <row r="117" spans="1:13">
      <c r="A117" s="908" t="s">
        <v>2877</v>
      </c>
      <c r="B117" s="909">
        <f>ROUND(0.8808-0.006*B113,4)</f>
        <v>0.86240000000000006</v>
      </c>
      <c r="C117" s="909">
        <f>B117</f>
        <v>0.86240000000000006</v>
      </c>
      <c r="D117" s="909">
        <f>ROUND(0.8748-0.008*B113,4)</f>
        <v>0.85029999999999994</v>
      </c>
      <c r="E117" s="909">
        <f t="shared" si="34"/>
        <v>0.85029999999999994</v>
      </c>
      <c r="F117" s="909">
        <f t="shared" si="34"/>
        <v>0.85029999999999994</v>
      </c>
      <c r="G117" s="909">
        <f t="shared" si="34"/>
        <v>0.85029999999999994</v>
      </c>
      <c r="H117" s="909">
        <f t="shared" si="34"/>
        <v>0.85029999999999994</v>
      </c>
      <c r="I117" s="909">
        <f>ROUND(0.7412-0.0095*B113,4)</f>
        <v>0.71209999999999996</v>
      </c>
      <c r="J117" s="909">
        <f t="shared" si="33"/>
        <v>0.71209999999999996</v>
      </c>
      <c r="K117" s="909">
        <f t="shared" si="33"/>
        <v>0.71209999999999996</v>
      </c>
      <c r="L117" s="909">
        <f t="shared" si="33"/>
        <v>0.71209999999999996</v>
      </c>
      <c r="M117" s="910">
        <f t="shared" si="33"/>
        <v>0.71209999999999996</v>
      </c>
    </row>
    <row r="118" spans="1:13" ht="13.5" thickBot="1">
      <c r="A118" s="713" t="s">
        <v>2878</v>
      </c>
      <c r="B118" s="911">
        <f>ROUND(0.7275-0.01*B113,4)</f>
        <v>0.69689999999999996</v>
      </c>
      <c r="C118" s="911">
        <f>B118</f>
        <v>0.69689999999999996</v>
      </c>
      <c r="D118" s="911">
        <f>ROUND(0.7043-0.012*B113,4)</f>
        <v>0.66759999999999997</v>
      </c>
      <c r="E118" s="911">
        <f>D118</f>
        <v>0.66759999999999997</v>
      </c>
      <c r="F118" s="911">
        <f>E118</f>
        <v>0.66759999999999997</v>
      </c>
      <c r="G118" s="911">
        <f>ROUND(0.6299-0.0122*B113,4)</f>
        <v>0.59260000000000002</v>
      </c>
      <c r="H118" s="911">
        <f>G118</f>
        <v>0.59260000000000002</v>
      </c>
      <c r="I118" s="911">
        <f>ROUND(0.5667-0.0136*B113,4)</f>
        <v>0.52510000000000001</v>
      </c>
      <c r="J118" s="911">
        <f t="shared" si="33"/>
        <v>0.52510000000000001</v>
      </c>
      <c r="K118" s="911">
        <f t="shared" si="33"/>
        <v>0.52510000000000001</v>
      </c>
      <c r="L118" s="911">
        <f t="shared" si="33"/>
        <v>0.52510000000000001</v>
      </c>
      <c r="M118" s="912">
        <f t="shared" si="33"/>
        <v>0.52510000000000001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3050</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63" t="s">
        <v>183</v>
      </c>
      <c r="B18" s="881" t="s">
        <v>560</v>
      </c>
      <c r="C18" s="882" t="s">
        <v>561</v>
      </c>
      <c r="D18" s="883"/>
      <c r="E18" s="881">
        <v>1</v>
      </c>
      <c r="F18" s="884" t="s">
        <v>562</v>
      </c>
      <c r="G18" s="885"/>
      <c r="H18" s="877"/>
      <c r="I18" s="877"/>
    </row>
    <row r="19" spans="1:9" s="886" customFormat="1" ht="19.5" customHeight="1">
      <c r="A19" s="3363"/>
      <c r="B19" s="3363" t="s">
        <v>563</v>
      </c>
      <c r="C19" s="882" t="s">
        <v>564</v>
      </c>
      <c r="D19" s="883"/>
      <c r="E19" s="881">
        <v>0.9</v>
      </c>
      <c r="F19" s="884" t="s">
        <v>565</v>
      </c>
      <c r="G19" s="885"/>
      <c r="H19" s="877"/>
      <c r="I19" s="877"/>
    </row>
    <row r="20" spans="1:9" s="886" customFormat="1" ht="19.5" customHeight="1">
      <c r="A20" s="3363"/>
      <c r="B20" s="3363"/>
      <c r="C20" s="882" t="s">
        <v>566</v>
      </c>
      <c r="D20" s="883"/>
      <c r="E20" s="881">
        <v>1.1000000000000001</v>
      </c>
      <c r="F20" s="884" t="s">
        <v>567</v>
      </c>
      <c r="G20" s="885"/>
      <c r="H20" s="877"/>
      <c r="I20" s="877"/>
    </row>
    <row r="21" spans="1:9" s="886" customFormat="1" ht="19.5" customHeight="1">
      <c r="A21" s="3363"/>
      <c r="B21" s="3363"/>
      <c r="C21" s="882" t="s">
        <v>568</v>
      </c>
      <c r="D21" s="883"/>
      <c r="E21" s="881">
        <v>0.8</v>
      </c>
      <c r="F21" s="884" t="s">
        <v>569</v>
      </c>
      <c r="G21" s="885"/>
      <c r="H21" s="877"/>
      <c r="I21" s="877"/>
    </row>
    <row r="22" spans="1:9" s="886" customFormat="1" ht="19.5" customHeight="1">
      <c r="A22" s="3363"/>
      <c r="B22" s="3363"/>
      <c r="C22" s="882" t="s">
        <v>570</v>
      </c>
      <c r="D22" s="883"/>
      <c r="E22" s="881">
        <v>0.5</v>
      </c>
      <c r="F22" s="884"/>
      <c r="G22" s="885"/>
      <c r="H22" s="877"/>
      <c r="I22" s="877"/>
    </row>
    <row r="23" spans="1:9" s="886" customFormat="1" ht="19.5" customHeight="1">
      <c r="A23" s="3363" t="s">
        <v>184</v>
      </c>
      <c r="B23" s="881" t="s">
        <v>560</v>
      </c>
      <c r="C23" s="882" t="s">
        <v>571</v>
      </c>
      <c r="D23" s="883"/>
      <c r="E23" s="881">
        <v>1</v>
      </c>
      <c r="F23" s="884" t="s">
        <v>572</v>
      </c>
      <c r="G23" s="885"/>
      <c r="H23" s="877"/>
      <c r="I23" s="877"/>
    </row>
    <row r="24" spans="1:9" s="886" customFormat="1" ht="19.5" customHeight="1">
      <c r="A24" s="3363"/>
      <c r="B24" s="3363" t="s">
        <v>563</v>
      </c>
      <c r="C24" s="882" t="s">
        <v>573</v>
      </c>
      <c r="D24" s="883"/>
      <c r="E24" s="881">
        <v>0.5</v>
      </c>
      <c r="F24" s="884"/>
      <c r="G24" s="885"/>
      <c r="H24" s="877"/>
      <c r="I24" s="877"/>
    </row>
    <row r="25" spans="1:9" s="886" customFormat="1" ht="19.5" customHeight="1">
      <c r="A25" s="3363"/>
      <c r="B25" s="3363"/>
      <c r="C25" s="882" t="s">
        <v>574</v>
      </c>
      <c r="D25" s="883"/>
      <c r="E25" s="881">
        <v>1.1000000000000001</v>
      </c>
      <c r="F25" s="884"/>
      <c r="G25" s="885"/>
      <c r="H25" s="877"/>
      <c r="I25" s="877"/>
    </row>
    <row r="26" spans="1:9" s="886" customFormat="1" ht="19.5" customHeight="1">
      <c r="A26" s="3363"/>
      <c r="B26" s="3363"/>
      <c r="C26" s="882" t="s">
        <v>575</v>
      </c>
      <c r="D26" s="883"/>
      <c r="E26" s="881">
        <v>1.1000000000000001</v>
      </c>
      <c r="F26" s="884"/>
      <c r="G26" s="885"/>
      <c r="H26" s="877"/>
      <c r="I26" s="877"/>
    </row>
    <row r="27" spans="1:9" s="886" customFormat="1" ht="19.5" customHeight="1">
      <c r="A27" s="3363"/>
      <c r="B27" s="3363"/>
      <c r="C27" s="882" t="s">
        <v>576</v>
      </c>
      <c r="D27" s="883"/>
      <c r="E27" s="881">
        <v>0.9</v>
      </c>
      <c r="F27" s="884" t="s">
        <v>577</v>
      </c>
      <c r="G27" s="885"/>
      <c r="H27" s="877"/>
      <c r="I27" s="877"/>
    </row>
    <row r="28" spans="1:9" s="886" customFormat="1" ht="19.5" customHeight="1">
      <c r="A28" s="3363"/>
      <c r="B28" s="3363"/>
      <c r="C28" s="882" t="s">
        <v>578</v>
      </c>
      <c r="D28" s="883"/>
      <c r="E28" s="881">
        <v>0.9</v>
      </c>
      <c r="F28" s="884" t="s">
        <v>579</v>
      </c>
      <c r="G28" s="885"/>
      <c r="H28" s="877"/>
      <c r="I28" s="877"/>
    </row>
    <row r="29" spans="1:9" s="886" customFormat="1" ht="19.5" customHeight="1">
      <c r="A29" s="3363"/>
      <c r="B29" s="3363"/>
      <c r="C29" s="882" t="s">
        <v>580</v>
      </c>
      <c r="D29" s="883"/>
      <c r="E29" s="881">
        <v>0.9</v>
      </c>
      <c r="F29" s="884" t="s">
        <v>581</v>
      </c>
      <c r="G29" s="885"/>
      <c r="H29" s="877"/>
      <c r="I29" s="877"/>
    </row>
    <row r="30" spans="1:9" s="886" customFormat="1" ht="19.5" customHeight="1">
      <c r="A30" s="3363"/>
      <c r="B30" s="3363"/>
      <c r="C30" s="882" t="s">
        <v>582</v>
      </c>
      <c r="D30" s="883"/>
      <c r="E30" s="881">
        <v>0.9</v>
      </c>
      <c r="F30" s="884" t="s">
        <v>583</v>
      </c>
      <c r="G30" s="885"/>
      <c r="H30" s="877"/>
      <c r="I30" s="877"/>
    </row>
    <row r="31" spans="1:9" s="886" customFormat="1" ht="19.5" customHeight="1">
      <c r="A31" s="3363"/>
      <c r="B31" s="3363"/>
      <c r="C31" s="882" t="s">
        <v>584</v>
      </c>
      <c r="D31" s="883"/>
      <c r="E31" s="881">
        <v>0.8</v>
      </c>
      <c r="F31" s="884" t="s">
        <v>585</v>
      </c>
      <c r="G31" s="885"/>
      <c r="H31" s="877"/>
      <c r="I31" s="877"/>
    </row>
    <row r="32" spans="1:9" s="886" customFormat="1" ht="19.5" customHeight="1">
      <c r="A32" s="3363"/>
      <c r="B32" s="3363"/>
      <c r="C32" s="882" t="s">
        <v>586</v>
      </c>
      <c r="D32" s="883"/>
      <c r="E32" s="881">
        <v>0.8</v>
      </c>
      <c r="F32" s="884" t="s">
        <v>587</v>
      </c>
      <c r="G32" s="885"/>
      <c r="H32" s="877"/>
      <c r="I32" s="877"/>
    </row>
    <row r="33" spans="1:9" s="886" customFormat="1" ht="19.5" customHeight="1">
      <c r="A33" s="3363" t="s">
        <v>185</v>
      </c>
      <c r="B33" s="881" t="s">
        <v>560</v>
      </c>
      <c r="C33" s="882" t="s">
        <v>588</v>
      </c>
      <c r="D33" s="883"/>
      <c r="E33" s="881">
        <v>1</v>
      </c>
      <c r="F33" s="884" t="s">
        <v>589</v>
      </c>
      <c r="G33" s="885"/>
      <c r="H33" s="877"/>
      <c r="I33" s="877"/>
    </row>
    <row r="34" spans="1:9" s="886" customFormat="1" ht="19.5" customHeight="1">
      <c r="A34" s="3363"/>
      <c r="B34" s="881" t="s">
        <v>563</v>
      </c>
      <c r="C34" s="882" t="s">
        <v>590</v>
      </c>
      <c r="D34" s="883"/>
      <c r="E34" s="881">
        <v>1.5</v>
      </c>
      <c r="F34" s="884" t="s">
        <v>591</v>
      </c>
      <c r="G34" s="885"/>
      <c r="H34" s="877"/>
      <c r="I34" s="877"/>
    </row>
    <row r="35" spans="1:9" s="886" customFormat="1" ht="19.5" customHeight="1">
      <c r="A35" s="3363" t="s">
        <v>186</v>
      </c>
      <c r="B35" s="881" t="s">
        <v>560</v>
      </c>
      <c r="C35" s="882" t="s">
        <v>592</v>
      </c>
      <c r="D35" s="883"/>
      <c r="E35" s="881">
        <v>1</v>
      </c>
      <c r="F35" s="884" t="s">
        <v>593</v>
      </c>
      <c r="G35" s="885"/>
      <c r="H35" s="877"/>
      <c r="I35" s="877"/>
    </row>
    <row r="36" spans="1:9" s="886" customFormat="1" ht="19.5" customHeight="1">
      <c r="A36" s="3363"/>
      <c r="B36" s="3363" t="s">
        <v>563</v>
      </c>
      <c r="C36" s="882" t="s">
        <v>594</v>
      </c>
      <c r="D36" s="883"/>
      <c r="E36" s="881">
        <v>1</v>
      </c>
      <c r="F36" s="884" t="s">
        <v>595</v>
      </c>
      <c r="G36" s="885"/>
      <c r="H36" s="877"/>
      <c r="I36" s="877"/>
    </row>
    <row r="37" spans="1:9" s="886" customFormat="1" ht="19.5" customHeight="1">
      <c r="A37" s="3363"/>
      <c r="B37" s="3363"/>
      <c r="C37" s="882" t="s">
        <v>596</v>
      </c>
      <c r="D37" s="883"/>
      <c r="E37" s="881">
        <v>1.5</v>
      </c>
      <c r="F37" s="884" t="s">
        <v>597</v>
      </c>
      <c r="G37" s="885"/>
      <c r="H37" s="877"/>
      <c r="I37" s="877"/>
    </row>
    <row r="38" spans="1:9" s="886" customFormat="1" ht="19.5" customHeight="1">
      <c r="A38" s="3363"/>
      <c r="B38" s="3363"/>
      <c r="C38" s="882" t="s">
        <v>598</v>
      </c>
      <c r="D38" s="883"/>
      <c r="E38" s="881">
        <v>1</v>
      </c>
      <c r="F38" s="884" t="s">
        <v>599</v>
      </c>
      <c r="G38" s="885"/>
      <c r="H38" s="877"/>
      <c r="I38" s="877"/>
    </row>
    <row r="39" spans="1:9" s="886" customFormat="1" ht="19.5" customHeight="1">
      <c r="A39" s="3363"/>
      <c r="B39" s="336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63" t="s">
        <v>614</v>
      </c>
      <c r="C61" s="817" t="s">
        <v>615</v>
      </c>
      <c r="D61" s="817" t="s">
        <v>616</v>
      </c>
      <c r="E61" s="894">
        <v>0.5</v>
      </c>
      <c r="F61" s="881">
        <v>80</v>
      </c>
    </row>
    <row r="62" spans="1:8" s="877" customFormat="1" ht="24">
      <c r="A62" s="881">
        <v>2</v>
      </c>
      <c r="B62" s="3363"/>
      <c r="C62" s="817" t="s">
        <v>617</v>
      </c>
      <c r="D62" s="817" t="s">
        <v>618</v>
      </c>
      <c r="E62" s="894">
        <v>0.5</v>
      </c>
      <c r="F62" s="881">
        <v>80</v>
      </c>
    </row>
    <row r="63" spans="1:8" s="877" customFormat="1" ht="36">
      <c r="A63" s="881">
        <v>3</v>
      </c>
      <c r="B63" s="3363"/>
      <c r="C63" s="817" t="s">
        <v>619</v>
      </c>
      <c r="D63" s="817" t="s">
        <v>620</v>
      </c>
      <c r="E63" s="894">
        <v>0.5</v>
      </c>
      <c r="F63" s="881">
        <v>80</v>
      </c>
    </row>
    <row r="64" spans="1:8" s="877" customFormat="1" ht="36">
      <c r="A64" s="881">
        <v>4</v>
      </c>
      <c r="B64" s="3363"/>
      <c r="C64" s="817" t="s">
        <v>621</v>
      </c>
      <c r="D64" s="817" t="s">
        <v>622</v>
      </c>
      <c r="E64" s="894">
        <v>0.4</v>
      </c>
      <c r="F64" s="881">
        <v>60</v>
      </c>
    </row>
    <row r="65" spans="1:6" s="877" customFormat="1" ht="36">
      <c r="A65" s="881">
        <v>5</v>
      </c>
      <c r="B65" s="3363"/>
      <c r="C65" s="817" t="s">
        <v>623</v>
      </c>
      <c r="D65" s="817" t="s">
        <v>624</v>
      </c>
      <c r="E65" s="894">
        <v>0.2</v>
      </c>
      <c r="F65" s="881">
        <v>30</v>
      </c>
    </row>
    <row r="66" spans="1:6" s="877" customFormat="1" ht="36">
      <c r="A66" s="881">
        <v>6</v>
      </c>
      <c r="B66" s="3363"/>
      <c r="C66" s="817" t="s">
        <v>625</v>
      </c>
      <c r="D66" s="817" t="s">
        <v>626</v>
      </c>
      <c r="E66" s="894">
        <v>0.3</v>
      </c>
      <c r="F66" s="881">
        <v>50</v>
      </c>
    </row>
    <row r="67" spans="1:6" s="877" customFormat="1" ht="36">
      <c r="A67" s="881">
        <v>7</v>
      </c>
      <c r="B67" s="3363"/>
      <c r="C67" s="817" t="s">
        <v>627</v>
      </c>
      <c r="D67" s="817" t="s">
        <v>628</v>
      </c>
      <c r="E67" s="894">
        <v>0.2</v>
      </c>
      <c r="F67" s="881">
        <v>30</v>
      </c>
    </row>
    <row r="68" spans="1:6" s="877" customFormat="1" ht="36">
      <c r="A68" s="881">
        <v>8</v>
      </c>
      <c r="B68" s="3363"/>
      <c r="C68" s="817" t="s">
        <v>629</v>
      </c>
      <c r="D68" s="817" t="s">
        <v>630</v>
      </c>
      <c r="E68" s="894">
        <v>0.2</v>
      </c>
      <c r="F68" s="881">
        <v>30</v>
      </c>
    </row>
    <row r="69" spans="1:6" s="877" customFormat="1" ht="36">
      <c r="A69" s="881">
        <v>9</v>
      </c>
      <c r="B69" s="3363"/>
      <c r="C69" s="817" t="s">
        <v>631</v>
      </c>
      <c r="D69" s="817" t="s">
        <v>632</v>
      </c>
      <c r="E69" s="894">
        <v>0.2</v>
      </c>
      <c r="F69" s="881">
        <v>30</v>
      </c>
    </row>
    <row r="70" spans="1:6" s="877" customFormat="1" ht="48">
      <c r="A70" s="881">
        <v>10</v>
      </c>
      <c r="B70" s="3363"/>
      <c r="C70" s="817" t="s">
        <v>633</v>
      </c>
      <c r="D70" s="817" t="s">
        <v>634</v>
      </c>
      <c r="E70" s="894">
        <v>0.2</v>
      </c>
      <c r="F70" s="881">
        <v>30</v>
      </c>
    </row>
    <row r="71" spans="1:6" s="877" customFormat="1" ht="48">
      <c r="A71" s="881">
        <v>11</v>
      </c>
      <c r="B71" s="3363"/>
      <c r="C71" s="817" t="s">
        <v>635</v>
      </c>
      <c r="D71" s="817" t="s">
        <v>636</v>
      </c>
      <c r="E71" s="894">
        <v>0.2</v>
      </c>
      <c r="F71" s="881">
        <v>30</v>
      </c>
    </row>
    <row r="72" spans="1:6" s="877" customFormat="1" ht="36">
      <c r="A72" s="881">
        <v>12</v>
      </c>
      <c r="B72" s="3363"/>
      <c r="C72" s="817" t="s">
        <v>637</v>
      </c>
      <c r="D72" s="817" t="s">
        <v>638</v>
      </c>
      <c r="E72" s="894">
        <v>0.5</v>
      </c>
      <c r="F72" s="881">
        <v>80</v>
      </c>
    </row>
    <row r="73" spans="1:6" s="877" customFormat="1" ht="24">
      <c r="A73" s="881">
        <v>13</v>
      </c>
      <c r="B73" s="3363"/>
      <c r="C73" s="817" t="s">
        <v>639</v>
      </c>
      <c r="D73" s="817" t="s">
        <v>640</v>
      </c>
      <c r="E73" s="894">
        <v>0.4</v>
      </c>
      <c r="F73" s="881">
        <v>60</v>
      </c>
    </row>
    <row r="74" spans="1:6" s="877" customFormat="1" ht="24">
      <c r="A74" s="881">
        <v>14</v>
      </c>
      <c r="B74" s="3363"/>
      <c r="C74" s="817" t="s">
        <v>641</v>
      </c>
      <c r="D74" s="817" t="s">
        <v>642</v>
      </c>
      <c r="E74" s="894">
        <v>0.2</v>
      </c>
      <c r="F74" s="881">
        <v>30</v>
      </c>
    </row>
    <row r="75" spans="1:6" s="877" customFormat="1" ht="24">
      <c r="A75" s="881">
        <v>15</v>
      </c>
      <c r="B75" s="3363"/>
      <c r="C75" s="817" t="s">
        <v>643</v>
      </c>
      <c r="D75" s="817" t="s">
        <v>644</v>
      </c>
      <c r="E75" s="894">
        <v>0.2</v>
      </c>
      <c r="F75" s="881">
        <v>30</v>
      </c>
    </row>
    <row r="76" spans="1:6" s="877" customFormat="1" ht="24">
      <c r="A76" s="881">
        <v>16</v>
      </c>
      <c r="B76" s="3363" t="s">
        <v>645</v>
      </c>
      <c r="C76" s="817" t="s">
        <v>646</v>
      </c>
      <c r="D76" s="817" t="s">
        <v>647</v>
      </c>
      <c r="E76" s="894">
        <v>0.5</v>
      </c>
      <c r="F76" s="881">
        <v>80</v>
      </c>
    </row>
    <row r="77" spans="1:6" s="877" customFormat="1" ht="24">
      <c r="A77" s="881">
        <v>17</v>
      </c>
      <c r="B77" s="3363"/>
      <c r="C77" s="817" t="s">
        <v>648</v>
      </c>
      <c r="D77" s="817" t="s">
        <v>649</v>
      </c>
      <c r="E77" s="894">
        <v>0.5</v>
      </c>
      <c r="F77" s="881">
        <v>80</v>
      </c>
    </row>
    <row r="78" spans="1:6" s="877" customFormat="1" ht="24">
      <c r="A78" s="881">
        <v>18</v>
      </c>
      <c r="B78" s="3363"/>
      <c r="C78" s="817" t="s">
        <v>650</v>
      </c>
      <c r="D78" s="817" t="s">
        <v>651</v>
      </c>
      <c r="E78" s="894">
        <v>0.2</v>
      </c>
      <c r="F78" s="881">
        <v>30</v>
      </c>
    </row>
    <row r="79" spans="1:6" s="877" customFormat="1" ht="24">
      <c r="A79" s="881">
        <v>19</v>
      </c>
      <c r="B79" s="3363"/>
      <c r="C79" s="817" t="s">
        <v>652</v>
      </c>
      <c r="D79" s="817" t="s">
        <v>653</v>
      </c>
      <c r="E79" s="894">
        <v>0.5</v>
      </c>
      <c r="F79" s="881">
        <v>80</v>
      </c>
    </row>
    <row r="80" spans="1:6" s="877" customFormat="1" ht="36">
      <c r="A80" s="881">
        <v>20</v>
      </c>
      <c r="B80" s="3363"/>
      <c r="C80" s="817" t="s">
        <v>654</v>
      </c>
      <c r="D80" s="817" t="s">
        <v>655</v>
      </c>
      <c r="E80" s="894">
        <v>0.2</v>
      </c>
      <c r="F80" s="881">
        <v>30</v>
      </c>
    </row>
    <row r="81" spans="1:6" s="877" customFormat="1" ht="36">
      <c r="A81" s="881">
        <v>21</v>
      </c>
      <c r="B81" s="3363"/>
      <c r="C81" s="817" t="s">
        <v>656</v>
      </c>
      <c r="D81" s="817" t="s">
        <v>657</v>
      </c>
      <c r="E81" s="894">
        <v>0.2</v>
      </c>
      <c r="F81" s="881">
        <v>30</v>
      </c>
    </row>
    <row r="82" spans="1:6" s="877" customFormat="1" ht="48">
      <c r="A82" s="881">
        <v>22</v>
      </c>
      <c r="B82" s="3363"/>
      <c r="C82" s="817" t="s">
        <v>658</v>
      </c>
      <c r="D82" s="817" t="s">
        <v>659</v>
      </c>
      <c r="E82" s="894">
        <v>0.2</v>
      </c>
      <c r="F82" s="881">
        <v>30</v>
      </c>
    </row>
    <row r="83" spans="1:6" s="877" customFormat="1" ht="48">
      <c r="A83" s="881">
        <v>23</v>
      </c>
      <c r="B83" s="3363"/>
      <c r="C83" s="817" t="s">
        <v>660</v>
      </c>
      <c r="D83" s="817" t="s">
        <v>661</v>
      </c>
      <c r="E83" s="894">
        <v>0.2</v>
      </c>
      <c r="F83" s="881">
        <v>30</v>
      </c>
    </row>
    <row r="84" spans="1:6" s="877" customFormat="1" ht="36">
      <c r="A84" s="881">
        <v>24</v>
      </c>
      <c r="B84" s="3363"/>
      <c r="C84" s="817" t="s">
        <v>662</v>
      </c>
      <c r="D84" s="817" t="s">
        <v>663</v>
      </c>
      <c r="E84" s="894">
        <v>0.2</v>
      </c>
      <c r="F84" s="881">
        <v>30</v>
      </c>
    </row>
    <row r="85" spans="1:6" s="877" customFormat="1" ht="36">
      <c r="A85" s="881">
        <v>25</v>
      </c>
      <c r="B85" s="3363"/>
      <c r="C85" s="817" t="s">
        <v>664</v>
      </c>
      <c r="D85" s="817" t="s">
        <v>665</v>
      </c>
      <c r="E85" s="894">
        <v>0.5</v>
      </c>
      <c r="F85" s="881">
        <v>80</v>
      </c>
    </row>
    <row r="86" spans="1:6" s="877" customFormat="1" ht="36">
      <c r="A86" s="881">
        <v>26</v>
      </c>
      <c r="B86" s="3363"/>
      <c r="C86" s="817" t="s">
        <v>666</v>
      </c>
      <c r="D86" s="817" t="s">
        <v>667</v>
      </c>
      <c r="E86" s="894">
        <v>0.2</v>
      </c>
      <c r="F86" s="881">
        <v>30</v>
      </c>
    </row>
    <row r="87" spans="1:6" s="877" customFormat="1" ht="36">
      <c r="A87" s="881">
        <v>27</v>
      </c>
      <c r="B87" s="3363"/>
      <c r="C87" s="817" t="s">
        <v>668</v>
      </c>
      <c r="D87" s="817" t="s">
        <v>669</v>
      </c>
      <c r="E87" s="894">
        <v>0.2</v>
      </c>
      <c r="F87" s="881">
        <v>30</v>
      </c>
    </row>
    <row r="88" spans="1:6" s="877" customFormat="1" ht="36">
      <c r="A88" s="881">
        <v>28</v>
      </c>
      <c r="B88" s="3363"/>
      <c r="C88" s="817" t="s">
        <v>670</v>
      </c>
      <c r="D88" s="817" t="s">
        <v>671</v>
      </c>
      <c r="E88" s="894">
        <v>0.2</v>
      </c>
      <c r="F88" s="881">
        <v>30</v>
      </c>
    </row>
    <row r="89" spans="1:6" s="877" customFormat="1" ht="24">
      <c r="A89" s="881">
        <v>29</v>
      </c>
      <c r="B89" s="3363"/>
      <c r="C89" s="817" t="s">
        <v>672</v>
      </c>
      <c r="D89" s="817" t="s">
        <v>673</v>
      </c>
      <c r="E89" s="894">
        <v>0.2</v>
      </c>
      <c r="F89" s="881">
        <v>30</v>
      </c>
    </row>
    <row r="90" spans="1:6" s="877" customFormat="1" ht="24">
      <c r="A90" s="881">
        <v>30</v>
      </c>
      <c r="B90" s="3363"/>
      <c r="C90" s="817" t="s">
        <v>674</v>
      </c>
      <c r="D90" s="817" t="s">
        <v>675</v>
      </c>
      <c r="E90" s="894">
        <v>0.2</v>
      </c>
      <c r="F90" s="881">
        <v>30</v>
      </c>
    </row>
    <row r="91" spans="1:6" s="877" customFormat="1" ht="36">
      <c r="A91" s="881">
        <v>31</v>
      </c>
      <c r="B91" s="3363"/>
      <c r="C91" s="817" t="s">
        <v>676</v>
      </c>
      <c r="D91" s="817" t="s">
        <v>677</v>
      </c>
      <c r="E91" s="894">
        <v>0.2</v>
      </c>
      <c r="F91" s="881">
        <v>30</v>
      </c>
    </row>
    <row r="92" spans="1:6" s="877" customFormat="1" ht="24">
      <c r="A92" s="881">
        <v>32</v>
      </c>
      <c r="B92" s="3363" t="s">
        <v>678</v>
      </c>
      <c r="C92" s="881" t="s">
        <v>679</v>
      </c>
      <c r="D92" s="817" t="s">
        <v>680</v>
      </c>
      <c r="E92" s="894">
        <v>0.2</v>
      </c>
      <c r="F92" s="881">
        <v>30</v>
      </c>
    </row>
    <row r="93" spans="1:6" s="877" customFormat="1" ht="36">
      <c r="A93" s="881">
        <v>33</v>
      </c>
      <c r="B93" s="3363"/>
      <c r="C93" s="881" t="s">
        <v>681</v>
      </c>
      <c r="D93" s="817" t="s">
        <v>682</v>
      </c>
      <c r="E93" s="894">
        <v>0.2</v>
      </c>
      <c r="F93" s="881">
        <v>30</v>
      </c>
    </row>
    <row r="94" spans="1:6" s="877" customFormat="1" ht="48">
      <c r="A94" s="881">
        <v>34</v>
      </c>
      <c r="B94" s="3363"/>
      <c r="C94" s="881" t="s">
        <v>683</v>
      </c>
      <c r="D94" s="817" t="s">
        <v>684</v>
      </c>
      <c r="E94" s="894">
        <v>0.2</v>
      </c>
      <c r="F94" s="881">
        <v>30</v>
      </c>
    </row>
    <row r="95" spans="1:6" s="877" customFormat="1" ht="36">
      <c r="A95" s="881">
        <v>35</v>
      </c>
      <c r="B95" s="3363"/>
      <c r="C95" s="881" t="s">
        <v>685</v>
      </c>
      <c r="D95" s="817" t="s">
        <v>686</v>
      </c>
      <c r="E95" s="894">
        <v>0.2</v>
      </c>
      <c r="F95" s="881">
        <v>30</v>
      </c>
    </row>
    <row r="96" spans="1:6" s="877" customFormat="1" ht="48">
      <c r="A96" s="881">
        <v>36</v>
      </c>
      <c r="B96" s="3363"/>
      <c r="C96" s="817" t="s">
        <v>687</v>
      </c>
      <c r="D96" s="817" t="s">
        <v>688</v>
      </c>
      <c r="E96" s="894">
        <v>0.2</v>
      </c>
      <c r="F96" s="881">
        <v>30</v>
      </c>
    </row>
    <row r="97" spans="1:6" s="877" customFormat="1" ht="36">
      <c r="A97" s="881">
        <v>37</v>
      </c>
      <c r="B97" s="3363"/>
      <c r="C97" s="881" t="s">
        <v>689</v>
      </c>
      <c r="D97" s="817" t="s">
        <v>690</v>
      </c>
      <c r="E97" s="894">
        <v>0.2</v>
      </c>
      <c r="F97" s="881">
        <v>30</v>
      </c>
    </row>
    <row r="98" spans="1:6" s="877" customFormat="1" ht="36">
      <c r="A98" s="881">
        <v>38</v>
      </c>
      <c r="B98" s="3363"/>
      <c r="C98" s="881" t="s">
        <v>691</v>
      </c>
      <c r="D98" s="817" t="s">
        <v>692</v>
      </c>
      <c r="E98" s="894">
        <v>0.2</v>
      </c>
      <c r="F98" s="881">
        <v>30</v>
      </c>
    </row>
    <row r="99" spans="1:6" s="877" customFormat="1" ht="36">
      <c r="A99" s="881">
        <v>39</v>
      </c>
      <c r="B99" s="3363" t="s">
        <v>693</v>
      </c>
      <c r="C99" s="881" t="s">
        <v>694</v>
      </c>
      <c r="D99" s="817" t="s">
        <v>695</v>
      </c>
      <c r="E99" s="894">
        <v>0.3</v>
      </c>
      <c r="F99" s="881">
        <v>50</v>
      </c>
    </row>
    <row r="100" spans="1:6" s="877" customFormat="1" ht="24">
      <c r="A100" s="881">
        <v>40</v>
      </c>
      <c r="B100" s="3363"/>
      <c r="C100" s="881" t="s">
        <v>696</v>
      </c>
      <c r="D100" s="817" t="s">
        <v>697</v>
      </c>
      <c r="E100" s="894">
        <v>0.2</v>
      </c>
      <c r="F100" s="881">
        <v>30</v>
      </c>
    </row>
    <row r="101" spans="1:6" s="877" customFormat="1" ht="36">
      <c r="A101" s="881">
        <v>41</v>
      </c>
      <c r="B101" s="336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63" t="s">
        <v>708</v>
      </c>
      <c r="C105" s="881" t="s">
        <v>709</v>
      </c>
      <c r="D105" s="817" t="s">
        <v>710</v>
      </c>
      <c r="E105" s="894">
        <v>0.2</v>
      </c>
      <c r="F105" s="881">
        <v>30</v>
      </c>
    </row>
    <row r="106" spans="1:6" s="877" customFormat="1" ht="36">
      <c r="A106" s="881">
        <v>46</v>
      </c>
      <c r="B106" s="3363"/>
      <c r="C106" s="881" t="s">
        <v>711</v>
      </c>
      <c r="D106" s="817" t="s">
        <v>712</v>
      </c>
      <c r="E106" s="894">
        <v>0.2</v>
      </c>
      <c r="F106" s="881">
        <v>30</v>
      </c>
    </row>
    <row r="107" spans="1:6" s="877" customFormat="1" ht="36">
      <c r="A107" s="881">
        <v>47</v>
      </c>
      <c r="B107" s="3363" t="s">
        <v>713</v>
      </c>
      <c r="C107" s="881" t="s">
        <v>714</v>
      </c>
      <c r="D107" s="817" t="s">
        <v>715</v>
      </c>
      <c r="E107" s="894">
        <v>0.3</v>
      </c>
      <c r="F107" s="881">
        <v>50</v>
      </c>
    </row>
    <row r="108" spans="1:6" s="877" customFormat="1" ht="36">
      <c r="A108" s="881">
        <v>48</v>
      </c>
      <c r="B108" s="336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63" t="s">
        <v>724</v>
      </c>
      <c r="C111" s="881" t="s">
        <v>725</v>
      </c>
      <c r="D111" s="817" t="s">
        <v>726</v>
      </c>
      <c r="E111" s="894">
        <v>0.2</v>
      </c>
      <c r="F111" s="881">
        <v>30</v>
      </c>
    </row>
    <row r="112" spans="1:6" s="877" customFormat="1" ht="24">
      <c r="A112" s="881">
        <v>52</v>
      </c>
      <c r="B112" s="3363"/>
      <c r="C112" s="881" t="s">
        <v>727</v>
      </c>
      <c r="D112" s="817" t="s">
        <v>728</v>
      </c>
      <c r="E112" s="894">
        <v>0.2</v>
      </c>
      <c r="F112" s="881">
        <v>30</v>
      </c>
    </row>
    <row r="113" spans="1:6" s="877" customFormat="1" ht="24">
      <c r="A113" s="881">
        <v>53</v>
      </c>
      <c r="B113" s="336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63" t="s">
        <v>737</v>
      </c>
      <c r="C116" s="881" t="s">
        <v>738</v>
      </c>
      <c r="D116" s="817" t="s">
        <v>739</v>
      </c>
      <c r="E116" s="894">
        <v>0.2</v>
      </c>
      <c r="F116" s="881">
        <v>30</v>
      </c>
    </row>
    <row r="117" spans="1:6" ht="36">
      <c r="A117" s="881">
        <v>57</v>
      </c>
      <c r="B117" s="336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3000</v>
      </c>
    </row>
    <row r="2" spans="1:5" ht="15.75">
      <c r="A2" s="2902" t="s">
        <v>2992</v>
      </c>
      <c r="B2" s="2903" t="e">
        <f ca="1">SUMIF(B6:B13,"&lt;&gt;#ref!",B6:B13)</f>
        <v>#DIV/0!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t="e">
        <f ca="1">SUMIF(INDIRECT("'"&amp;A6&amp;"'"&amp;"!A:A"),"总价",INDIRECT("'"&amp;A6&amp;"'"&amp;"!B:B"))</f>
        <v>#DIV/0!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3"/>
      <c r="C2" s="3053"/>
      <c r="D2" s="3053"/>
      <c r="E2" s="3053"/>
    </row>
    <row r="3" spans="1:5" ht="18">
      <c r="A3" s="3054" t="str">
        <f>IF(项目基本情况!B9="房地产市场价值","估价结果一览表（市场价值不需“结果表-1”）","估价结果一览表")</f>
        <v>估价结果一览表</v>
      </c>
      <c r="B3" s="3054"/>
      <c r="C3" s="3054"/>
      <c r="D3" s="3054"/>
      <c r="E3" s="3054"/>
    </row>
    <row r="4" spans="1:5" ht="19.5" thickBot="1">
      <c r="A4" s="1960"/>
      <c r="B4" s="3052" t="s">
        <v>1626</v>
      </c>
      <c r="C4" s="3052"/>
      <c r="D4" s="3052"/>
      <c r="E4" s="1960"/>
    </row>
    <row r="5" spans="1:5" ht="16.5" thickTop="1">
      <c r="A5" s="1958"/>
      <c r="B5" s="3050" t="s">
        <v>1618</v>
      </c>
      <c r="C5" s="1961" t="s">
        <v>1619</v>
      </c>
      <c r="D5" s="1039">
        <f ca="1">结果表!H101</f>
        <v>88172</v>
      </c>
      <c r="E5" s="1958"/>
    </row>
    <row r="6" spans="1:5" ht="15.75">
      <c r="A6" s="1958"/>
      <c r="B6" s="3050"/>
      <c r="C6" s="1961" t="s">
        <v>1620</v>
      </c>
      <c r="D6" s="1039" t="str">
        <f ca="1">NUMBERSTRING(INT(D5*10000),2)&amp;"元整"</f>
        <v>捌亿捌仟壹佰柒拾贰万元整</v>
      </c>
      <c r="E6" s="1958"/>
    </row>
    <row r="7" spans="1:5" ht="15.75">
      <c r="A7" s="1958"/>
      <c r="B7" s="3055"/>
      <c r="C7" s="1962" t="s">
        <v>1621</v>
      </c>
      <c r="D7" s="1040">
        <f ca="1">结果表!H102</f>
        <v>28277</v>
      </c>
      <c r="E7" s="1958"/>
    </row>
    <row r="8" spans="1:5" ht="15.75">
      <c r="A8" s="1958"/>
      <c r="B8" s="3056" t="str">
        <f>结果表!E103</f>
        <v>2.估价师知悉的法定优先受偿款</v>
      </c>
      <c r="C8" s="1963" t="s">
        <v>1622</v>
      </c>
      <c r="D8" s="1040">
        <f>结果表!H103</f>
        <v>0</v>
      </c>
      <c r="E8" s="1958"/>
    </row>
    <row r="9" spans="1:5" ht="15.75">
      <c r="A9" s="1958"/>
      <c r="B9" s="3058"/>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3049" t="str">
        <f>结果表!E107</f>
        <v>3.房地产抵押价值</v>
      </c>
      <c r="C13" s="1966" t="s">
        <v>1619</v>
      </c>
      <c r="D13" s="1042">
        <f ca="1">结果表!H107</f>
        <v>88172</v>
      </c>
      <c r="E13" s="1958"/>
    </row>
    <row r="14" spans="1:5" ht="15.75">
      <c r="A14" s="1958"/>
      <c r="B14" s="3050"/>
      <c r="C14" s="1961" t="s">
        <v>1620</v>
      </c>
      <c r="D14" s="1039" t="str">
        <f ca="1">NUMBERSTRING(INT(D13*10000),2)&amp;"元整"</f>
        <v>捌亿捌仟壹佰柒拾贰万元整</v>
      </c>
      <c r="E14" s="1958"/>
    </row>
    <row r="15" spans="1:5" ht="15">
      <c r="A15" s="1958"/>
      <c r="B15" s="3055"/>
      <c r="C15" s="1962" t="s">
        <v>1630</v>
      </c>
      <c r="D15" s="1051">
        <f ca="1">结果表!H108</f>
        <v>25380</v>
      </c>
      <c r="E15" s="1958"/>
    </row>
    <row r="16" spans="1:5" ht="15">
      <c r="A16" s="1958"/>
      <c r="B16" s="3056" t="str">
        <f>结果表!E109</f>
        <v>——</v>
      </c>
      <c r="C16" s="1966" t="s">
        <v>1631</v>
      </c>
      <c r="D16" s="1967" t="str">
        <f>结果表!H109</f>
        <v>——</v>
      </c>
      <c r="E16" s="1958"/>
    </row>
    <row r="17" spans="1:5" ht="15.75">
      <c r="A17" s="1958"/>
      <c r="B17" s="3057"/>
      <c r="C17" s="1961" t="s">
        <v>1632</v>
      </c>
      <c r="D17" s="1039" t="e">
        <f>NUMBERSTRING(INT(D16*10000),2)&amp;"元整"</f>
        <v>#VALUE!</v>
      </c>
      <c r="E17" s="1958"/>
    </row>
    <row r="18" spans="1:5" ht="15">
      <c r="A18" s="1958"/>
      <c r="B18" s="3058"/>
      <c r="C18" s="1962" t="s">
        <v>1621</v>
      </c>
      <c r="D18" s="1051" t="str">
        <f>结果表!H110</f>
        <v>——</v>
      </c>
      <c r="E18" s="1958"/>
    </row>
    <row r="19" spans="1:5" ht="15.75">
      <c r="A19" s="1958"/>
      <c r="B19" s="3049" t="str">
        <f>结果表!E111</f>
        <v>4.抵押净值</v>
      </c>
      <c r="C19" s="1966" t="s">
        <v>1619</v>
      </c>
      <c r="D19" s="1040">
        <f ca="1">结果表!H111</f>
        <v>38223</v>
      </c>
      <c r="E19" s="1958"/>
    </row>
    <row r="20" spans="1:5" ht="15.75">
      <c r="A20" s="1958"/>
      <c r="B20" s="3050"/>
      <c r="C20" s="1961" t="s">
        <v>1632</v>
      </c>
      <c r="D20" s="1039" t="str">
        <f ca="1">NUMBERSTRING(INT(D19*10000),2)&amp;"元整"</f>
        <v>叁亿捌仟贰佰贰拾叁万元整</v>
      </c>
      <c r="E20" s="1958"/>
    </row>
    <row r="21" spans="1:5" ht="15.75" thickBot="1">
      <c r="A21" s="1958"/>
      <c r="B21" s="3051"/>
      <c r="C21" s="1968" t="s">
        <v>1630</v>
      </c>
      <c r="D21" s="1052">
        <f ca="1">结果表!H112</f>
        <v>11002</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69" t="s">
        <v>1146</v>
      </c>
      <c r="C1" s="3369"/>
      <c r="D1" s="3369"/>
      <c r="E1" s="3369"/>
      <c r="F1" s="3369"/>
      <c r="G1" s="3365" t="s">
        <v>1147</v>
      </c>
      <c r="H1" s="3365"/>
      <c r="I1" s="3365"/>
      <c r="J1" s="3365"/>
      <c r="K1" s="3365"/>
      <c r="L1" s="3365"/>
      <c r="N1" s="3365" t="s">
        <v>1148</v>
      </c>
      <c r="O1" s="3365"/>
      <c r="P1" s="3365"/>
      <c r="Q1" s="3365"/>
      <c r="R1" s="1445"/>
      <c r="S1" s="3365" t="s">
        <v>1149</v>
      </c>
      <c r="T1" s="3365"/>
      <c r="U1" s="3365"/>
      <c r="V1" s="3365"/>
      <c r="X1" s="3364" t="s">
        <v>1150</v>
      </c>
      <c r="Y1" s="3365"/>
      <c r="Z1" s="3365"/>
      <c r="AA1" s="3365"/>
      <c r="AB1" s="3365"/>
      <c r="AD1" s="3364" t="s">
        <v>1151</v>
      </c>
      <c r="AE1" s="3365"/>
      <c r="AF1" s="3365"/>
      <c r="AG1" s="3365"/>
      <c r="AH1" s="3365"/>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25">
      <c r="A3" s="2927" t="s">
        <v>3034</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3048</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2">
        <v>2019</v>
      </c>
      <c r="H5" s="1729">
        <v>2</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3035</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3049</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1">
        <v>2019</v>
      </c>
      <c r="H6" s="1463">
        <v>1</v>
      </c>
      <c r="I6" s="2933">
        <v>0.6</v>
      </c>
      <c r="J6" s="2933">
        <v>0.37</v>
      </c>
      <c r="K6" s="2933">
        <v>0.63</v>
      </c>
      <c r="L6" s="2934">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3047</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67">
        <v>2018</v>
      </c>
      <c r="H7" s="1463">
        <v>4</v>
      </c>
      <c r="I7" s="2933">
        <v>0.96</v>
      </c>
      <c r="J7" s="2933">
        <v>1.03</v>
      </c>
      <c r="K7" s="2933">
        <v>0.92</v>
      </c>
      <c r="L7" s="2934">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3041</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67"/>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3040</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67"/>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3033</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74"/>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3030</v>
      </c>
      <c r="B11" s="1468">
        <v>439</v>
      </c>
      <c r="C11" s="1468">
        <v>327</v>
      </c>
      <c r="D11" s="1468">
        <f>C11</f>
        <v>327</v>
      </c>
      <c r="E11" s="1468">
        <v>627</v>
      </c>
      <c r="F11" s="1469">
        <v>283</v>
      </c>
      <c r="G11" s="3370">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3031</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67"/>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67"/>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74"/>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70">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67"/>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67"/>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68"/>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66">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67"/>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67"/>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68"/>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66">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67"/>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67"/>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68"/>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71">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72"/>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72"/>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73"/>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66">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67"/>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67"/>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68"/>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66">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67">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67">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68">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66">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67">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67">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68">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66">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67">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67">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68">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66">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67">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67">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68">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66">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67">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67">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68">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66">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67">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67">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68">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66">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67">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67">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68">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66">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67">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67">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68">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66">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67">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67">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68">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66">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67">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67">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68">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41380</v>
      </c>
      <c r="C2" s="2" t="s">
        <v>133</v>
      </c>
      <c r="D2" s="242"/>
      <c r="E2" s="242"/>
      <c r="F2" s="242"/>
      <c r="G2" s="242"/>
    </row>
    <row r="3" spans="1:7" s="243" customFormat="1" ht="18" customHeight="1" thickBot="1">
      <c r="A3" s="246" t="s">
        <v>85</v>
      </c>
      <c r="B3" s="247">
        <f ca="1">ROUND(B2*10000/'数据-汇总表'!E3,0)</f>
        <v>11911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695</v>
      </c>
      <c r="D10" s="1031">
        <f>'数据-汇总表'!E6</f>
        <v>34740.85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695</v>
      </c>
      <c r="D19" s="1035">
        <f>'数据-汇总表'!E3</f>
        <v>34740.85</v>
      </c>
      <c r="E19" s="254">
        <f>'数据-取费表'!B31</f>
        <v>200</v>
      </c>
      <c r="F19" s="274"/>
      <c r="G19" s="1" t="s">
        <v>1071</v>
      </c>
    </row>
    <row r="20" spans="1:7" s="257" customFormat="1" ht="13.5" customHeight="1">
      <c r="A20" s="947" t="s">
        <v>1054</v>
      </c>
      <c r="B20" s="253" t="s">
        <v>104</v>
      </c>
      <c r="C20" s="275">
        <f>ROUND((C5+C19)*F20,0)</f>
        <v>426</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2092</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2004</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68</v>
      </c>
      <c r="D24" s="281"/>
      <c r="E24" s="281"/>
      <c r="F24" s="282"/>
      <c r="G24" s="283" t="s">
        <v>109</v>
      </c>
    </row>
    <row r="25" spans="1:7" s="257" customFormat="1" ht="24">
      <c r="A25" s="950" t="s">
        <v>793</v>
      </c>
      <c r="B25" s="258" t="s">
        <v>1055</v>
      </c>
      <c r="C25" s="1354">
        <f ca="1">ROUND(IF('数据-取费表'!B22&lt;=1,C20*F22*'数据-取费表'!B23/2,C20*(POWER((1+F22),'数据-取费表'!B23/2)-1)),0)</f>
        <v>20</v>
      </c>
      <c r="D25" s="281"/>
      <c r="E25" s="284"/>
      <c r="F25" s="282"/>
      <c r="G25" s="285" t="s">
        <v>110</v>
      </c>
    </row>
    <row r="26" spans="1:7" s="257" customFormat="1">
      <c r="A26" s="950" t="s">
        <v>795</v>
      </c>
      <c r="B26" s="258" t="s">
        <v>1057</v>
      </c>
      <c r="C26" s="281">
        <f ca="1">ROUND(IF('数据-取费表'!B22&lt;=1,F21*F22*'数据-取费表'!B23/2,F21*(POWER((1+F22),'数据-取费表'!B23/2)-1)),4)</f>
        <v>1E-3</v>
      </c>
      <c r="D26" s="281"/>
      <c r="E26" s="284"/>
      <c r="F26" s="282"/>
      <c r="G26" s="286"/>
    </row>
    <row r="27" spans="1:7" s="257" customFormat="1" ht="24.75">
      <c r="A27" s="947" t="s">
        <v>787</v>
      </c>
      <c r="B27" s="287" t="s">
        <v>112</v>
      </c>
      <c r="C27" s="288">
        <f>C28</f>
        <v>3042</v>
      </c>
      <c r="D27" s="278">
        <f>C29</f>
        <v>2.8E-3</v>
      </c>
      <c r="E27" s="279" t="s">
        <v>126</v>
      </c>
      <c r="F27" s="289">
        <f>'数据-取费表'!Q16</f>
        <v>0.14000000000000001</v>
      </c>
      <c r="G27" s="290" t="s">
        <v>1066</v>
      </c>
    </row>
    <row r="28" spans="1:7" s="257" customFormat="1" ht="13.5" customHeight="1">
      <c r="A28" s="950" t="s">
        <v>794</v>
      </c>
      <c r="B28" s="291" t="s">
        <v>1059</v>
      </c>
      <c r="C28" s="292">
        <f>ROUND((C5+C19+C20)*F27*'数据-取费表'!B21/'数据-取费表'!B20,0)</f>
        <v>3042</v>
      </c>
      <c r="D28" s="278"/>
      <c r="E28" s="279"/>
      <c r="F28" s="289"/>
      <c r="G28" s="290"/>
    </row>
    <row r="29" spans="1:7" s="257" customFormat="1" ht="13.5" customHeight="1">
      <c r="A29" s="950" t="s">
        <v>792</v>
      </c>
      <c r="B29" s="291" t="s">
        <v>1060</v>
      </c>
      <c r="C29" s="281">
        <f>ROUND(C21*F27*'数据-取费表'!B21/'数据-取费表'!B20,4)</f>
        <v>2.8E-3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29110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11400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10244</v>
      </c>
      <c r="D34" s="260"/>
      <c r="E34" s="263"/>
      <c r="F34" s="300">
        <f>IF('数据-取费表'!B24=0,1,'数据-取费表'!N16)</f>
        <v>1</v>
      </c>
      <c r="G34" s="262" t="s">
        <v>116</v>
      </c>
    </row>
    <row r="35" spans="1:7" ht="13.5" customHeight="1">
      <c r="A35" s="950" t="s">
        <v>796</v>
      </c>
      <c r="B35" s="258" t="s">
        <v>60</v>
      </c>
      <c r="C35" s="263">
        <f>ROUND(C34*F35,0)</f>
        <v>307</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695</v>
      </c>
      <c r="D37" s="260">
        <f>'数据-汇总表'!E3</f>
        <v>34740.85</v>
      </c>
      <c r="E37" s="292">
        <f>'数据-取费表'!B35</f>
        <v>200</v>
      </c>
      <c r="F37" s="302"/>
      <c r="G37" s="304" t="s">
        <v>119</v>
      </c>
    </row>
    <row r="38" spans="1:7" ht="13.5" customHeight="1">
      <c r="A38" s="950" t="s">
        <v>799</v>
      </c>
      <c r="B38" s="258" t="s">
        <v>63</v>
      </c>
      <c r="C38" s="263">
        <f>ROUND(C34*F38,0)</f>
        <v>154</v>
      </c>
      <c r="D38" s="263"/>
      <c r="E38" s="263"/>
      <c r="F38" s="302">
        <f>'数据-取费表'!B36</f>
        <v>1.4999999999999999E-2</v>
      </c>
      <c r="G38" s="262" t="s">
        <v>117</v>
      </c>
    </row>
    <row r="39" spans="1:7" s="257" customFormat="1" ht="13.5" customHeight="1">
      <c r="A39" s="947" t="s">
        <v>783</v>
      </c>
      <c r="B39" s="253" t="s">
        <v>104</v>
      </c>
      <c r="C39" s="275">
        <f>ROUND(C33*F20,0)</f>
        <v>228</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553</v>
      </c>
      <c r="D41" s="278">
        <f ca="1">C44</f>
        <v>1E-3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542</v>
      </c>
      <c r="D42" s="281"/>
      <c r="E42" s="281"/>
      <c r="F42" s="282"/>
      <c r="G42" s="3234" t="s">
        <v>121</v>
      </c>
    </row>
    <row r="43" spans="1:7" ht="13.5" customHeight="1">
      <c r="A43" s="950" t="s">
        <v>792</v>
      </c>
      <c r="B43" s="258" t="s">
        <v>1061</v>
      </c>
      <c r="C43" s="281">
        <f ca="1">ROUND(IF('数据-取费表'!B22&lt;=1,C39*F22*'数据-取费表'!B21/2,C39*(POWER((1+F22),'数据-取费表'!B21/2)-1)),0)</f>
        <v>11</v>
      </c>
      <c r="D43" s="281"/>
      <c r="E43" s="281"/>
      <c r="F43" s="282"/>
      <c r="G43" s="3235"/>
    </row>
    <row r="44" spans="1:7" ht="13.5" customHeight="1">
      <c r="A44" s="950" t="s">
        <v>793</v>
      </c>
      <c r="B44" s="258" t="s">
        <v>1063</v>
      </c>
      <c r="C44" s="281">
        <f ca="1">ROUND(IF('数据-取费表'!B22&lt;=1,C40*F22*'数据-取费表'!B21/2,C40*(POWER((1+F22),'数据-取费表'!B21/2)-1)),4)</f>
        <v>1E-3</v>
      </c>
      <c r="D44" s="281"/>
      <c r="E44" s="281"/>
      <c r="F44" s="282"/>
      <c r="G44" s="3236"/>
    </row>
    <row r="45" spans="1:7" s="257" customFormat="1" ht="13.5" customHeight="1">
      <c r="A45" s="947" t="s">
        <v>786</v>
      </c>
      <c r="B45" s="287" t="s">
        <v>112</v>
      </c>
      <c r="C45" s="288">
        <f>C46</f>
        <v>1628</v>
      </c>
      <c r="D45" s="278">
        <f>C47</f>
        <v>2.8E-3</v>
      </c>
      <c r="E45" s="279" t="s">
        <v>129</v>
      </c>
      <c r="F45" s="289"/>
      <c r="G45" s="290" t="s">
        <v>1069</v>
      </c>
    </row>
    <row r="46" spans="1:7" s="257" customFormat="1" ht="13.5" customHeight="1">
      <c r="A46" s="950" t="s">
        <v>794</v>
      </c>
      <c r="B46" s="291" t="s">
        <v>1062</v>
      </c>
      <c r="C46" s="292">
        <f>ROUND((C33+C39)*F27,0)</f>
        <v>1628</v>
      </c>
      <c r="D46" s="306"/>
      <c r="E46" s="279"/>
      <c r="F46" s="289"/>
      <c r="G46" s="290"/>
    </row>
    <row r="47" spans="1:7" s="257" customFormat="1" ht="13.5" customHeight="1">
      <c r="A47" s="950" t="s">
        <v>792</v>
      </c>
      <c r="B47" s="291" t="s">
        <v>1064</v>
      </c>
      <c r="C47" s="281">
        <f>ROUND(C40*F27,4)</f>
        <v>2.8E-3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14963</v>
      </c>
      <c r="D49" s="275"/>
      <c r="E49" s="275"/>
      <c r="F49" s="307"/>
      <c r="G49" s="277" t="s">
        <v>1070</v>
      </c>
    </row>
    <row r="50" spans="1:7" s="301" customFormat="1" ht="24">
      <c r="A50" s="947" t="s">
        <v>789</v>
      </c>
      <c r="B50" s="253" t="s">
        <v>124</v>
      </c>
      <c r="C50" s="275"/>
      <c r="D50" s="275"/>
      <c r="E50" s="275"/>
      <c r="F50" s="307">
        <f>IF('数据-取费表'!B24=0,'数据-取费表'!N16,1)</f>
        <v>0.82</v>
      </c>
      <c r="G50" s="290" t="s">
        <v>125</v>
      </c>
    </row>
    <row r="51" spans="1:7" ht="16.5" customHeight="1">
      <c r="A51" s="947" t="s">
        <v>790</v>
      </c>
      <c r="B51" s="253" t="s">
        <v>132</v>
      </c>
      <c r="C51" s="275">
        <f ca="1">ROUND(C49*F50,0)</f>
        <v>12270</v>
      </c>
      <c r="D51" s="275"/>
      <c r="E51" s="275"/>
      <c r="F51" s="307"/>
      <c r="G51" s="277" t="s">
        <v>64</v>
      </c>
    </row>
    <row r="52" spans="1:7" s="251" customFormat="1" ht="16.5" thickBot="1">
      <c r="A52" s="308" t="s">
        <v>65</v>
      </c>
      <c r="B52" s="309"/>
      <c r="C52" s="310">
        <f ca="1">C31+C51</f>
        <v>41380</v>
      </c>
      <c r="D52" s="309"/>
      <c r="E52" s="309"/>
      <c r="F52" s="309"/>
      <c r="G52" s="311"/>
    </row>
    <row r="55" spans="1:7" ht="15">
      <c r="B55" s="313" t="s">
        <v>66</v>
      </c>
      <c r="C55" s="314"/>
    </row>
    <row r="56" spans="1:7">
      <c r="B56" s="316" t="s">
        <v>67</v>
      </c>
      <c r="C56" s="317">
        <f ca="1">ROUND(C51/C52,3)</f>
        <v>0.29699999999999999</v>
      </c>
    </row>
    <row r="57" spans="1:7">
      <c r="B57" s="316" t="s">
        <v>68</v>
      </c>
      <c r="C57" s="318">
        <f ca="1">1-C56</f>
        <v>0.70300000000000007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75" t="s">
        <v>156</v>
      </c>
      <c r="B1" s="3375"/>
      <c r="C1" s="3375"/>
      <c r="D1" s="3375"/>
      <c r="E1" s="3375"/>
      <c r="F1" s="337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76" t="s">
        <v>169</v>
      </c>
      <c r="B2" s="3376"/>
      <c r="C2" s="3376"/>
      <c r="D2" s="3376"/>
      <c r="E2" s="3376"/>
      <c r="F2" s="337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7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7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75" t="s">
        <v>868</v>
      </c>
      <c r="B1" s="3375"/>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43634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61" activePane="bottomLeft" state="frozen"/>
      <selection activeCell="C50" sqref="C50"/>
      <selection pane="bottomLeft" activeCell="R65" sqref="R6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290" t="s">
        <v>3003</v>
      </c>
      <c r="D1" s="3291"/>
      <c r="E1" s="3291"/>
      <c r="F1" s="3291"/>
      <c r="G1" s="3291"/>
      <c r="H1" s="3291"/>
      <c r="I1" s="3291"/>
      <c r="J1" s="3291"/>
      <c r="K1" s="3291"/>
      <c r="L1" s="3291"/>
      <c r="M1" s="3291"/>
      <c r="N1" s="3291"/>
      <c r="O1" s="3291"/>
      <c r="P1" s="3291"/>
      <c r="Q1" s="3291"/>
      <c r="R1" s="3291"/>
      <c r="S1" s="3292"/>
      <c r="T1" s="1203" t="s">
        <v>3004</v>
      </c>
    </row>
    <row r="2" spans="1:45" s="706" customFormat="1" ht="25.5">
      <c r="A2" s="1204"/>
      <c r="B2" s="702" t="s">
        <v>3005</v>
      </c>
      <c r="C2" s="703" t="str">
        <f t="shared" ref="C2:R2" si="0">C3&amp;"(含)"&amp;"-"&amp;D3</f>
        <v>0(含)-20</v>
      </c>
      <c r="D2" s="704" t="str">
        <f t="shared" si="0"/>
        <v>20(含)-30</v>
      </c>
      <c r="E2" s="704" t="str">
        <f t="shared" si="0"/>
        <v>30(含)-40</v>
      </c>
      <c r="F2" s="704" t="str">
        <f t="shared" si="0"/>
        <v>40(含)-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v>0</v>
      </c>
      <c r="D3" s="709">
        <v>20</v>
      </c>
      <c r="E3" s="709">
        <v>30</v>
      </c>
      <c r="F3" s="1703">
        <v>40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v>100</v>
      </c>
      <c r="D4" s="1210">
        <v>101</v>
      </c>
      <c r="E4" s="1210">
        <v>102</v>
      </c>
      <c r="F4" s="1707">
        <v>103</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1">D6-$T5</f>
        <v>100</v>
      </c>
      <c r="F6" s="1714">
        <f t="shared" si="1"/>
        <v>100</v>
      </c>
      <c r="G6" s="1714">
        <f t="shared" si="1"/>
        <v>100</v>
      </c>
      <c r="H6" s="1714">
        <f t="shared" si="1"/>
        <v>100</v>
      </c>
      <c r="I6" s="1714">
        <f t="shared" si="1"/>
        <v>100</v>
      </c>
      <c r="J6" s="1714">
        <f t="shared" si="1"/>
        <v>100</v>
      </c>
      <c r="K6" s="1714">
        <f t="shared" si="1"/>
        <v>100</v>
      </c>
      <c r="L6" s="1714">
        <f t="shared" si="1"/>
        <v>100</v>
      </c>
      <c r="M6" s="1714">
        <f t="shared" si="1"/>
        <v>100</v>
      </c>
      <c r="N6" s="1714">
        <f t="shared" si="1"/>
        <v>100</v>
      </c>
      <c r="O6" s="1714">
        <f t="shared" si="1"/>
        <v>100</v>
      </c>
      <c r="P6" s="1714">
        <f t="shared" si="1"/>
        <v>100</v>
      </c>
      <c r="Q6" s="1714">
        <f t="shared" si="1"/>
        <v>100</v>
      </c>
      <c r="R6" s="1714">
        <f t="shared" si="1"/>
        <v>100</v>
      </c>
      <c r="S6" s="1714">
        <f t="shared" si="1"/>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2">D8-$T7</f>
        <v>100</v>
      </c>
      <c r="F8" s="1714">
        <f t="shared" si="2"/>
        <v>100</v>
      </c>
      <c r="G8" s="1714">
        <f t="shared" si="2"/>
        <v>100</v>
      </c>
      <c r="H8" s="1714">
        <f t="shared" si="2"/>
        <v>100</v>
      </c>
      <c r="I8" s="1714">
        <f t="shared" si="2"/>
        <v>100</v>
      </c>
      <c r="J8" s="1714">
        <f t="shared" si="2"/>
        <v>100</v>
      </c>
      <c r="K8" s="1714">
        <f t="shared" si="2"/>
        <v>100</v>
      </c>
      <c r="L8" s="1714">
        <f t="shared" si="2"/>
        <v>100</v>
      </c>
      <c r="M8" s="1714">
        <f t="shared" si="2"/>
        <v>100</v>
      </c>
      <c r="N8" s="1714">
        <f t="shared" si="2"/>
        <v>100</v>
      </c>
      <c r="O8" s="1714">
        <f t="shared" si="2"/>
        <v>100</v>
      </c>
      <c r="P8" s="1714">
        <f t="shared" si="2"/>
        <v>100</v>
      </c>
      <c r="Q8" s="1714">
        <f t="shared" si="2"/>
        <v>100</v>
      </c>
      <c r="R8" s="1714">
        <f t="shared" si="2"/>
        <v>100</v>
      </c>
      <c r="S8" s="1714">
        <f t="shared" si="2"/>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3">D10-$T9</f>
        <v>100</v>
      </c>
      <c r="F10" s="1724">
        <f t="shared" si="3"/>
        <v>100</v>
      </c>
      <c r="G10" s="1724">
        <f t="shared" si="3"/>
        <v>100</v>
      </c>
      <c r="H10" s="1724">
        <f t="shared" si="3"/>
        <v>100</v>
      </c>
      <c r="I10" s="1724">
        <f t="shared" si="3"/>
        <v>100</v>
      </c>
      <c r="J10" s="1724">
        <f t="shared" si="3"/>
        <v>100</v>
      </c>
      <c r="K10" s="1724">
        <f t="shared" si="3"/>
        <v>100</v>
      </c>
      <c r="L10" s="1724">
        <f t="shared" si="3"/>
        <v>100</v>
      </c>
      <c r="M10" s="1724">
        <f t="shared" si="3"/>
        <v>100</v>
      </c>
      <c r="N10" s="1724">
        <f t="shared" si="3"/>
        <v>100</v>
      </c>
      <c r="O10" s="1724">
        <f t="shared" si="3"/>
        <v>100</v>
      </c>
      <c r="P10" s="1724">
        <f t="shared" si="3"/>
        <v>100</v>
      </c>
      <c r="Q10" s="1724">
        <f t="shared" si="3"/>
        <v>100</v>
      </c>
      <c r="R10" s="1724">
        <f t="shared" si="3"/>
        <v>100</v>
      </c>
      <c r="S10" s="1724">
        <f t="shared" si="3"/>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4">D12-$T11</f>
        <v>100</v>
      </c>
      <c r="F12" s="1118">
        <f t="shared" si="4"/>
        <v>100</v>
      </c>
      <c r="G12" s="1118">
        <f t="shared" si="4"/>
        <v>100</v>
      </c>
      <c r="H12" s="1118">
        <f t="shared" si="4"/>
        <v>100</v>
      </c>
      <c r="I12" s="1118">
        <f t="shared" si="4"/>
        <v>100</v>
      </c>
      <c r="J12" s="1118">
        <f t="shared" si="4"/>
        <v>100</v>
      </c>
      <c r="K12" s="1118">
        <f t="shared" si="4"/>
        <v>100</v>
      </c>
      <c r="L12" s="1118">
        <f t="shared" si="4"/>
        <v>100</v>
      </c>
      <c r="M12" s="1118">
        <f t="shared" si="4"/>
        <v>100</v>
      </c>
      <c r="N12" s="1118">
        <f t="shared" si="4"/>
        <v>100</v>
      </c>
      <c r="O12" s="1118">
        <f t="shared" si="4"/>
        <v>100</v>
      </c>
      <c r="P12" s="1118">
        <f t="shared" si="4"/>
        <v>100</v>
      </c>
      <c r="Q12" s="1118">
        <f t="shared" si="4"/>
        <v>100</v>
      </c>
      <c r="R12" s="1118">
        <f>Q12-$T11</f>
        <v>100</v>
      </c>
      <c r="S12" s="1118">
        <f t="shared" si="4"/>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3012</v>
      </c>
      <c r="B17" s="2909"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3014</v>
      </c>
      <c r="E19" s="1791"/>
      <c r="F19" s="1791"/>
      <c r="G19" s="1791"/>
      <c r="H19" s="1279"/>
      <c r="I19" s="167"/>
      <c r="J19" s="167"/>
      <c r="K19" s="167"/>
      <c r="L19" s="167"/>
      <c r="M19" s="167"/>
      <c r="N19" s="167"/>
      <c r="O19" s="167"/>
      <c r="P19" s="167"/>
      <c r="Q19" s="167"/>
      <c r="R19" s="787"/>
      <c r="S19" s="137"/>
    </row>
    <row r="20" spans="1:45" ht="16.5" thickBot="1">
      <c r="A20" s="714" t="s">
        <v>3015</v>
      </c>
      <c r="B20" s="337">
        <f>IF(D20="——",S22,S22-F20)</f>
        <v>3327</v>
      </c>
      <c r="C20" s="167"/>
      <c r="D20" s="2911" t="s">
        <v>70</v>
      </c>
      <c r="E20" s="1792"/>
      <c r="F20" s="1203" t="e">
        <f ca="1">SUMIF(INDIRECT("'"&amp;H20&amp;"'"&amp;"!A:A"),"承租人权益价值",INDIRECT("'"&amp;H20&amp;"'"&amp;"!c:c"))</f>
        <v>#REF!</v>
      </c>
      <c r="G20" s="1203" t="s">
        <v>3016</v>
      </c>
      <c r="H20" s="2912"/>
      <c r="I20" s="167"/>
      <c r="J20" s="167"/>
      <c r="K20" s="167"/>
      <c r="L20" s="167"/>
      <c r="M20" s="167"/>
      <c r="N20" s="167"/>
      <c r="O20" s="167"/>
      <c r="P20" s="167"/>
      <c r="Q20" s="167"/>
      <c r="R20" s="787"/>
      <c r="S20" s="137"/>
    </row>
    <row r="21" spans="1:45" ht="15.75">
      <c r="A21" s="714" t="s">
        <v>3017</v>
      </c>
      <c r="B21" s="337">
        <f>R22</f>
        <v>9347</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3559.5800000000086</v>
      </c>
      <c r="C22" s="3149" t="s">
        <v>33</v>
      </c>
      <c r="D22" s="3150"/>
      <c r="E22" s="3150"/>
      <c r="F22" s="3150"/>
      <c r="G22" s="3150"/>
      <c r="H22" s="3150"/>
      <c r="I22" s="3150"/>
      <c r="J22" s="3150"/>
      <c r="K22" s="3150"/>
      <c r="L22" s="3150"/>
      <c r="M22" s="3150"/>
      <c r="N22" s="3150"/>
      <c r="O22" s="3150"/>
      <c r="P22" s="3150"/>
      <c r="Q22" s="3289"/>
      <c r="R22" s="715">
        <f>ROUND(S22*10000/B22,0)</f>
        <v>9347</v>
      </c>
      <c r="S22" s="24">
        <f>SUM(S24:S10000)</f>
        <v>3327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f>车库清单!C3</f>
        <v>35.26</v>
      </c>
      <c r="C24" s="718">
        <v>1</v>
      </c>
      <c r="D24" s="719"/>
      <c r="E24" s="718">
        <v>1</v>
      </c>
      <c r="F24" s="719"/>
      <c r="G24" s="718">
        <v>1</v>
      </c>
      <c r="H24" s="719"/>
      <c r="I24" s="718">
        <v>1</v>
      </c>
      <c r="J24" s="719"/>
      <c r="K24" s="718">
        <v>1</v>
      </c>
      <c r="L24" s="719"/>
      <c r="M24" s="718">
        <v>1</v>
      </c>
      <c r="N24" s="719"/>
      <c r="O24" s="718">
        <v>1</v>
      </c>
      <c r="P24" s="719"/>
      <c r="Q24" s="718">
        <v>1</v>
      </c>
      <c r="R24" s="3386">
        <f>ROUND('比较法-车位'!C38/'比较法-车位'!C31,0)</f>
        <v>9310</v>
      </c>
      <c r="S24" s="718">
        <f t="shared" ref="S24:S87" si="5">ROUND(R24*B24/10000,0)</f>
        <v>33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车库清单!C4</f>
        <v>35.26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9310</v>
      </c>
      <c r="S25" s="360">
        <f t="shared" si="5"/>
        <v>33</v>
      </c>
    </row>
    <row r="26" spans="1:45">
      <c r="A26" s="158"/>
      <c r="B26" s="717">
        <f>车库清单!C5</f>
        <v>35.26</v>
      </c>
      <c r="C26" s="24">
        <f t="shared" ref="C26:C89" si="6">IF(B26="",1,(LOOKUP(B26,$3:$3,$4:$4)-LOOKUP($B$24,$3:$3,$4:$4)+100)/100)</f>
        <v>1</v>
      </c>
      <c r="D26" s="719"/>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c r="Q26" s="24">
        <f t="shared" ref="Q26:Q89" si="13">(SUMIF($17:$17,P26,$18:$18)-SUMIF($17:$17,$P$24,$18:$18)+100)/100</f>
        <v>1</v>
      </c>
      <c r="R26" s="715">
        <f t="shared" ref="R26:R89" si="14">IF(B26="",0,ROUND($R$24*C26*E26*G26*I26*K26*M26*O26*Q26,0))</f>
        <v>9310</v>
      </c>
      <c r="S26" s="360">
        <f t="shared" si="5"/>
        <v>33</v>
      </c>
    </row>
    <row r="27" spans="1:45">
      <c r="A27" s="158"/>
      <c r="B27" s="717">
        <f>车库清单!C6</f>
        <v>35.26</v>
      </c>
      <c r="C27" s="24">
        <f t="shared" si="6"/>
        <v>1</v>
      </c>
      <c r="D27" s="719"/>
      <c r="E27" s="24">
        <f t="shared" si="7"/>
        <v>1</v>
      </c>
      <c r="F27" s="719"/>
      <c r="G27" s="24">
        <f t="shared" si="8"/>
        <v>1</v>
      </c>
      <c r="H27" s="719"/>
      <c r="I27" s="24">
        <f t="shared" si="9"/>
        <v>1</v>
      </c>
      <c r="J27" s="719"/>
      <c r="K27" s="24">
        <f t="shared" si="10"/>
        <v>1</v>
      </c>
      <c r="L27" s="719"/>
      <c r="M27" s="24">
        <f t="shared" si="11"/>
        <v>1</v>
      </c>
      <c r="N27" s="719"/>
      <c r="O27" s="24">
        <f t="shared" si="12"/>
        <v>1</v>
      </c>
      <c r="P27" s="719"/>
      <c r="Q27" s="24">
        <f t="shared" si="13"/>
        <v>1</v>
      </c>
      <c r="R27" s="715">
        <f t="shared" si="14"/>
        <v>9310</v>
      </c>
      <c r="S27" s="360">
        <f t="shared" si="5"/>
        <v>33</v>
      </c>
    </row>
    <row r="28" spans="1:45">
      <c r="A28" s="158"/>
      <c r="B28" s="717">
        <f>车库清单!C7</f>
        <v>35.26</v>
      </c>
      <c r="C28" s="24">
        <f t="shared" si="6"/>
        <v>1</v>
      </c>
      <c r="D28" s="719"/>
      <c r="E28" s="24">
        <f t="shared" si="7"/>
        <v>1</v>
      </c>
      <c r="F28" s="719"/>
      <c r="G28" s="24">
        <f t="shared" si="8"/>
        <v>1</v>
      </c>
      <c r="H28" s="719"/>
      <c r="I28" s="24">
        <f t="shared" si="9"/>
        <v>1</v>
      </c>
      <c r="J28" s="719"/>
      <c r="K28" s="24">
        <f t="shared" si="10"/>
        <v>1</v>
      </c>
      <c r="L28" s="719"/>
      <c r="M28" s="24">
        <f t="shared" si="11"/>
        <v>1</v>
      </c>
      <c r="N28" s="719"/>
      <c r="O28" s="24">
        <f t="shared" si="12"/>
        <v>1</v>
      </c>
      <c r="P28" s="719"/>
      <c r="Q28" s="24">
        <f t="shared" si="13"/>
        <v>1</v>
      </c>
      <c r="R28" s="715">
        <f t="shared" si="14"/>
        <v>9310</v>
      </c>
      <c r="S28" s="360">
        <f t="shared" si="5"/>
        <v>33</v>
      </c>
    </row>
    <row r="29" spans="1:45">
      <c r="A29" s="158"/>
      <c r="B29" s="717">
        <f>车库清单!C8</f>
        <v>35.26</v>
      </c>
      <c r="C29" s="24">
        <f t="shared" si="6"/>
        <v>1</v>
      </c>
      <c r="D29" s="719"/>
      <c r="E29" s="24">
        <f t="shared" si="7"/>
        <v>1</v>
      </c>
      <c r="F29" s="719"/>
      <c r="G29" s="24">
        <f t="shared" si="8"/>
        <v>1</v>
      </c>
      <c r="H29" s="719"/>
      <c r="I29" s="24">
        <f t="shared" si="9"/>
        <v>1</v>
      </c>
      <c r="J29" s="719"/>
      <c r="K29" s="24">
        <f t="shared" si="10"/>
        <v>1</v>
      </c>
      <c r="L29" s="719"/>
      <c r="M29" s="24">
        <f t="shared" si="11"/>
        <v>1</v>
      </c>
      <c r="N29" s="719"/>
      <c r="O29" s="24">
        <f t="shared" si="12"/>
        <v>1</v>
      </c>
      <c r="P29" s="719"/>
      <c r="Q29" s="24">
        <f t="shared" si="13"/>
        <v>1</v>
      </c>
      <c r="R29" s="715">
        <f t="shared" si="14"/>
        <v>9310</v>
      </c>
      <c r="S29" s="360">
        <f t="shared" si="5"/>
        <v>33</v>
      </c>
    </row>
    <row r="30" spans="1:45">
      <c r="A30" s="158"/>
      <c r="B30" s="717">
        <f>车库清单!C9</f>
        <v>35.96</v>
      </c>
      <c r="C30" s="24">
        <f t="shared" si="6"/>
        <v>1</v>
      </c>
      <c r="D30" s="719"/>
      <c r="E30" s="24">
        <f t="shared" si="7"/>
        <v>1</v>
      </c>
      <c r="F30" s="719"/>
      <c r="G30" s="24">
        <f t="shared" si="8"/>
        <v>1</v>
      </c>
      <c r="H30" s="719"/>
      <c r="I30" s="24">
        <f t="shared" si="9"/>
        <v>1</v>
      </c>
      <c r="J30" s="719"/>
      <c r="K30" s="24">
        <f t="shared" si="10"/>
        <v>1</v>
      </c>
      <c r="L30" s="719"/>
      <c r="M30" s="24">
        <f t="shared" si="11"/>
        <v>1</v>
      </c>
      <c r="N30" s="719"/>
      <c r="O30" s="24">
        <f t="shared" si="12"/>
        <v>1</v>
      </c>
      <c r="P30" s="719"/>
      <c r="Q30" s="24">
        <f t="shared" si="13"/>
        <v>1</v>
      </c>
      <c r="R30" s="715">
        <f t="shared" si="14"/>
        <v>9310</v>
      </c>
      <c r="S30" s="360">
        <f t="shared" si="5"/>
        <v>33</v>
      </c>
    </row>
    <row r="31" spans="1:45">
      <c r="A31" s="158"/>
      <c r="B31" s="717">
        <f>车库清单!C10</f>
        <v>35.96</v>
      </c>
      <c r="C31" s="24">
        <f t="shared" si="6"/>
        <v>1</v>
      </c>
      <c r="D31" s="719"/>
      <c r="E31" s="24">
        <f t="shared" si="7"/>
        <v>1</v>
      </c>
      <c r="F31" s="719"/>
      <c r="G31" s="24">
        <f t="shared" si="8"/>
        <v>1</v>
      </c>
      <c r="H31" s="719"/>
      <c r="I31" s="24">
        <f t="shared" si="9"/>
        <v>1</v>
      </c>
      <c r="J31" s="719"/>
      <c r="K31" s="24">
        <f t="shared" si="10"/>
        <v>1</v>
      </c>
      <c r="L31" s="719"/>
      <c r="M31" s="24">
        <f t="shared" si="11"/>
        <v>1</v>
      </c>
      <c r="N31" s="719"/>
      <c r="O31" s="24">
        <f t="shared" si="12"/>
        <v>1</v>
      </c>
      <c r="P31" s="719"/>
      <c r="Q31" s="24">
        <f t="shared" si="13"/>
        <v>1</v>
      </c>
      <c r="R31" s="715">
        <f t="shared" si="14"/>
        <v>9310</v>
      </c>
      <c r="S31" s="360">
        <f t="shared" si="5"/>
        <v>33</v>
      </c>
    </row>
    <row r="32" spans="1:45">
      <c r="A32" s="158"/>
      <c r="B32" s="717">
        <f>车库清单!C11</f>
        <v>35.96</v>
      </c>
      <c r="C32" s="24">
        <f t="shared" si="6"/>
        <v>1</v>
      </c>
      <c r="D32" s="719"/>
      <c r="E32" s="24">
        <f t="shared" si="7"/>
        <v>1</v>
      </c>
      <c r="F32" s="719"/>
      <c r="G32" s="24">
        <f t="shared" si="8"/>
        <v>1</v>
      </c>
      <c r="H32" s="719"/>
      <c r="I32" s="24">
        <f t="shared" si="9"/>
        <v>1</v>
      </c>
      <c r="J32" s="719"/>
      <c r="K32" s="24">
        <f t="shared" si="10"/>
        <v>1</v>
      </c>
      <c r="L32" s="719"/>
      <c r="M32" s="24">
        <f t="shared" si="11"/>
        <v>1</v>
      </c>
      <c r="N32" s="719"/>
      <c r="O32" s="24">
        <f t="shared" si="12"/>
        <v>1</v>
      </c>
      <c r="P32" s="719"/>
      <c r="Q32" s="24">
        <f t="shared" si="13"/>
        <v>1</v>
      </c>
      <c r="R32" s="715">
        <f t="shared" si="14"/>
        <v>9310</v>
      </c>
      <c r="S32" s="360">
        <f t="shared" si="5"/>
        <v>33</v>
      </c>
    </row>
    <row r="33" spans="1:19">
      <c r="A33" s="158"/>
      <c r="B33" s="717">
        <f>车库清单!C12</f>
        <v>35.26</v>
      </c>
      <c r="C33" s="24">
        <f t="shared" si="6"/>
        <v>1</v>
      </c>
      <c r="D33" s="719"/>
      <c r="E33" s="24">
        <f t="shared" si="7"/>
        <v>1</v>
      </c>
      <c r="F33" s="719"/>
      <c r="G33" s="24">
        <f t="shared" si="8"/>
        <v>1</v>
      </c>
      <c r="H33" s="719"/>
      <c r="I33" s="24">
        <f t="shared" si="9"/>
        <v>1</v>
      </c>
      <c r="J33" s="719"/>
      <c r="K33" s="24">
        <f t="shared" si="10"/>
        <v>1</v>
      </c>
      <c r="L33" s="719"/>
      <c r="M33" s="24">
        <f t="shared" si="11"/>
        <v>1</v>
      </c>
      <c r="N33" s="719"/>
      <c r="O33" s="24">
        <f t="shared" si="12"/>
        <v>1</v>
      </c>
      <c r="P33" s="719"/>
      <c r="Q33" s="24">
        <f t="shared" si="13"/>
        <v>1</v>
      </c>
      <c r="R33" s="715">
        <f t="shared" si="14"/>
        <v>9310</v>
      </c>
      <c r="S33" s="360">
        <f t="shared" si="5"/>
        <v>33</v>
      </c>
    </row>
    <row r="34" spans="1:19">
      <c r="A34" s="158"/>
      <c r="B34" s="717">
        <f>车库清单!C13</f>
        <v>35.26</v>
      </c>
      <c r="C34" s="24">
        <f t="shared" si="6"/>
        <v>1</v>
      </c>
      <c r="D34" s="719"/>
      <c r="E34" s="24">
        <f t="shared" si="7"/>
        <v>1</v>
      </c>
      <c r="F34" s="719"/>
      <c r="G34" s="24">
        <f t="shared" si="8"/>
        <v>1</v>
      </c>
      <c r="H34" s="719"/>
      <c r="I34" s="24">
        <f t="shared" si="9"/>
        <v>1</v>
      </c>
      <c r="J34" s="719"/>
      <c r="K34" s="24">
        <f t="shared" si="10"/>
        <v>1</v>
      </c>
      <c r="L34" s="719"/>
      <c r="M34" s="24">
        <f t="shared" si="11"/>
        <v>1</v>
      </c>
      <c r="N34" s="719"/>
      <c r="O34" s="24">
        <f t="shared" si="12"/>
        <v>1</v>
      </c>
      <c r="P34" s="719"/>
      <c r="Q34" s="24">
        <f t="shared" si="13"/>
        <v>1</v>
      </c>
      <c r="R34" s="715">
        <f t="shared" si="14"/>
        <v>9310</v>
      </c>
      <c r="S34" s="360">
        <f t="shared" si="5"/>
        <v>33</v>
      </c>
    </row>
    <row r="35" spans="1:19">
      <c r="A35" s="158"/>
      <c r="B35" s="717">
        <f>车库清单!C14</f>
        <v>35.26</v>
      </c>
      <c r="C35" s="24">
        <f t="shared" si="6"/>
        <v>1</v>
      </c>
      <c r="D35" s="719"/>
      <c r="E35" s="24">
        <f t="shared" si="7"/>
        <v>1</v>
      </c>
      <c r="F35" s="719"/>
      <c r="G35" s="24">
        <f t="shared" si="8"/>
        <v>1</v>
      </c>
      <c r="H35" s="719"/>
      <c r="I35" s="24">
        <f t="shared" si="9"/>
        <v>1</v>
      </c>
      <c r="J35" s="719"/>
      <c r="K35" s="24">
        <f t="shared" si="10"/>
        <v>1</v>
      </c>
      <c r="L35" s="719"/>
      <c r="M35" s="24">
        <f t="shared" si="11"/>
        <v>1</v>
      </c>
      <c r="N35" s="719"/>
      <c r="O35" s="24">
        <f t="shared" si="12"/>
        <v>1</v>
      </c>
      <c r="P35" s="719"/>
      <c r="Q35" s="24">
        <f t="shared" si="13"/>
        <v>1</v>
      </c>
      <c r="R35" s="715">
        <f t="shared" si="14"/>
        <v>9310</v>
      </c>
      <c r="S35" s="360">
        <f t="shared" si="5"/>
        <v>33</v>
      </c>
    </row>
    <row r="36" spans="1:19">
      <c r="A36" s="158"/>
      <c r="B36" s="717">
        <f>车库清单!C15</f>
        <v>35.96</v>
      </c>
      <c r="C36" s="24">
        <f t="shared" si="6"/>
        <v>1</v>
      </c>
      <c r="D36" s="719"/>
      <c r="E36" s="24">
        <f t="shared" si="7"/>
        <v>1</v>
      </c>
      <c r="F36" s="719"/>
      <c r="G36" s="24">
        <f t="shared" si="8"/>
        <v>1</v>
      </c>
      <c r="H36" s="719"/>
      <c r="I36" s="24">
        <f t="shared" si="9"/>
        <v>1</v>
      </c>
      <c r="J36" s="719"/>
      <c r="K36" s="24">
        <f t="shared" si="10"/>
        <v>1</v>
      </c>
      <c r="L36" s="719"/>
      <c r="M36" s="24">
        <f t="shared" si="11"/>
        <v>1</v>
      </c>
      <c r="N36" s="719"/>
      <c r="O36" s="24">
        <f t="shared" si="12"/>
        <v>1</v>
      </c>
      <c r="P36" s="719"/>
      <c r="Q36" s="24">
        <f t="shared" si="13"/>
        <v>1</v>
      </c>
      <c r="R36" s="715">
        <f t="shared" si="14"/>
        <v>9310</v>
      </c>
      <c r="S36" s="360">
        <f t="shared" si="5"/>
        <v>33</v>
      </c>
    </row>
    <row r="37" spans="1:19">
      <c r="A37" s="158"/>
      <c r="B37" s="717">
        <f>车库清单!C16</f>
        <v>35.96</v>
      </c>
      <c r="C37" s="24">
        <f t="shared" si="6"/>
        <v>1</v>
      </c>
      <c r="D37" s="719"/>
      <c r="E37" s="24">
        <f t="shared" si="7"/>
        <v>1</v>
      </c>
      <c r="F37" s="719"/>
      <c r="G37" s="24">
        <f t="shared" si="8"/>
        <v>1</v>
      </c>
      <c r="H37" s="719"/>
      <c r="I37" s="24">
        <f t="shared" si="9"/>
        <v>1</v>
      </c>
      <c r="J37" s="719"/>
      <c r="K37" s="24">
        <f t="shared" si="10"/>
        <v>1</v>
      </c>
      <c r="L37" s="719"/>
      <c r="M37" s="24">
        <f t="shared" si="11"/>
        <v>1</v>
      </c>
      <c r="N37" s="719"/>
      <c r="O37" s="24">
        <f t="shared" si="12"/>
        <v>1</v>
      </c>
      <c r="P37" s="719"/>
      <c r="Q37" s="24">
        <f t="shared" si="13"/>
        <v>1</v>
      </c>
      <c r="R37" s="715">
        <f t="shared" si="14"/>
        <v>9310</v>
      </c>
      <c r="S37" s="360">
        <f t="shared" si="5"/>
        <v>33</v>
      </c>
    </row>
    <row r="38" spans="1:19">
      <c r="A38" s="158"/>
      <c r="B38" s="717">
        <f>车库清单!C17</f>
        <v>35.96</v>
      </c>
      <c r="C38" s="24">
        <f t="shared" si="6"/>
        <v>1</v>
      </c>
      <c r="D38" s="719"/>
      <c r="E38" s="24">
        <f t="shared" si="7"/>
        <v>1</v>
      </c>
      <c r="F38" s="719"/>
      <c r="G38" s="24">
        <f t="shared" si="8"/>
        <v>1</v>
      </c>
      <c r="H38" s="719"/>
      <c r="I38" s="24">
        <f t="shared" si="9"/>
        <v>1</v>
      </c>
      <c r="J38" s="719"/>
      <c r="K38" s="24">
        <f t="shared" si="10"/>
        <v>1</v>
      </c>
      <c r="L38" s="719"/>
      <c r="M38" s="24">
        <f t="shared" si="11"/>
        <v>1</v>
      </c>
      <c r="N38" s="719"/>
      <c r="O38" s="24">
        <f t="shared" si="12"/>
        <v>1</v>
      </c>
      <c r="P38" s="719"/>
      <c r="Q38" s="24">
        <f t="shared" si="13"/>
        <v>1</v>
      </c>
      <c r="R38" s="715">
        <f t="shared" si="14"/>
        <v>9310</v>
      </c>
      <c r="S38" s="360">
        <f t="shared" si="5"/>
        <v>33</v>
      </c>
    </row>
    <row r="39" spans="1:19">
      <c r="A39" s="158"/>
      <c r="B39" s="717">
        <f>车库清单!C18</f>
        <v>35.26</v>
      </c>
      <c r="C39" s="24">
        <f t="shared" si="6"/>
        <v>1</v>
      </c>
      <c r="D39" s="719"/>
      <c r="E39" s="24">
        <f t="shared" si="7"/>
        <v>1</v>
      </c>
      <c r="F39" s="719"/>
      <c r="G39" s="24">
        <f t="shared" si="8"/>
        <v>1</v>
      </c>
      <c r="H39" s="719"/>
      <c r="I39" s="24">
        <f t="shared" si="9"/>
        <v>1</v>
      </c>
      <c r="J39" s="719"/>
      <c r="K39" s="24">
        <f t="shared" si="10"/>
        <v>1</v>
      </c>
      <c r="L39" s="719"/>
      <c r="M39" s="24">
        <f t="shared" si="11"/>
        <v>1</v>
      </c>
      <c r="N39" s="719"/>
      <c r="O39" s="24">
        <f t="shared" si="12"/>
        <v>1</v>
      </c>
      <c r="P39" s="719"/>
      <c r="Q39" s="24">
        <f t="shared" si="13"/>
        <v>1</v>
      </c>
      <c r="R39" s="715">
        <f t="shared" si="14"/>
        <v>9310</v>
      </c>
      <c r="S39" s="360">
        <f t="shared" si="5"/>
        <v>33</v>
      </c>
    </row>
    <row r="40" spans="1:19">
      <c r="A40" s="158"/>
      <c r="B40" s="717">
        <f>车库清单!C19</f>
        <v>35.26</v>
      </c>
      <c r="C40" s="24">
        <f t="shared" si="6"/>
        <v>1</v>
      </c>
      <c r="D40" s="719"/>
      <c r="E40" s="24">
        <f t="shared" si="7"/>
        <v>1</v>
      </c>
      <c r="F40" s="719"/>
      <c r="G40" s="24">
        <f t="shared" si="8"/>
        <v>1</v>
      </c>
      <c r="H40" s="719"/>
      <c r="I40" s="24">
        <f t="shared" si="9"/>
        <v>1</v>
      </c>
      <c r="J40" s="719"/>
      <c r="K40" s="24">
        <f t="shared" si="10"/>
        <v>1</v>
      </c>
      <c r="L40" s="719"/>
      <c r="M40" s="24">
        <f t="shared" si="11"/>
        <v>1</v>
      </c>
      <c r="N40" s="719"/>
      <c r="O40" s="24">
        <f t="shared" si="12"/>
        <v>1</v>
      </c>
      <c r="P40" s="719"/>
      <c r="Q40" s="24">
        <f t="shared" si="13"/>
        <v>1</v>
      </c>
      <c r="R40" s="715">
        <f t="shared" si="14"/>
        <v>9310</v>
      </c>
      <c r="S40" s="360">
        <f t="shared" si="5"/>
        <v>33</v>
      </c>
    </row>
    <row r="41" spans="1:19">
      <c r="A41" s="158"/>
      <c r="B41" s="717">
        <f>车库清单!C20</f>
        <v>35.26</v>
      </c>
      <c r="C41" s="24">
        <f t="shared" si="6"/>
        <v>1</v>
      </c>
      <c r="D41" s="719"/>
      <c r="E41" s="24">
        <f t="shared" si="7"/>
        <v>1</v>
      </c>
      <c r="F41" s="719"/>
      <c r="G41" s="24">
        <f t="shared" si="8"/>
        <v>1</v>
      </c>
      <c r="H41" s="719"/>
      <c r="I41" s="24">
        <f t="shared" si="9"/>
        <v>1</v>
      </c>
      <c r="J41" s="719"/>
      <c r="K41" s="24">
        <f t="shared" si="10"/>
        <v>1</v>
      </c>
      <c r="L41" s="719"/>
      <c r="M41" s="24">
        <f t="shared" si="11"/>
        <v>1</v>
      </c>
      <c r="N41" s="719"/>
      <c r="O41" s="24">
        <f t="shared" si="12"/>
        <v>1</v>
      </c>
      <c r="P41" s="719"/>
      <c r="Q41" s="24">
        <f t="shared" si="13"/>
        <v>1</v>
      </c>
      <c r="R41" s="715">
        <f t="shared" si="14"/>
        <v>9310</v>
      </c>
      <c r="S41" s="360">
        <f t="shared" si="5"/>
        <v>33</v>
      </c>
    </row>
    <row r="42" spans="1:19">
      <c r="A42" s="158"/>
      <c r="B42" s="717">
        <f>车库清单!C21</f>
        <v>35.26</v>
      </c>
      <c r="C42" s="24">
        <f t="shared" si="6"/>
        <v>1</v>
      </c>
      <c r="D42" s="719"/>
      <c r="E42" s="24">
        <f t="shared" si="7"/>
        <v>1</v>
      </c>
      <c r="F42" s="719"/>
      <c r="G42" s="24">
        <f t="shared" si="8"/>
        <v>1</v>
      </c>
      <c r="H42" s="719"/>
      <c r="I42" s="24">
        <f t="shared" si="9"/>
        <v>1</v>
      </c>
      <c r="J42" s="719"/>
      <c r="K42" s="24">
        <f t="shared" si="10"/>
        <v>1</v>
      </c>
      <c r="L42" s="719"/>
      <c r="M42" s="24">
        <f t="shared" si="11"/>
        <v>1</v>
      </c>
      <c r="N42" s="719"/>
      <c r="O42" s="24">
        <f t="shared" si="12"/>
        <v>1</v>
      </c>
      <c r="P42" s="719"/>
      <c r="Q42" s="24">
        <f t="shared" si="13"/>
        <v>1</v>
      </c>
      <c r="R42" s="715">
        <f t="shared" si="14"/>
        <v>9310</v>
      </c>
      <c r="S42" s="360">
        <f t="shared" si="5"/>
        <v>33</v>
      </c>
    </row>
    <row r="43" spans="1:19">
      <c r="A43" s="158"/>
      <c r="B43" s="717">
        <f>车库清单!C22</f>
        <v>35.26</v>
      </c>
      <c r="C43" s="24">
        <f t="shared" si="6"/>
        <v>1</v>
      </c>
      <c r="D43" s="719"/>
      <c r="E43" s="24">
        <f t="shared" si="7"/>
        <v>1</v>
      </c>
      <c r="F43" s="719"/>
      <c r="G43" s="24">
        <f t="shared" si="8"/>
        <v>1</v>
      </c>
      <c r="H43" s="719"/>
      <c r="I43" s="24">
        <f t="shared" si="9"/>
        <v>1</v>
      </c>
      <c r="J43" s="719"/>
      <c r="K43" s="24">
        <f t="shared" si="10"/>
        <v>1</v>
      </c>
      <c r="L43" s="719"/>
      <c r="M43" s="24">
        <f t="shared" si="11"/>
        <v>1</v>
      </c>
      <c r="N43" s="719"/>
      <c r="O43" s="24">
        <f t="shared" si="12"/>
        <v>1</v>
      </c>
      <c r="P43" s="719"/>
      <c r="Q43" s="24">
        <f t="shared" si="13"/>
        <v>1</v>
      </c>
      <c r="R43" s="715">
        <f t="shared" si="14"/>
        <v>9310</v>
      </c>
      <c r="S43" s="360">
        <f t="shared" si="5"/>
        <v>33</v>
      </c>
    </row>
    <row r="44" spans="1:19">
      <c r="A44" s="158"/>
      <c r="B44" s="717">
        <f>车库清单!C23</f>
        <v>35.26</v>
      </c>
      <c r="C44" s="24">
        <f t="shared" si="6"/>
        <v>1</v>
      </c>
      <c r="D44" s="719"/>
      <c r="E44" s="24">
        <f t="shared" si="7"/>
        <v>1</v>
      </c>
      <c r="F44" s="719"/>
      <c r="G44" s="24">
        <f t="shared" si="8"/>
        <v>1</v>
      </c>
      <c r="H44" s="719"/>
      <c r="I44" s="24">
        <f t="shared" si="9"/>
        <v>1</v>
      </c>
      <c r="J44" s="719"/>
      <c r="K44" s="24">
        <f t="shared" si="10"/>
        <v>1</v>
      </c>
      <c r="L44" s="719"/>
      <c r="M44" s="24">
        <f t="shared" si="11"/>
        <v>1</v>
      </c>
      <c r="N44" s="719"/>
      <c r="O44" s="24">
        <f t="shared" si="12"/>
        <v>1</v>
      </c>
      <c r="P44" s="719"/>
      <c r="Q44" s="24">
        <f t="shared" si="13"/>
        <v>1</v>
      </c>
      <c r="R44" s="715">
        <f t="shared" si="14"/>
        <v>9310</v>
      </c>
      <c r="S44" s="360">
        <f t="shared" si="5"/>
        <v>33</v>
      </c>
    </row>
    <row r="45" spans="1:19">
      <c r="A45" s="158"/>
      <c r="B45" s="717">
        <f>车库清单!C24</f>
        <v>35.26</v>
      </c>
      <c r="C45" s="24">
        <f t="shared" si="6"/>
        <v>1</v>
      </c>
      <c r="D45" s="719"/>
      <c r="E45" s="24">
        <f t="shared" si="7"/>
        <v>1</v>
      </c>
      <c r="F45" s="719"/>
      <c r="G45" s="24">
        <f t="shared" si="8"/>
        <v>1</v>
      </c>
      <c r="H45" s="719"/>
      <c r="I45" s="24">
        <f t="shared" si="9"/>
        <v>1</v>
      </c>
      <c r="J45" s="719"/>
      <c r="K45" s="24">
        <f t="shared" si="10"/>
        <v>1</v>
      </c>
      <c r="L45" s="719"/>
      <c r="M45" s="24">
        <f t="shared" si="11"/>
        <v>1</v>
      </c>
      <c r="N45" s="719"/>
      <c r="O45" s="24">
        <f t="shared" si="12"/>
        <v>1</v>
      </c>
      <c r="P45" s="719"/>
      <c r="Q45" s="24">
        <f t="shared" si="13"/>
        <v>1</v>
      </c>
      <c r="R45" s="715">
        <f t="shared" si="14"/>
        <v>9310</v>
      </c>
      <c r="S45" s="360">
        <f t="shared" si="5"/>
        <v>33</v>
      </c>
    </row>
    <row r="46" spans="1:19">
      <c r="A46" s="158"/>
      <c r="B46" s="717">
        <f>车库清单!C25</f>
        <v>35.26</v>
      </c>
      <c r="C46" s="24">
        <f t="shared" si="6"/>
        <v>1</v>
      </c>
      <c r="D46" s="719"/>
      <c r="E46" s="24">
        <f t="shared" si="7"/>
        <v>1</v>
      </c>
      <c r="F46" s="719"/>
      <c r="G46" s="24">
        <f t="shared" si="8"/>
        <v>1</v>
      </c>
      <c r="H46" s="719"/>
      <c r="I46" s="24">
        <f t="shared" si="9"/>
        <v>1</v>
      </c>
      <c r="J46" s="719"/>
      <c r="K46" s="24">
        <f t="shared" si="10"/>
        <v>1</v>
      </c>
      <c r="L46" s="719"/>
      <c r="M46" s="24">
        <f t="shared" si="11"/>
        <v>1</v>
      </c>
      <c r="N46" s="719"/>
      <c r="O46" s="24">
        <f t="shared" si="12"/>
        <v>1</v>
      </c>
      <c r="P46" s="719"/>
      <c r="Q46" s="24">
        <f t="shared" si="13"/>
        <v>1</v>
      </c>
      <c r="R46" s="715">
        <f t="shared" si="14"/>
        <v>9310</v>
      </c>
      <c r="S46" s="360">
        <f t="shared" si="5"/>
        <v>33</v>
      </c>
    </row>
    <row r="47" spans="1:19">
      <c r="A47" s="158"/>
      <c r="B47" s="717">
        <f>车库清单!C26</f>
        <v>35.26</v>
      </c>
      <c r="C47" s="24">
        <f t="shared" si="6"/>
        <v>1</v>
      </c>
      <c r="D47" s="719"/>
      <c r="E47" s="24">
        <f t="shared" si="7"/>
        <v>1</v>
      </c>
      <c r="F47" s="719"/>
      <c r="G47" s="24">
        <f t="shared" si="8"/>
        <v>1</v>
      </c>
      <c r="H47" s="719"/>
      <c r="I47" s="24">
        <f t="shared" si="9"/>
        <v>1</v>
      </c>
      <c r="J47" s="719"/>
      <c r="K47" s="24">
        <f t="shared" si="10"/>
        <v>1</v>
      </c>
      <c r="L47" s="719"/>
      <c r="M47" s="24">
        <f t="shared" si="11"/>
        <v>1</v>
      </c>
      <c r="N47" s="719"/>
      <c r="O47" s="24">
        <f t="shared" si="12"/>
        <v>1</v>
      </c>
      <c r="P47" s="719"/>
      <c r="Q47" s="24">
        <f t="shared" si="13"/>
        <v>1</v>
      </c>
      <c r="R47" s="715">
        <f t="shared" si="14"/>
        <v>9310</v>
      </c>
      <c r="S47" s="360">
        <f t="shared" si="5"/>
        <v>33</v>
      </c>
    </row>
    <row r="48" spans="1:19">
      <c r="A48" s="158"/>
      <c r="B48" s="717">
        <f>车库清单!C27</f>
        <v>35.26</v>
      </c>
      <c r="C48" s="24">
        <f t="shared" si="6"/>
        <v>1</v>
      </c>
      <c r="D48" s="719"/>
      <c r="E48" s="24">
        <f t="shared" si="7"/>
        <v>1</v>
      </c>
      <c r="F48" s="719"/>
      <c r="G48" s="24">
        <f t="shared" si="8"/>
        <v>1</v>
      </c>
      <c r="H48" s="719"/>
      <c r="I48" s="24">
        <f t="shared" si="9"/>
        <v>1</v>
      </c>
      <c r="J48" s="719"/>
      <c r="K48" s="24">
        <f t="shared" si="10"/>
        <v>1</v>
      </c>
      <c r="L48" s="719"/>
      <c r="M48" s="24">
        <f t="shared" si="11"/>
        <v>1</v>
      </c>
      <c r="N48" s="719"/>
      <c r="O48" s="24">
        <f t="shared" si="12"/>
        <v>1</v>
      </c>
      <c r="P48" s="719"/>
      <c r="Q48" s="24">
        <f t="shared" si="13"/>
        <v>1</v>
      </c>
      <c r="R48" s="715">
        <f t="shared" si="14"/>
        <v>9310</v>
      </c>
      <c r="S48" s="360">
        <f t="shared" si="5"/>
        <v>33</v>
      </c>
    </row>
    <row r="49" spans="1:19">
      <c r="A49" s="158"/>
      <c r="B49" s="717">
        <f>车库清单!C28</f>
        <v>35.26</v>
      </c>
      <c r="C49" s="24">
        <f t="shared" si="6"/>
        <v>1</v>
      </c>
      <c r="D49" s="719"/>
      <c r="E49" s="24">
        <f t="shared" si="7"/>
        <v>1</v>
      </c>
      <c r="F49" s="719"/>
      <c r="G49" s="24">
        <f t="shared" si="8"/>
        <v>1</v>
      </c>
      <c r="H49" s="719"/>
      <c r="I49" s="24">
        <f t="shared" si="9"/>
        <v>1</v>
      </c>
      <c r="J49" s="719"/>
      <c r="K49" s="24">
        <f t="shared" si="10"/>
        <v>1</v>
      </c>
      <c r="L49" s="719"/>
      <c r="M49" s="24">
        <f t="shared" si="11"/>
        <v>1</v>
      </c>
      <c r="N49" s="719"/>
      <c r="O49" s="24">
        <f t="shared" si="12"/>
        <v>1</v>
      </c>
      <c r="P49" s="719"/>
      <c r="Q49" s="24">
        <f t="shared" si="13"/>
        <v>1</v>
      </c>
      <c r="R49" s="715">
        <f t="shared" si="14"/>
        <v>9310</v>
      </c>
      <c r="S49" s="360">
        <f t="shared" si="5"/>
        <v>33</v>
      </c>
    </row>
    <row r="50" spans="1:19">
      <c r="A50" s="158"/>
      <c r="B50" s="717">
        <f>车库清单!C29</f>
        <v>35.26</v>
      </c>
      <c r="C50" s="24">
        <f t="shared" si="6"/>
        <v>1</v>
      </c>
      <c r="D50" s="719"/>
      <c r="E50" s="24">
        <f t="shared" si="7"/>
        <v>1</v>
      </c>
      <c r="F50" s="719"/>
      <c r="G50" s="24">
        <f t="shared" si="8"/>
        <v>1</v>
      </c>
      <c r="H50" s="719"/>
      <c r="I50" s="24">
        <f t="shared" si="9"/>
        <v>1</v>
      </c>
      <c r="J50" s="719"/>
      <c r="K50" s="24">
        <f t="shared" si="10"/>
        <v>1</v>
      </c>
      <c r="L50" s="719"/>
      <c r="M50" s="24">
        <f t="shared" si="11"/>
        <v>1</v>
      </c>
      <c r="N50" s="719"/>
      <c r="O50" s="24">
        <f t="shared" si="12"/>
        <v>1</v>
      </c>
      <c r="P50" s="719"/>
      <c r="Q50" s="24">
        <f t="shared" si="13"/>
        <v>1</v>
      </c>
      <c r="R50" s="715">
        <f t="shared" si="14"/>
        <v>9310</v>
      </c>
      <c r="S50" s="360">
        <f t="shared" si="5"/>
        <v>33</v>
      </c>
    </row>
    <row r="51" spans="1:19">
      <c r="A51" s="158"/>
      <c r="B51" s="717">
        <f>车库清单!C30</f>
        <v>35.26</v>
      </c>
      <c r="C51" s="24">
        <f t="shared" si="6"/>
        <v>1</v>
      </c>
      <c r="D51" s="719"/>
      <c r="E51" s="24">
        <f t="shared" si="7"/>
        <v>1</v>
      </c>
      <c r="F51" s="719"/>
      <c r="G51" s="24">
        <f t="shared" si="8"/>
        <v>1</v>
      </c>
      <c r="H51" s="719"/>
      <c r="I51" s="24">
        <f t="shared" si="9"/>
        <v>1</v>
      </c>
      <c r="J51" s="719"/>
      <c r="K51" s="24">
        <f t="shared" si="10"/>
        <v>1</v>
      </c>
      <c r="L51" s="719"/>
      <c r="M51" s="24">
        <f t="shared" si="11"/>
        <v>1</v>
      </c>
      <c r="N51" s="719"/>
      <c r="O51" s="24">
        <f t="shared" si="12"/>
        <v>1</v>
      </c>
      <c r="P51" s="719"/>
      <c r="Q51" s="24">
        <f t="shared" si="13"/>
        <v>1</v>
      </c>
      <c r="R51" s="715">
        <f t="shared" si="14"/>
        <v>9310</v>
      </c>
      <c r="S51" s="360">
        <f t="shared" si="5"/>
        <v>33</v>
      </c>
    </row>
    <row r="52" spans="1:19">
      <c r="A52" s="158"/>
      <c r="B52" s="717">
        <f>车库清单!C31</f>
        <v>35.26</v>
      </c>
      <c r="C52" s="24">
        <f t="shared" si="6"/>
        <v>1</v>
      </c>
      <c r="D52" s="719"/>
      <c r="E52" s="24">
        <f t="shared" si="7"/>
        <v>1</v>
      </c>
      <c r="F52" s="719"/>
      <c r="G52" s="24">
        <f t="shared" si="8"/>
        <v>1</v>
      </c>
      <c r="H52" s="719"/>
      <c r="I52" s="24">
        <f t="shared" si="9"/>
        <v>1</v>
      </c>
      <c r="J52" s="719"/>
      <c r="K52" s="24">
        <f t="shared" si="10"/>
        <v>1</v>
      </c>
      <c r="L52" s="719"/>
      <c r="M52" s="24">
        <f t="shared" si="11"/>
        <v>1</v>
      </c>
      <c r="N52" s="719"/>
      <c r="O52" s="24">
        <f t="shared" si="12"/>
        <v>1</v>
      </c>
      <c r="P52" s="719"/>
      <c r="Q52" s="24">
        <f t="shared" si="13"/>
        <v>1</v>
      </c>
      <c r="R52" s="715">
        <f t="shared" si="14"/>
        <v>9310</v>
      </c>
      <c r="S52" s="360">
        <f t="shared" si="5"/>
        <v>33</v>
      </c>
    </row>
    <row r="53" spans="1:19">
      <c r="A53" s="158"/>
      <c r="B53" s="717">
        <f>车库清单!C32</f>
        <v>35.26</v>
      </c>
      <c r="C53" s="24">
        <f t="shared" si="6"/>
        <v>1</v>
      </c>
      <c r="D53" s="719"/>
      <c r="E53" s="24">
        <f t="shared" si="7"/>
        <v>1</v>
      </c>
      <c r="F53" s="719"/>
      <c r="G53" s="24">
        <f t="shared" si="8"/>
        <v>1</v>
      </c>
      <c r="H53" s="719"/>
      <c r="I53" s="24">
        <f t="shared" si="9"/>
        <v>1</v>
      </c>
      <c r="J53" s="719"/>
      <c r="K53" s="24">
        <f t="shared" si="10"/>
        <v>1</v>
      </c>
      <c r="L53" s="719"/>
      <c r="M53" s="24">
        <f t="shared" si="11"/>
        <v>1</v>
      </c>
      <c r="N53" s="719"/>
      <c r="O53" s="24">
        <f t="shared" si="12"/>
        <v>1</v>
      </c>
      <c r="P53" s="719"/>
      <c r="Q53" s="24">
        <f t="shared" si="13"/>
        <v>1</v>
      </c>
      <c r="R53" s="715">
        <f t="shared" si="14"/>
        <v>9310</v>
      </c>
      <c r="S53" s="360">
        <f t="shared" si="5"/>
        <v>33</v>
      </c>
    </row>
    <row r="54" spans="1:19">
      <c r="A54" s="158"/>
      <c r="B54" s="717">
        <f>车库清单!C33</f>
        <v>35.26</v>
      </c>
      <c r="C54" s="24">
        <f t="shared" si="6"/>
        <v>1</v>
      </c>
      <c r="D54" s="719"/>
      <c r="E54" s="24">
        <f t="shared" si="7"/>
        <v>1</v>
      </c>
      <c r="F54" s="719"/>
      <c r="G54" s="24">
        <f t="shared" si="8"/>
        <v>1</v>
      </c>
      <c r="H54" s="719"/>
      <c r="I54" s="24">
        <f t="shared" si="9"/>
        <v>1</v>
      </c>
      <c r="J54" s="719"/>
      <c r="K54" s="24">
        <f t="shared" si="10"/>
        <v>1</v>
      </c>
      <c r="L54" s="719"/>
      <c r="M54" s="24">
        <f t="shared" si="11"/>
        <v>1</v>
      </c>
      <c r="N54" s="719"/>
      <c r="O54" s="24">
        <f t="shared" si="12"/>
        <v>1</v>
      </c>
      <c r="P54" s="719"/>
      <c r="Q54" s="24">
        <f t="shared" si="13"/>
        <v>1</v>
      </c>
      <c r="R54" s="715">
        <f t="shared" si="14"/>
        <v>9310</v>
      </c>
      <c r="S54" s="360">
        <f t="shared" si="5"/>
        <v>33</v>
      </c>
    </row>
    <row r="55" spans="1:19">
      <c r="A55" s="158"/>
      <c r="B55" s="717">
        <f>车库清单!C34</f>
        <v>35.26</v>
      </c>
      <c r="C55" s="24">
        <f t="shared" si="6"/>
        <v>1</v>
      </c>
      <c r="D55" s="719"/>
      <c r="E55" s="24">
        <f t="shared" si="7"/>
        <v>1</v>
      </c>
      <c r="F55" s="719"/>
      <c r="G55" s="24">
        <f t="shared" si="8"/>
        <v>1</v>
      </c>
      <c r="H55" s="719"/>
      <c r="I55" s="24">
        <f t="shared" si="9"/>
        <v>1</v>
      </c>
      <c r="J55" s="719"/>
      <c r="K55" s="24">
        <f t="shared" si="10"/>
        <v>1</v>
      </c>
      <c r="L55" s="719"/>
      <c r="M55" s="24">
        <f t="shared" si="11"/>
        <v>1</v>
      </c>
      <c r="N55" s="719"/>
      <c r="O55" s="24">
        <f t="shared" si="12"/>
        <v>1</v>
      </c>
      <c r="P55" s="719"/>
      <c r="Q55" s="24">
        <f t="shared" si="13"/>
        <v>1</v>
      </c>
      <c r="R55" s="715">
        <f t="shared" si="14"/>
        <v>9310</v>
      </c>
      <c r="S55" s="360">
        <f t="shared" si="5"/>
        <v>33</v>
      </c>
    </row>
    <row r="56" spans="1:19">
      <c r="A56" s="158"/>
      <c r="B56" s="717">
        <f>车库清单!C35</f>
        <v>35.26</v>
      </c>
      <c r="C56" s="24">
        <f t="shared" si="6"/>
        <v>1</v>
      </c>
      <c r="D56" s="719"/>
      <c r="E56" s="24">
        <f t="shared" si="7"/>
        <v>1</v>
      </c>
      <c r="F56" s="719"/>
      <c r="G56" s="24">
        <f t="shared" si="8"/>
        <v>1</v>
      </c>
      <c r="H56" s="719"/>
      <c r="I56" s="24">
        <f t="shared" si="9"/>
        <v>1</v>
      </c>
      <c r="J56" s="719"/>
      <c r="K56" s="24">
        <f t="shared" si="10"/>
        <v>1</v>
      </c>
      <c r="L56" s="719"/>
      <c r="M56" s="24">
        <f t="shared" si="11"/>
        <v>1</v>
      </c>
      <c r="N56" s="719"/>
      <c r="O56" s="24">
        <f t="shared" si="12"/>
        <v>1</v>
      </c>
      <c r="P56" s="719"/>
      <c r="Q56" s="24">
        <f t="shared" si="13"/>
        <v>1</v>
      </c>
      <c r="R56" s="715">
        <f t="shared" si="14"/>
        <v>9310</v>
      </c>
      <c r="S56" s="360">
        <f t="shared" si="5"/>
        <v>33</v>
      </c>
    </row>
    <row r="57" spans="1:19">
      <c r="A57" s="158"/>
      <c r="B57" s="717">
        <f>车库清单!C36</f>
        <v>35.26</v>
      </c>
      <c r="C57" s="24">
        <f t="shared" si="6"/>
        <v>1</v>
      </c>
      <c r="D57" s="719"/>
      <c r="E57" s="24">
        <f t="shared" si="7"/>
        <v>1</v>
      </c>
      <c r="F57" s="719"/>
      <c r="G57" s="24">
        <f t="shared" si="8"/>
        <v>1</v>
      </c>
      <c r="H57" s="719"/>
      <c r="I57" s="24">
        <f t="shared" si="9"/>
        <v>1</v>
      </c>
      <c r="J57" s="719"/>
      <c r="K57" s="24">
        <f t="shared" si="10"/>
        <v>1</v>
      </c>
      <c r="L57" s="719"/>
      <c r="M57" s="24">
        <f t="shared" si="11"/>
        <v>1</v>
      </c>
      <c r="N57" s="719"/>
      <c r="O57" s="24">
        <f t="shared" si="12"/>
        <v>1</v>
      </c>
      <c r="P57" s="719"/>
      <c r="Q57" s="24">
        <f t="shared" si="13"/>
        <v>1</v>
      </c>
      <c r="R57" s="715">
        <f t="shared" si="14"/>
        <v>9310</v>
      </c>
      <c r="S57" s="360">
        <f t="shared" si="5"/>
        <v>33</v>
      </c>
    </row>
    <row r="58" spans="1:19">
      <c r="A58" s="158"/>
      <c r="B58" s="717">
        <f>车库清单!C37</f>
        <v>35.26</v>
      </c>
      <c r="C58" s="24">
        <f t="shared" si="6"/>
        <v>1</v>
      </c>
      <c r="D58" s="719"/>
      <c r="E58" s="24">
        <f t="shared" si="7"/>
        <v>1</v>
      </c>
      <c r="F58" s="719"/>
      <c r="G58" s="24">
        <f t="shared" si="8"/>
        <v>1</v>
      </c>
      <c r="H58" s="719"/>
      <c r="I58" s="24">
        <f t="shared" si="9"/>
        <v>1</v>
      </c>
      <c r="J58" s="719"/>
      <c r="K58" s="24">
        <f t="shared" si="10"/>
        <v>1</v>
      </c>
      <c r="L58" s="719"/>
      <c r="M58" s="24">
        <f t="shared" si="11"/>
        <v>1</v>
      </c>
      <c r="N58" s="719"/>
      <c r="O58" s="24">
        <f t="shared" si="12"/>
        <v>1</v>
      </c>
      <c r="P58" s="719"/>
      <c r="Q58" s="24">
        <f t="shared" si="13"/>
        <v>1</v>
      </c>
      <c r="R58" s="715">
        <f t="shared" si="14"/>
        <v>9310</v>
      </c>
      <c r="S58" s="360">
        <f t="shared" si="5"/>
        <v>33</v>
      </c>
    </row>
    <row r="59" spans="1:19">
      <c r="A59" s="158"/>
      <c r="B59" s="717">
        <f>车库清单!C38</f>
        <v>35.26</v>
      </c>
      <c r="C59" s="24">
        <f t="shared" si="6"/>
        <v>1</v>
      </c>
      <c r="D59" s="719"/>
      <c r="E59" s="24">
        <f t="shared" si="7"/>
        <v>1</v>
      </c>
      <c r="F59" s="719"/>
      <c r="G59" s="24">
        <f t="shared" si="8"/>
        <v>1</v>
      </c>
      <c r="H59" s="719"/>
      <c r="I59" s="24">
        <f t="shared" si="9"/>
        <v>1</v>
      </c>
      <c r="J59" s="719"/>
      <c r="K59" s="24">
        <f t="shared" si="10"/>
        <v>1</v>
      </c>
      <c r="L59" s="719"/>
      <c r="M59" s="24">
        <f t="shared" si="11"/>
        <v>1</v>
      </c>
      <c r="N59" s="719"/>
      <c r="O59" s="24">
        <f t="shared" si="12"/>
        <v>1</v>
      </c>
      <c r="P59" s="719"/>
      <c r="Q59" s="24">
        <f t="shared" si="13"/>
        <v>1</v>
      </c>
      <c r="R59" s="715">
        <f t="shared" si="14"/>
        <v>9310</v>
      </c>
      <c r="S59" s="360">
        <f t="shared" si="5"/>
        <v>33</v>
      </c>
    </row>
    <row r="60" spans="1:19">
      <c r="A60" s="158"/>
      <c r="B60" s="717">
        <f>车库清单!C39</f>
        <v>35.26</v>
      </c>
      <c r="C60" s="24">
        <f t="shared" si="6"/>
        <v>1</v>
      </c>
      <c r="D60" s="719"/>
      <c r="E60" s="24">
        <f t="shared" si="7"/>
        <v>1</v>
      </c>
      <c r="F60" s="719"/>
      <c r="G60" s="24">
        <f t="shared" si="8"/>
        <v>1</v>
      </c>
      <c r="H60" s="719"/>
      <c r="I60" s="24">
        <f t="shared" si="9"/>
        <v>1</v>
      </c>
      <c r="J60" s="719"/>
      <c r="K60" s="24">
        <f t="shared" si="10"/>
        <v>1</v>
      </c>
      <c r="L60" s="719"/>
      <c r="M60" s="24">
        <f t="shared" si="11"/>
        <v>1</v>
      </c>
      <c r="N60" s="719"/>
      <c r="O60" s="24">
        <f t="shared" si="12"/>
        <v>1</v>
      </c>
      <c r="P60" s="719"/>
      <c r="Q60" s="24">
        <f t="shared" si="13"/>
        <v>1</v>
      </c>
      <c r="R60" s="715">
        <f t="shared" si="14"/>
        <v>9310</v>
      </c>
      <c r="S60" s="360">
        <f t="shared" si="5"/>
        <v>33</v>
      </c>
    </row>
    <row r="61" spans="1:19">
      <c r="A61" s="158"/>
      <c r="B61" s="717">
        <f>车库清单!C40</f>
        <v>35.26</v>
      </c>
      <c r="C61" s="24">
        <f t="shared" si="6"/>
        <v>1</v>
      </c>
      <c r="D61" s="719"/>
      <c r="E61" s="24">
        <f t="shared" si="7"/>
        <v>1</v>
      </c>
      <c r="F61" s="719"/>
      <c r="G61" s="24">
        <f t="shared" si="8"/>
        <v>1</v>
      </c>
      <c r="H61" s="719"/>
      <c r="I61" s="24">
        <f t="shared" si="9"/>
        <v>1</v>
      </c>
      <c r="J61" s="719"/>
      <c r="K61" s="24">
        <f t="shared" si="10"/>
        <v>1</v>
      </c>
      <c r="L61" s="719"/>
      <c r="M61" s="24">
        <f t="shared" si="11"/>
        <v>1</v>
      </c>
      <c r="N61" s="719"/>
      <c r="O61" s="24">
        <f t="shared" si="12"/>
        <v>1</v>
      </c>
      <c r="P61" s="719"/>
      <c r="Q61" s="24">
        <f t="shared" si="13"/>
        <v>1</v>
      </c>
      <c r="R61" s="715">
        <f t="shared" si="14"/>
        <v>9310</v>
      </c>
      <c r="S61" s="360">
        <f t="shared" si="5"/>
        <v>33</v>
      </c>
    </row>
    <row r="62" spans="1:19">
      <c r="A62" s="158"/>
      <c r="B62" s="717">
        <f>车库清单!C41</f>
        <v>35.26</v>
      </c>
      <c r="C62" s="24">
        <f t="shared" si="6"/>
        <v>1</v>
      </c>
      <c r="D62" s="719"/>
      <c r="E62" s="24">
        <f t="shared" si="7"/>
        <v>1</v>
      </c>
      <c r="F62" s="719"/>
      <c r="G62" s="24">
        <f t="shared" si="8"/>
        <v>1</v>
      </c>
      <c r="H62" s="719"/>
      <c r="I62" s="24">
        <f t="shared" si="9"/>
        <v>1</v>
      </c>
      <c r="J62" s="719"/>
      <c r="K62" s="24">
        <f t="shared" si="10"/>
        <v>1</v>
      </c>
      <c r="L62" s="719"/>
      <c r="M62" s="24">
        <f t="shared" si="11"/>
        <v>1</v>
      </c>
      <c r="N62" s="719"/>
      <c r="O62" s="24">
        <f t="shared" si="12"/>
        <v>1</v>
      </c>
      <c r="P62" s="719"/>
      <c r="Q62" s="24">
        <f t="shared" si="13"/>
        <v>1</v>
      </c>
      <c r="R62" s="715">
        <f t="shared" si="14"/>
        <v>9310</v>
      </c>
      <c r="S62" s="360">
        <f t="shared" si="5"/>
        <v>33</v>
      </c>
    </row>
    <row r="63" spans="1:19">
      <c r="A63" s="158"/>
      <c r="B63" s="717">
        <f>车库清单!C42</f>
        <v>35.26</v>
      </c>
      <c r="C63" s="24">
        <f t="shared" si="6"/>
        <v>1</v>
      </c>
      <c r="D63" s="719"/>
      <c r="E63" s="24">
        <f t="shared" si="7"/>
        <v>1</v>
      </c>
      <c r="F63" s="719"/>
      <c r="G63" s="24">
        <f t="shared" si="8"/>
        <v>1</v>
      </c>
      <c r="H63" s="719"/>
      <c r="I63" s="24">
        <f t="shared" si="9"/>
        <v>1</v>
      </c>
      <c r="J63" s="719"/>
      <c r="K63" s="24">
        <f t="shared" si="10"/>
        <v>1</v>
      </c>
      <c r="L63" s="719"/>
      <c r="M63" s="24">
        <f t="shared" si="11"/>
        <v>1</v>
      </c>
      <c r="N63" s="719"/>
      <c r="O63" s="24">
        <f t="shared" si="12"/>
        <v>1</v>
      </c>
      <c r="P63" s="719"/>
      <c r="Q63" s="24">
        <f t="shared" si="13"/>
        <v>1</v>
      </c>
      <c r="R63" s="715">
        <f t="shared" si="14"/>
        <v>9310</v>
      </c>
      <c r="S63" s="360">
        <f t="shared" si="5"/>
        <v>33</v>
      </c>
    </row>
    <row r="64" spans="1:19">
      <c r="A64" s="158"/>
      <c r="B64" s="717">
        <f>车库清单!C43</f>
        <v>35.26</v>
      </c>
      <c r="C64" s="24">
        <f t="shared" si="6"/>
        <v>1</v>
      </c>
      <c r="D64" s="719"/>
      <c r="E64" s="24">
        <f t="shared" si="7"/>
        <v>1</v>
      </c>
      <c r="F64" s="719"/>
      <c r="G64" s="24">
        <f t="shared" si="8"/>
        <v>1</v>
      </c>
      <c r="H64" s="719"/>
      <c r="I64" s="24">
        <f t="shared" si="9"/>
        <v>1</v>
      </c>
      <c r="J64" s="719"/>
      <c r="K64" s="24">
        <f t="shared" si="10"/>
        <v>1</v>
      </c>
      <c r="L64" s="719"/>
      <c r="M64" s="24">
        <f t="shared" si="11"/>
        <v>1</v>
      </c>
      <c r="N64" s="719"/>
      <c r="O64" s="24">
        <f t="shared" si="12"/>
        <v>1</v>
      </c>
      <c r="P64" s="719"/>
      <c r="Q64" s="24">
        <f t="shared" si="13"/>
        <v>1</v>
      </c>
      <c r="R64" s="715">
        <f t="shared" si="14"/>
        <v>9310</v>
      </c>
      <c r="S64" s="360">
        <f t="shared" si="5"/>
        <v>33</v>
      </c>
    </row>
    <row r="65" spans="1:19">
      <c r="A65" s="158"/>
      <c r="B65" s="717">
        <f>车库清单!C44</f>
        <v>35.26</v>
      </c>
      <c r="C65" s="24">
        <f t="shared" si="6"/>
        <v>1</v>
      </c>
      <c r="D65" s="719"/>
      <c r="E65" s="24">
        <f t="shared" si="7"/>
        <v>1</v>
      </c>
      <c r="F65" s="719"/>
      <c r="G65" s="24">
        <f t="shared" si="8"/>
        <v>1</v>
      </c>
      <c r="H65" s="719"/>
      <c r="I65" s="24">
        <f t="shared" si="9"/>
        <v>1</v>
      </c>
      <c r="J65" s="719"/>
      <c r="K65" s="24">
        <f t="shared" si="10"/>
        <v>1</v>
      </c>
      <c r="L65" s="719"/>
      <c r="M65" s="24">
        <f t="shared" si="11"/>
        <v>1</v>
      </c>
      <c r="N65" s="719"/>
      <c r="O65" s="24">
        <f t="shared" si="12"/>
        <v>1</v>
      </c>
      <c r="P65" s="719"/>
      <c r="Q65" s="24">
        <f t="shared" si="13"/>
        <v>1</v>
      </c>
      <c r="R65" s="715">
        <f t="shared" si="14"/>
        <v>9310</v>
      </c>
      <c r="S65" s="360">
        <f t="shared" si="5"/>
        <v>33</v>
      </c>
    </row>
    <row r="66" spans="1:19">
      <c r="A66" s="158"/>
      <c r="B66" s="717">
        <f>车库清单!C45</f>
        <v>35.26</v>
      </c>
      <c r="C66" s="24">
        <f t="shared" si="6"/>
        <v>1</v>
      </c>
      <c r="D66" s="719"/>
      <c r="E66" s="24">
        <f t="shared" si="7"/>
        <v>1</v>
      </c>
      <c r="F66" s="719"/>
      <c r="G66" s="24">
        <f t="shared" si="8"/>
        <v>1</v>
      </c>
      <c r="H66" s="719"/>
      <c r="I66" s="24">
        <f t="shared" si="9"/>
        <v>1</v>
      </c>
      <c r="J66" s="719"/>
      <c r="K66" s="24">
        <f t="shared" si="10"/>
        <v>1</v>
      </c>
      <c r="L66" s="719"/>
      <c r="M66" s="24">
        <f t="shared" si="11"/>
        <v>1</v>
      </c>
      <c r="N66" s="719"/>
      <c r="O66" s="24">
        <f t="shared" si="12"/>
        <v>1</v>
      </c>
      <c r="P66" s="719"/>
      <c r="Q66" s="24">
        <f t="shared" si="13"/>
        <v>1</v>
      </c>
      <c r="R66" s="715">
        <f t="shared" si="14"/>
        <v>9310</v>
      </c>
      <c r="S66" s="360">
        <f t="shared" si="5"/>
        <v>33</v>
      </c>
    </row>
    <row r="67" spans="1:19">
      <c r="A67" s="158"/>
      <c r="B67" s="717">
        <f>车库清单!C46</f>
        <v>35.26</v>
      </c>
      <c r="C67" s="24">
        <f t="shared" si="6"/>
        <v>1</v>
      </c>
      <c r="D67" s="719"/>
      <c r="E67" s="24">
        <f t="shared" si="7"/>
        <v>1</v>
      </c>
      <c r="F67" s="719"/>
      <c r="G67" s="24">
        <f t="shared" si="8"/>
        <v>1</v>
      </c>
      <c r="H67" s="719"/>
      <c r="I67" s="24">
        <f t="shared" si="9"/>
        <v>1</v>
      </c>
      <c r="J67" s="719"/>
      <c r="K67" s="24">
        <f t="shared" si="10"/>
        <v>1</v>
      </c>
      <c r="L67" s="719"/>
      <c r="M67" s="24">
        <f t="shared" si="11"/>
        <v>1</v>
      </c>
      <c r="N67" s="719"/>
      <c r="O67" s="24">
        <f t="shared" si="12"/>
        <v>1</v>
      </c>
      <c r="P67" s="719"/>
      <c r="Q67" s="24">
        <f t="shared" si="13"/>
        <v>1</v>
      </c>
      <c r="R67" s="715">
        <f t="shared" si="14"/>
        <v>9310</v>
      </c>
      <c r="S67" s="360">
        <f t="shared" si="5"/>
        <v>33</v>
      </c>
    </row>
    <row r="68" spans="1:19">
      <c r="A68" s="158"/>
      <c r="B68" s="717">
        <f>车库清单!C47</f>
        <v>35.26</v>
      </c>
      <c r="C68" s="24">
        <f t="shared" si="6"/>
        <v>1</v>
      </c>
      <c r="D68" s="719"/>
      <c r="E68" s="24">
        <f t="shared" si="7"/>
        <v>1</v>
      </c>
      <c r="F68" s="719"/>
      <c r="G68" s="24">
        <f t="shared" si="8"/>
        <v>1</v>
      </c>
      <c r="H68" s="719"/>
      <c r="I68" s="24">
        <f t="shared" si="9"/>
        <v>1</v>
      </c>
      <c r="J68" s="719"/>
      <c r="K68" s="24">
        <f t="shared" si="10"/>
        <v>1</v>
      </c>
      <c r="L68" s="719"/>
      <c r="M68" s="24">
        <f t="shared" si="11"/>
        <v>1</v>
      </c>
      <c r="N68" s="719"/>
      <c r="O68" s="24">
        <f t="shared" si="12"/>
        <v>1</v>
      </c>
      <c r="P68" s="719"/>
      <c r="Q68" s="24">
        <f t="shared" si="13"/>
        <v>1</v>
      </c>
      <c r="R68" s="715">
        <f t="shared" si="14"/>
        <v>9310</v>
      </c>
      <c r="S68" s="360">
        <f t="shared" si="5"/>
        <v>33</v>
      </c>
    </row>
    <row r="69" spans="1:19">
      <c r="A69" s="158"/>
      <c r="B69" s="717">
        <f>车库清单!C48</f>
        <v>35.26</v>
      </c>
      <c r="C69" s="24">
        <f t="shared" si="6"/>
        <v>1</v>
      </c>
      <c r="D69" s="719"/>
      <c r="E69" s="24">
        <f t="shared" si="7"/>
        <v>1</v>
      </c>
      <c r="F69" s="719"/>
      <c r="G69" s="24">
        <f t="shared" si="8"/>
        <v>1</v>
      </c>
      <c r="H69" s="719"/>
      <c r="I69" s="24">
        <f t="shared" si="9"/>
        <v>1</v>
      </c>
      <c r="J69" s="719"/>
      <c r="K69" s="24">
        <f t="shared" si="10"/>
        <v>1</v>
      </c>
      <c r="L69" s="719"/>
      <c r="M69" s="24">
        <f t="shared" si="11"/>
        <v>1</v>
      </c>
      <c r="N69" s="719"/>
      <c r="O69" s="24">
        <f t="shared" si="12"/>
        <v>1</v>
      </c>
      <c r="P69" s="719"/>
      <c r="Q69" s="24">
        <f t="shared" si="13"/>
        <v>1</v>
      </c>
      <c r="R69" s="715">
        <f t="shared" si="14"/>
        <v>9310</v>
      </c>
      <c r="S69" s="360">
        <f t="shared" si="5"/>
        <v>33</v>
      </c>
    </row>
    <row r="70" spans="1:19">
      <c r="A70" s="158"/>
      <c r="B70" s="717">
        <f>车库清单!C49</f>
        <v>35.26</v>
      </c>
      <c r="C70" s="24">
        <f t="shared" si="6"/>
        <v>1</v>
      </c>
      <c r="D70" s="719"/>
      <c r="E70" s="24">
        <f t="shared" si="7"/>
        <v>1</v>
      </c>
      <c r="F70" s="719"/>
      <c r="G70" s="24">
        <f t="shared" si="8"/>
        <v>1</v>
      </c>
      <c r="H70" s="719"/>
      <c r="I70" s="24">
        <f t="shared" si="9"/>
        <v>1</v>
      </c>
      <c r="J70" s="719"/>
      <c r="K70" s="24">
        <f t="shared" si="10"/>
        <v>1</v>
      </c>
      <c r="L70" s="719"/>
      <c r="M70" s="24">
        <f t="shared" si="11"/>
        <v>1</v>
      </c>
      <c r="N70" s="719"/>
      <c r="O70" s="24">
        <f t="shared" si="12"/>
        <v>1</v>
      </c>
      <c r="P70" s="719"/>
      <c r="Q70" s="24">
        <f t="shared" si="13"/>
        <v>1</v>
      </c>
      <c r="R70" s="715">
        <f t="shared" si="14"/>
        <v>9310</v>
      </c>
      <c r="S70" s="360">
        <f t="shared" si="5"/>
        <v>33</v>
      </c>
    </row>
    <row r="71" spans="1:19">
      <c r="A71" s="158"/>
      <c r="B71" s="717">
        <f>车库清单!C50</f>
        <v>35.26</v>
      </c>
      <c r="C71" s="24">
        <f t="shared" si="6"/>
        <v>1</v>
      </c>
      <c r="D71" s="719"/>
      <c r="E71" s="24">
        <f t="shared" si="7"/>
        <v>1</v>
      </c>
      <c r="F71" s="719"/>
      <c r="G71" s="24">
        <f t="shared" si="8"/>
        <v>1</v>
      </c>
      <c r="H71" s="719"/>
      <c r="I71" s="24">
        <f t="shared" si="9"/>
        <v>1</v>
      </c>
      <c r="J71" s="719"/>
      <c r="K71" s="24">
        <f t="shared" si="10"/>
        <v>1</v>
      </c>
      <c r="L71" s="719"/>
      <c r="M71" s="24">
        <f t="shared" si="11"/>
        <v>1</v>
      </c>
      <c r="N71" s="719"/>
      <c r="O71" s="24">
        <f t="shared" si="12"/>
        <v>1</v>
      </c>
      <c r="P71" s="719"/>
      <c r="Q71" s="24">
        <f t="shared" si="13"/>
        <v>1</v>
      </c>
      <c r="R71" s="715">
        <f t="shared" si="14"/>
        <v>9310</v>
      </c>
      <c r="S71" s="360">
        <f t="shared" si="5"/>
        <v>33</v>
      </c>
    </row>
    <row r="72" spans="1:19">
      <c r="A72" s="158"/>
      <c r="B72" s="717">
        <f>车库清单!C51</f>
        <v>35.26</v>
      </c>
      <c r="C72" s="24">
        <f t="shared" si="6"/>
        <v>1</v>
      </c>
      <c r="D72" s="719"/>
      <c r="E72" s="24">
        <f t="shared" si="7"/>
        <v>1</v>
      </c>
      <c r="F72" s="719"/>
      <c r="G72" s="24">
        <f t="shared" si="8"/>
        <v>1</v>
      </c>
      <c r="H72" s="719"/>
      <c r="I72" s="24">
        <f t="shared" si="9"/>
        <v>1</v>
      </c>
      <c r="J72" s="719"/>
      <c r="K72" s="24">
        <f t="shared" si="10"/>
        <v>1</v>
      </c>
      <c r="L72" s="719"/>
      <c r="M72" s="24">
        <f t="shared" si="11"/>
        <v>1</v>
      </c>
      <c r="N72" s="719"/>
      <c r="O72" s="24">
        <f t="shared" si="12"/>
        <v>1</v>
      </c>
      <c r="P72" s="719"/>
      <c r="Q72" s="24">
        <f t="shared" si="13"/>
        <v>1</v>
      </c>
      <c r="R72" s="715">
        <f t="shared" si="14"/>
        <v>9310</v>
      </c>
      <c r="S72" s="360">
        <f t="shared" si="5"/>
        <v>33</v>
      </c>
    </row>
    <row r="73" spans="1:19">
      <c r="A73" s="158"/>
      <c r="B73" s="717">
        <f>车库清单!C52</f>
        <v>35.26</v>
      </c>
      <c r="C73" s="24">
        <f t="shared" si="6"/>
        <v>1</v>
      </c>
      <c r="D73" s="719"/>
      <c r="E73" s="24">
        <f t="shared" si="7"/>
        <v>1</v>
      </c>
      <c r="F73" s="719"/>
      <c r="G73" s="24">
        <f t="shared" si="8"/>
        <v>1</v>
      </c>
      <c r="H73" s="719"/>
      <c r="I73" s="24">
        <f t="shared" si="9"/>
        <v>1</v>
      </c>
      <c r="J73" s="719"/>
      <c r="K73" s="24">
        <f t="shared" si="10"/>
        <v>1</v>
      </c>
      <c r="L73" s="719"/>
      <c r="M73" s="24">
        <f t="shared" si="11"/>
        <v>1</v>
      </c>
      <c r="N73" s="719"/>
      <c r="O73" s="24">
        <f t="shared" si="12"/>
        <v>1</v>
      </c>
      <c r="P73" s="719"/>
      <c r="Q73" s="24">
        <f t="shared" si="13"/>
        <v>1</v>
      </c>
      <c r="R73" s="715">
        <f t="shared" si="14"/>
        <v>9310</v>
      </c>
      <c r="S73" s="360">
        <f t="shared" si="5"/>
        <v>33</v>
      </c>
    </row>
    <row r="74" spans="1:19">
      <c r="A74" s="158"/>
      <c r="B74" s="717">
        <f>车库清单!C53</f>
        <v>35.26</v>
      </c>
      <c r="C74" s="24">
        <f t="shared" si="6"/>
        <v>1</v>
      </c>
      <c r="D74" s="719"/>
      <c r="E74" s="24">
        <f t="shared" si="7"/>
        <v>1</v>
      </c>
      <c r="F74" s="719"/>
      <c r="G74" s="24">
        <f t="shared" si="8"/>
        <v>1</v>
      </c>
      <c r="H74" s="719"/>
      <c r="I74" s="24">
        <f t="shared" si="9"/>
        <v>1</v>
      </c>
      <c r="J74" s="719"/>
      <c r="K74" s="24">
        <f t="shared" si="10"/>
        <v>1</v>
      </c>
      <c r="L74" s="719"/>
      <c r="M74" s="24">
        <f t="shared" si="11"/>
        <v>1</v>
      </c>
      <c r="N74" s="719"/>
      <c r="O74" s="24">
        <f t="shared" si="12"/>
        <v>1</v>
      </c>
      <c r="P74" s="719"/>
      <c r="Q74" s="24">
        <f t="shared" si="13"/>
        <v>1</v>
      </c>
      <c r="R74" s="715">
        <f t="shared" si="14"/>
        <v>9310</v>
      </c>
      <c r="S74" s="360">
        <f t="shared" si="5"/>
        <v>33</v>
      </c>
    </row>
    <row r="75" spans="1:19">
      <c r="A75" s="158"/>
      <c r="B75" s="717">
        <f>车库清单!C54</f>
        <v>32.32</v>
      </c>
      <c r="C75" s="24">
        <f t="shared" si="6"/>
        <v>1</v>
      </c>
      <c r="D75" s="719"/>
      <c r="E75" s="24">
        <f t="shared" si="7"/>
        <v>1</v>
      </c>
      <c r="F75" s="719"/>
      <c r="G75" s="24">
        <f t="shared" si="8"/>
        <v>1</v>
      </c>
      <c r="H75" s="719"/>
      <c r="I75" s="24">
        <f t="shared" si="9"/>
        <v>1</v>
      </c>
      <c r="J75" s="719"/>
      <c r="K75" s="24">
        <f t="shared" si="10"/>
        <v>1</v>
      </c>
      <c r="L75" s="719"/>
      <c r="M75" s="24">
        <f t="shared" si="11"/>
        <v>1</v>
      </c>
      <c r="N75" s="719"/>
      <c r="O75" s="24">
        <f t="shared" si="12"/>
        <v>1</v>
      </c>
      <c r="P75" s="719"/>
      <c r="Q75" s="24">
        <f t="shared" si="13"/>
        <v>1</v>
      </c>
      <c r="R75" s="715">
        <f t="shared" si="14"/>
        <v>9310</v>
      </c>
      <c r="S75" s="360">
        <f t="shared" si="5"/>
        <v>30</v>
      </c>
    </row>
    <row r="76" spans="1:19">
      <c r="A76" s="158"/>
      <c r="B76" s="717">
        <f>车库清单!C55</f>
        <v>35.26</v>
      </c>
      <c r="C76" s="24">
        <f t="shared" si="6"/>
        <v>1</v>
      </c>
      <c r="D76" s="719"/>
      <c r="E76" s="24">
        <f t="shared" si="7"/>
        <v>1</v>
      </c>
      <c r="F76" s="719"/>
      <c r="G76" s="24">
        <f t="shared" si="8"/>
        <v>1</v>
      </c>
      <c r="H76" s="719"/>
      <c r="I76" s="24">
        <f t="shared" si="9"/>
        <v>1</v>
      </c>
      <c r="J76" s="719"/>
      <c r="K76" s="24">
        <f t="shared" si="10"/>
        <v>1</v>
      </c>
      <c r="L76" s="719"/>
      <c r="M76" s="24">
        <f t="shared" si="11"/>
        <v>1</v>
      </c>
      <c r="N76" s="719"/>
      <c r="O76" s="24">
        <f t="shared" si="12"/>
        <v>1</v>
      </c>
      <c r="P76" s="719"/>
      <c r="Q76" s="24">
        <f t="shared" si="13"/>
        <v>1</v>
      </c>
      <c r="R76" s="715">
        <f t="shared" si="14"/>
        <v>9310</v>
      </c>
      <c r="S76" s="360">
        <f t="shared" si="5"/>
        <v>33</v>
      </c>
    </row>
    <row r="77" spans="1:19">
      <c r="A77" s="158"/>
      <c r="B77" s="717">
        <f>车库清单!C56</f>
        <v>35.26</v>
      </c>
      <c r="C77" s="24">
        <f t="shared" si="6"/>
        <v>1</v>
      </c>
      <c r="D77" s="719"/>
      <c r="E77" s="24">
        <f t="shared" si="7"/>
        <v>1</v>
      </c>
      <c r="F77" s="719"/>
      <c r="G77" s="24">
        <f t="shared" si="8"/>
        <v>1</v>
      </c>
      <c r="H77" s="719"/>
      <c r="I77" s="24">
        <f t="shared" si="9"/>
        <v>1</v>
      </c>
      <c r="J77" s="719"/>
      <c r="K77" s="24">
        <f t="shared" si="10"/>
        <v>1</v>
      </c>
      <c r="L77" s="719"/>
      <c r="M77" s="24">
        <f t="shared" si="11"/>
        <v>1</v>
      </c>
      <c r="N77" s="719"/>
      <c r="O77" s="24">
        <f t="shared" si="12"/>
        <v>1</v>
      </c>
      <c r="P77" s="719"/>
      <c r="Q77" s="24">
        <f t="shared" si="13"/>
        <v>1</v>
      </c>
      <c r="R77" s="715">
        <f t="shared" si="14"/>
        <v>9310</v>
      </c>
      <c r="S77" s="360">
        <f t="shared" si="5"/>
        <v>33</v>
      </c>
    </row>
    <row r="78" spans="1:19">
      <c r="A78" s="158"/>
      <c r="B78" s="717">
        <f>车库清单!C57</f>
        <v>35.26</v>
      </c>
      <c r="C78" s="24">
        <f t="shared" si="6"/>
        <v>1</v>
      </c>
      <c r="D78" s="719"/>
      <c r="E78" s="24">
        <f t="shared" si="7"/>
        <v>1</v>
      </c>
      <c r="F78" s="719"/>
      <c r="G78" s="24">
        <f t="shared" si="8"/>
        <v>1</v>
      </c>
      <c r="H78" s="719"/>
      <c r="I78" s="24">
        <f t="shared" si="9"/>
        <v>1</v>
      </c>
      <c r="J78" s="719"/>
      <c r="K78" s="24">
        <f t="shared" si="10"/>
        <v>1</v>
      </c>
      <c r="L78" s="719"/>
      <c r="M78" s="24">
        <f t="shared" si="11"/>
        <v>1</v>
      </c>
      <c r="N78" s="719"/>
      <c r="O78" s="24">
        <f t="shared" si="12"/>
        <v>1</v>
      </c>
      <c r="P78" s="719"/>
      <c r="Q78" s="24">
        <f t="shared" si="13"/>
        <v>1</v>
      </c>
      <c r="R78" s="715">
        <f t="shared" si="14"/>
        <v>9310</v>
      </c>
      <c r="S78" s="360">
        <f t="shared" si="5"/>
        <v>33</v>
      </c>
    </row>
    <row r="79" spans="1:19">
      <c r="A79" s="158"/>
      <c r="B79" s="717">
        <f>车库清单!C58</f>
        <v>35.26</v>
      </c>
      <c r="C79" s="24">
        <f t="shared" si="6"/>
        <v>1</v>
      </c>
      <c r="D79" s="719"/>
      <c r="E79" s="24">
        <f t="shared" si="7"/>
        <v>1</v>
      </c>
      <c r="F79" s="719"/>
      <c r="G79" s="24">
        <f t="shared" si="8"/>
        <v>1</v>
      </c>
      <c r="H79" s="719"/>
      <c r="I79" s="24">
        <f t="shared" si="9"/>
        <v>1</v>
      </c>
      <c r="J79" s="719"/>
      <c r="K79" s="24">
        <f t="shared" si="10"/>
        <v>1</v>
      </c>
      <c r="L79" s="719"/>
      <c r="M79" s="24">
        <f t="shared" si="11"/>
        <v>1</v>
      </c>
      <c r="N79" s="719"/>
      <c r="O79" s="24">
        <f t="shared" si="12"/>
        <v>1</v>
      </c>
      <c r="P79" s="719"/>
      <c r="Q79" s="24">
        <f t="shared" si="13"/>
        <v>1</v>
      </c>
      <c r="R79" s="715">
        <f t="shared" si="14"/>
        <v>9310</v>
      </c>
      <c r="S79" s="360">
        <f t="shared" si="5"/>
        <v>33</v>
      </c>
    </row>
    <row r="80" spans="1:19">
      <c r="A80" s="158"/>
      <c r="B80" s="717">
        <f>车库清单!C59</f>
        <v>35.26</v>
      </c>
      <c r="C80" s="24">
        <f t="shared" si="6"/>
        <v>1</v>
      </c>
      <c r="D80" s="719"/>
      <c r="E80" s="24">
        <f t="shared" si="7"/>
        <v>1</v>
      </c>
      <c r="F80" s="719"/>
      <c r="G80" s="24">
        <f t="shared" si="8"/>
        <v>1</v>
      </c>
      <c r="H80" s="719"/>
      <c r="I80" s="24">
        <f t="shared" si="9"/>
        <v>1</v>
      </c>
      <c r="J80" s="719"/>
      <c r="K80" s="24">
        <f t="shared" si="10"/>
        <v>1</v>
      </c>
      <c r="L80" s="719"/>
      <c r="M80" s="24">
        <f t="shared" si="11"/>
        <v>1</v>
      </c>
      <c r="N80" s="719"/>
      <c r="O80" s="24">
        <f t="shared" si="12"/>
        <v>1</v>
      </c>
      <c r="P80" s="719"/>
      <c r="Q80" s="24">
        <f t="shared" si="13"/>
        <v>1</v>
      </c>
      <c r="R80" s="715">
        <f t="shared" si="14"/>
        <v>9310</v>
      </c>
      <c r="S80" s="360">
        <f t="shared" si="5"/>
        <v>33</v>
      </c>
    </row>
    <row r="81" spans="1:19">
      <c r="A81" s="158"/>
      <c r="B81" s="717">
        <f>车库清单!C60</f>
        <v>35.26</v>
      </c>
      <c r="C81" s="24">
        <f t="shared" si="6"/>
        <v>1</v>
      </c>
      <c r="D81" s="719"/>
      <c r="E81" s="24">
        <f t="shared" si="7"/>
        <v>1</v>
      </c>
      <c r="F81" s="719"/>
      <c r="G81" s="24">
        <f t="shared" si="8"/>
        <v>1</v>
      </c>
      <c r="H81" s="719"/>
      <c r="I81" s="24">
        <f t="shared" si="9"/>
        <v>1</v>
      </c>
      <c r="J81" s="719"/>
      <c r="K81" s="24">
        <f t="shared" si="10"/>
        <v>1</v>
      </c>
      <c r="L81" s="719"/>
      <c r="M81" s="24">
        <f t="shared" si="11"/>
        <v>1</v>
      </c>
      <c r="N81" s="719"/>
      <c r="O81" s="24">
        <f t="shared" si="12"/>
        <v>1</v>
      </c>
      <c r="P81" s="719"/>
      <c r="Q81" s="24">
        <f t="shared" si="13"/>
        <v>1</v>
      </c>
      <c r="R81" s="715">
        <f t="shared" si="14"/>
        <v>9310</v>
      </c>
      <c r="S81" s="360">
        <f t="shared" si="5"/>
        <v>33</v>
      </c>
    </row>
    <row r="82" spans="1:19">
      <c r="A82" s="158"/>
      <c r="B82" s="717">
        <f>车库清单!C61</f>
        <v>35.26</v>
      </c>
      <c r="C82" s="24">
        <f t="shared" si="6"/>
        <v>1</v>
      </c>
      <c r="D82" s="719"/>
      <c r="E82" s="24">
        <f t="shared" si="7"/>
        <v>1</v>
      </c>
      <c r="F82" s="719"/>
      <c r="G82" s="24">
        <f t="shared" si="8"/>
        <v>1</v>
      </c>
      <c r="H82" s="719"/>
      <c r="I82" s="24">
        <f t="shared" si="9"/>
        <v>1</v>
      </c>
      <c r="J82" s="719"/>
      <c r="K82" s="24">
        <f t="shared" si="10"/>
        <v>1</v>
      </c>
      <c r="L82" s="719"/>
      <c r="M82" s="24">
        <f t="shared" si="11"/>
        <v>1</v>
      </c>
      <c r="N82" s="719"/>
      <c r="O82" s="24">
        <f t="shared" si="12"/>
        <v>1</v>
      </c>
      <c r="P82" s="719"/>
      <c r="Q82" s="24">
        <f t="shared" si="13"/>
        <v>1</v>
      </c>
      <c r="R82" s="715">
        <f t="shared" si="14"/>
        <v>9310</v>
      </c>
      <c r="S82" s="360">
        <f t="shared" si="5"/>
        <v>33</v>
      </c>
    </row>
    <row r="83" spans="1:19">
      <c r="A83" s="158"/>
      <c r="B83" s="717">
        <f>车库清单!C62</f>
        <v>35.26</v>
      </c>
      <c r="C83" s="24">
        <f t="shared" si="6"/>
        <v>1</v>
      </c>
      <c r="D83" s="719"/>
      <c r="E83" s="24">
        <f t="shared" si="7"/>
        <v>1</v>
      </c>
      <c r="F83" s="719"/>
      <c r="G83" s="24">
        <f t="shared" si="8"/>
        <v>1</v>
      </c>
      <c r="H83" s="719"/>
      <c r="I83" s="24">
        <f t="shared" si="9"/>
        <v>1</v>
      </c>
      <c r="J83" s="719"/>
      <c r="K83" s="24">
        <f t="shared" si="10"/>
        <v>1</v>
      </c>
      <c r="L83" s="719"/>
      <c r="M83" s="24">
        <f t="shared" si="11"/>
        <v>1</v>
      </c>
      <c r="N83" s="719"/>
      <c r="O83" s="24">
        <f t="shared" si="12"/>
        <v>1</v>
      </c>
      <c r="P83" s="719"/>
      <c r="Q83" s="24">
        <f t="shared" si="13"/>
        <v>1</v>
      </c>
      <c r="R83" s="715">
        <f t="shared" si="14"/>
        <v>9310</v>
      </c>
      <c r="S83" s="360">
        <f t="shared" si="5"/>
        <v>33</v>
      </c>
    </row>
    <row r="84" spans="1:19">
      <c r="A84" s="158"/>
      <c r="B84" s="717">
        <f>车库清单!C63</f>
        <v>35.26</v>
      </c>
      <c r="C84" s="24">
        <f t="shared" si="6"/>
        <v>1</v>
      </c>
      <c r="D84" s="719"/>
      <c r="E84" s="24">
        <f t="shared" si="7"/>
        <v>1</v>
      </c>
      <c r="F84" s="719"/>
      <c r="G84" s="24">
        <f t="shared" si="8"/>
        <v>1</v>
      </c>
      <c r="H84" s="719"/>
      <c r="I84" s="24">
        <f t="shared" si="9"/>
        <v>1</v>
      </c>
      <c r="J84" s="719"/>
      <c r="K84" s="24">
        <f t="shared" si="10"/>
        <v>1</v>
      </c>
      <c r="L84" s="719"/>
      <c r="M84" s="24">
        <f t="shared" si="11"/>
        <v>1</v>
      </c>
      <c r="N84" s="719"/>
      <c r="O84" s="24">
        <f t="shared" si="12"/>
        <v>1</v>
      </c>
      <c r="P84" s="719"/>
      <c r="Q84" s="24">
        <f t="shared" si="13"/>
        <v>1</v>
      </c>
      <c r="R84" s="715">
        <f t="shared" si="14"/>
        <v>9310</v>
      </c>
      <c r="S84" s="360">
        <f t="shared" si="5"/>
        <v>33</v>
      </c>
    </row>
    <row r="85" spans="1:19">
      <c r="A85" s="158"/>
      <c r="B85" s="717">
        <f>车库清单!C64</f>
        <v>35.26</v>
      </c>
      <c r="C85" s="24">
        <f t="shared" si="6"/>
        <v>1</v>
      </c>
      <c r="D85" s="719"/>
      <c r="E85" s="24">
        <f t="shared" si="7"/>
        <v>1</v>
      </c>
      <c r="F85" s="719"/>
      <c r="G85" s="24">
        <f t="shared" si="8"/>
        <v>1</v>
      </c>
      <c r="H85" s="719"/>
      <c r="I85" s="24">
        <f t="shared" si="9"/>
        <v>1</v>
      </c>
      <c r="J85" s="719"/>
      <c r="K85" s="24">
        <f t="shared" si="10"/>
        <v>1</v>
      </c>
      <c r="L85" s="719"/>
      <c r="M85" s="24">
        <f t="shared" si="11"/>
        <v>1</v>
      </c>
      <c r="N85" s="719"/>
      <c r="O85" s="24">
        <f t="shared" si="12"/>
        <v>1</v>
      </c>
      <c r="P85" s="719"/>
      <c r="Q85" s="24">
        <f t="shared" si="13"/>
        <v>1</v>
      </c>
      <c r="R85" s="715">
        <f t="shared" si="14"/>
        <v>9310</v>
      </c>
      <c r="S85" s="360">
        <f t="shared" si="5"/>
        <v>33</v>
      </c>
    </row>
    <row r="86" spans="1:19">
      <c r="A86" s="158"/>
      <c r="B86" s="717">
        <f>车库清单!C65</f>
        <v>35.26</v>
      </c>
      <c r="C86" s="24">
        <f t="shared" si="6"/>
        <v>1</v>
      </c>
      <c r="D86" s="719"/>
      <c r="E86" s="24">
        <f t="shared" si="7"/>
        <v>1</v>
      </c>
      <c r="F86" s="719"/>
      <c r="G86" s="24">
        <f t="shared" si="8"/>
        <v>1</v>
      </c>
      <c r="H86" s="719"/>
      <c r="I86" s="24">
        <f t="shared" si="9"/>
        <v>1</v>
      </c>
      <c r="J86" s="719"/>
      <c r="K86" s="24">
        <f t="shared" si="10"/>
        <v>1</v>
      </c>
      <c r="L86" s="719"/>
      <c r="M86" s="24">
        <f t="shared" si="11"/>
        <v>1</v>
      </c>
      <c r="N86" s="719"/>
      <c r="O86" s="24">
        <f t="shared" si="12"/>
        <v>1</v>
      </c>
      <c r="P86" s="719"/>
      <c r="Q86" s="24">
        <f t="shared" si="13"/>
        <v>1</v>
      </c>
      <c r="R86" s="715">
        <f t="shared" si="14"/>
        <v>9310</v>
      </c>
      <c r="S86" s="360">
        <f t="shared" si="5"/>
        <v>33</v>
      </c>
    </row>
    <row r="87" spans="1:19">
      <c r="A87" s="158"/>
      <c r="B87" s="717">
        <f>车库清单!C66</f>
        <v>35.26</v>
      </c>
      <c r="C87" s="24">
        <f t="shared" si="6"/>
        <v>1</v>
      </c>
      <c r="D87" s="719"/>
      <c r="E87" s="24">
        <f t="shared" si="7"/>
        <v>1</v>
      </c>
      <c r="F87" s="719"/>
      <c r="G87" s="24">
        <f t="shared" si="8"/>
        <v>1</v>
      </c>
      <c r="H87" s="719"/>
      <c r="I87" s="24">
        <f t="shared" si="9"/>
        <v>1</v>
      </c>
      <c r="J87" s="719"/>
      <c r="K87" s="24">
        <f t="shared" si="10"/>
        <v>1</v>
      </c>
      <c r="L87" s="719"/>
      <c r="M87" s="24">
        <f t="shared" si="11"/>
        <v>1</v>
      </c>
      <c r="N87" s="719"/>
      <c r="O87" s="24">
        <f t="shared" si="12"/>
        <v>1</v>
      </c>
      <c r="P87" s="719"/>
      <c r="Q87" s="24">
        <f t="shared" si="13"/>
        <v>1</v>
      </c>
      <c r="R87" s="715">
        <f t="shared" si="14"/>
        <v>9310</v>
      </c>
      <c r="S87" s="360">
        <f t="shared" si="5"/>
        <v>33</v>
      </c>
    </row>
    <row r="88" spans="1:19">
      <c r="A88" s="158"/>
      <c r="B88" s="717">
        <f>车库清单!C67</f>
        <v>35.26</v>
      </c>
      <c r="C88" s="24">
        <f t="shared" si="6"/>
        <v>1</v>
      </c>
      <c r="D88" s="719"/>
      <c r="E88" s="24">
        <f t="shared" si="7"/>
        <v>1</v>
      </c>
      <c r="F88" s="719"/>
      <c r="G88" s="24">
        <f t="shared" si="8"/>
        <v>1</v>
      </c>
      <c r="H88" s="719"/>
      <c r="I88" s="24">
        <f t="shared" si="9"/>
        <v>1</v>
      </c>
      <c r="J88" s="719"/>
      <c r="K88" s="24">
        <f t="shared" si="10"/>
        <v>1</v>
      </c>
      <c r="L88" s="719"/>
      <c r="M88" s="24">
        <f t="shared" si="11"/>
        <v>1</v>
      </c>
      <c r="N88" s="719"/>
      <c r="O88" s="24">
        <f t="shared" si="12"/>
        <v>1</v>
      </c>
      <c r="P88" s="719"/>
      <c r="Q88" s="24">
        <f t="shared" si="13"/>
        <v>1</v>
      </c>
      <c r="R88" s="715">
        <f t="shared" si="14"/>
        <v>9310</v>
      </c>
      <c r="S88" s="360">
        <f t="shared" ref="S88:S151" si="15">ROUND(R88*B88/10000,0)</f>
        <v>33</v>
      </c>
    </row>
    <row r="89" spans="1:19">
      <c r="A89" s="158"/>
      <c r="B89" s="717">
        <f>车库清单!C68</f>
        <v>35.26</v>
      </c>
      <c r="C89" s="24">
        <f t="shared" si="6"/>
        <v>1</v>
      </c>
      <c r="D89" s="719"/>
      <c r="E89" s="24">
        <f t="shared" si="7"/>
        <v>1</v>
      </c>
      <c r="F89" s="719"/>
      <c r="G89" s="24">
        <f t="shared" si="8"/>
        <v>1</v>
      </c>
      <c r="H89" s="719"/>
      <c r="I89" s="24">
        <f t="shared" si="9"/>
        <v>1</v>
      </c>
      <c r="J89" s="719"/>
      <c r="K89" s="24">
        <f t="shared" si="10"/>
        <v>1</v>
      </c>
      <c r="L89" s="719"/>
      <c r="M89" s="24">
        <f t="shared" si="11"/>
        <v>1</v>
      </c>
      <c r="N89" s="719"/>
      <c r="O89" s="24">
        <f t="shared" si="12"/>
        <v>1</v>
      </c>
      <c r="P89" s="719"/>
      <c r="Q89" s="24">
        <f t="shared" si="13"/>
        <v>1</v>
      </c>
      <c r="R89" s="715">
        <f t="shared" si="14"/>
        <v>9310</v>
      </c>
      <c r="S89" s="360">
        <f t="shared" si="15"/>
        <v>33</v>
      </c>
    </row>
    <row r="90" spans="1:19">
      <c r="A90" s="158"/>
      <c r="B90" s="717">
        <f>车库清单!C69</f>
        <v>35.26</v>
      </c>
      <c r="C90" s="24">
        <f t="shared" ref="C90:C153" si="16">IF(B90="",1,(LOOKUP(B90,$3:$3,$4:$4)-LOOKUP($B$24,$3:$3,$4:$4)+100)/100)</f>
        <v>1</v>
      </c>
      <c r="D90" s="719"/>
      <c r="E90" s="24">
        <f t="shared" ref="E90:E153" si="17">(SUMIF($5:$5,D90,$6:$6)-SUMIF($5:$5,$D$24,$6:$6)+100)/100</f>
        <v>1</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9310</v>
      </c>
      <c r="S90" s="360">
        <f t="shared" si="15"/>
        <v>33</v>
      </c>
    </row>
    <row r="91" spans="1:19">
      <c r="A91" s="158"/>
      <c r="B91" s="717">
        <f>车库清单!C70</f>
        <v>35.26</v>
      </c>
      <c r="C91" s="24">
        <f t="shared" si="16"/>
        <v>1</v>
      </c>
      <c r="D91" s="719"/>
      <c r="E91" s="24">
        <f t="shared" si="17"/>
        <v>1</v>
      </c>
      <c r="F91" s="719"/>
      <c r="G91" s="24">
        <f t="shared" si="18"/>
        <v>1</v>
      </c>
      <c r="H91" s="719"/>
      <c r="I91" s="24">
        <f t="shared" si="19"/>
        <v>1</v>
      </c>
      <c r="J91" s="719"/>
      <c r="K91" s="24">
        <f t="shared" si="20"/>
        <v>1</v>
      </c>
      <c r="L91" s="719"/>
      <c r="M91" s="24">
        <f t="shared" si="21"/>
        <v>1</v>
      </c>
      <c r="N91" s="719"/>
      <c r="O91" s="24">
        <f t="shared" si="22"/>
        <v>1</v>
      </c>
      <c r="P91" s="719"/>
      <c r="Q91" s="24">
        <f t="shared" si="23"/>
        <v>1</v>
      </c>
      <c r="R91" s="715">
        <f t="shared" si="24"/>
        <v>9310</v>
      </c>
      <c r="S91" s="360">
        <f t="shared" si="15"/>
        <v>33</v>
      </c>
    </row>
    <row r="92" spans="1:19">
      <c r="A92" s="158"/>
      <c r="B92" s="717">
        <f>车库清单!C71</f>
        <v>35.26</v>
      </c>
      <c r="C92" s="24">
        <f t="shared" si="16"/>
        <v>1</v>
      </c>
      <c r="D92" s="719"/>
      <c r="E92" s="24">
        <f t="shared" si="17"/>
        <v>1</v>
      </c>
      <c r="F92" s="719"/>
      <c r="G92" s="24">
        <f t="shared" si="18"/>
        <v>1</v>
      </c>
      <c r="H92" s="719"/>
      <c r="I92" s="24">
        <f t="shared" si="19"/>
        <v>1</v>
      </c>
      <c r="J92" s="719"/>
      <c r="K92" s="24">
        <f t="shared" si="20"/>
        <v>1</v>
      </c>
      <c r="L92" s="719"/>
      <c r="M92" s="24">
        <f t="shared" si="21"/>
        <v>1</v>
      </c>
      <c r="N92" s="719"/>
      <c r="O92" s="24">
        <f t="shared" si="22"/>
        <v>1</v>
      </c>
      <c r="P92" s="719"/>
      <c r="Q92" s="24">
        <f t="shared" si="23"/>
        <v>1</v>
      </c>
      <c r="R92" s="715">
        <f t="shared" si="24"/>
        <v>9310</v>
      </c>
      <c r="S92" s="360">
        <f t="shared" si="15"/>
        <v>33</v>
      </c>
    </row>
    <row r="93" spans="1:19">
      <c r="A93" s="158"/>
      <c r="B93" s="717">
        <f>车库清单!C72</f>
        <v>35.26</v>
      </c>
      <c r="C93" s="24">
        <f t="shared" si="16"/>
        <v>1</v>
      </c>
      <c r="D93" s="719"/>
      <c r="E93" s="24">
        <f t="shared" si="17"/>
        <v>1</v>
      </c>
      <c r="F93" s="719"/>
      <c r="G93" s="24">
        <f t="shared" si="18"/>
        <v>1</v>
      </c>
      <c r="H93" s="719"/>
      <c r="I93" s="24">
        <f t="shared" si="19"/>
        <v>1</v>
      </c>
      <c r="J93" s="719"/>
      <c r="K93" s="24">
        <f t="shared" si="20"/>
        <v>1</v>
      </c>
      <c r="L93" s="719"/>
      <c r="M93" s="24">
        <f t="shared" si="21"/>
        <v>1</v>
      </c>
      <c r="N93" s="719"/>
      <c r="O93" s="24">
        <f t="shared" si="22"/>
        <v>1</v>
      </c>
      <c r="P93" s="719"/>
      <c r="Q93" s="24">
        <f t="shared" si="23"/>
        <v>1</v>
      </c>
      <c r="R93" s="715">
        <f t="shared" si="24"/>
        <v>9310</v>
      </c>
      <c r="S93" s="360">
        <f t="shared" si="15"/>
        <v>33</v>
      </c>
    </row>
    <row r="94" spans="1:19">
      <c r="A94" s="158"/>
      <c r="B94" s="717">
        <f>车库清单!C73</f>
        <v>35.26</v>
      </c>
      <c r="C94" s="24">
        <f t="shared" si="16"/>
        <v>1</v>
      </c>
      <c r="D94" s="719"/>
      <c r="E94" s="24">
        <f t="shared" si="17"/>
        <v>1</v>
      </c>
      <c r="F94" s="719"/>
      <c r="G94" s="24">
        <f t="shared" si="18"/>
        <v>1</v>
      </c>
      <c r="H94" s="719"/>
      <c r="I94" s="24">
        <f t="shared" si="19"/>
        <v>1</v>
      </c>
      <c r="J94" s="719"/>
      <c r="K94" s="24">
        <f t="shared" si="20"/>
        <v>1</v>
      </c>
      <c r="L94" s="719"/>
      <c r="M94" s="24">
        <f t="shared" si="21"/>
        <v>1</v>
      </c>
      <c r="N94" s="719"/>
      <c r="O94" s="24">
        <f t="shared" si="22"/>
        <v>1</v>
      </c>
      <c r="P94" s="719"/>
      <c r="Q94" s="24">
        <f t="shared" si="23"/>
        <v>1</v>
      </c>
      <c r="R94" s="715">
        <f t="shared" si="24"/>
        <v>9310</v>
      </c>
      <c r="S94" s="360">
        <f t="shared" si="15"/>
        <v>33</v>
      </c>
    </row>
    <row r="95" spans="1:19">
      <c r="A95" s="158"/>
      <c r="B95" s="717">
        <f>车库清单!C74</f>
        <v>35.26</v>
      </c>
      <c r="C95" s="24">
        <f t="shared" si="16"/>
        <v>1</v>
      </c>
      <c r="D95" s="719"/>
      <c r="E95" s="24">
        <f t="shared" si="17"/>
        <v>1</v>
      </c>
      <c r="F95" s="719"/>
      <c r="G95" s="24">
        <f t="shared" si="18"/>
        <v>1</v>
      </c>
      <c r="H95" s="719"/>
      <c r="I95" s="24">
        <f t="shared" si="19"/>
        <v>1</v>
      </c>
      <c r="J95" s="719"/>
      <c r="K95" s="24">
        <f t="shared" si="20"/>
        <v>1</v>
      </c>
      <c r="L95" s="719"/>
      <c r="M95" s="24">
        <f t="shared" si="21"/>
        <v>1</v>
      </c>
      <c r="N95" s="719"/>
      <c r="O95" s="24">
        <f t="shared" si="22"/>
        <v>1</v>
      </c>
      <c r="P95" s="719"/>
      <c r="Q95" s="24">
        <f t="shared" si="23"/>
        <v>1</v>
      </c>
      <c r="R95" s="715">
        <f t="shared" si="24"/>
        <v>9310</v>
      </c>
      <c r="S95" s="360">
        <f t="shared" si="15"/>
        <v>33</v>
      </c>
    </row>
    <row r="96" spans="1:19">
      <c r="A96" s="158"/>
      <c r="B96" s="717">
        <f>车库清单!C75</f>
        <v>35.26</v>
      </c>
      <c r="C96" s="24">
        <f t="shared" si="16"/>
        <v>1</v>
      </c>
      <c r="D96" s="719"/>
      <c r="E96" s="24">
        <f t="shared" si="17"/>
        <v>1</v>
      </c>
      <c r="F96" s="719"/>
      <c r="G96" s="24">
        <f t="shared" si="18"/>
        <v>1</v>
      </c>
      <c r="H96" s="719"/>
      <c r="I96" s="24">
        <f t="shared" si="19"/>
        <v>1</v>
      </c>
      <c r="J96" s="719"/>
      <c r="K96" s="24">
        <f t="shared" si="20"/>
        <v>1</v>
      </c>
      <c r="L96" s="719"/>
      <c r="M96" s="24">
        <f t="shared" si="21"/>
        <v>1</v>
      </c>
      <c r="N96" s="719"/>
      <c r="O96" s="24">
        <f t="shared" si="22"/>
        <v>1</v>
      </c>
      <c r="P96" s="719"/>
      <c r="Q96" s="24">
        <f t="shared" si="23"/>
        <v>1</v>
      </c>
      <c r="R96" s="715">
        <f t="shared" si="24"/>
        <v>9310</v>
      </c>
      <c r="S96" s="360">
        <f t="shared" si="15"/>
        <v>33</v>
      </c>
    </row>
    <row r="97" spans="1:19">
      <c r="A97" s="158"/>
      <c r="B97" s="717">
        <f>车库清单!C76</f>
        <v>35.26</v>
      </c>
      <c r="C97" s="24">
        <f t="shared" si="16"/>
        <v>1</v>
      </c>
      <c r="D97" s="719"/>
      <c r="E97" s="24">
        <f t="shared" si="17"/>
        <v>1</v>
      </c>
      <c r="F97" s="719"/>
      <c r="G97" s="24">
        <f t="shared" si="18"/>
        <v>1</v>
      </c>
      <c r="H97" s="719"/>
      <c r="I97" s="24">
        <f t="shared" si="19"/>
        <v>1</v>
      </c>
      <c r="J97" s="719"/>
      <c r="K97" s="24">
        <f t="shared" si="20"/>
        <v>1</v>
      </c>
      <c r="L97" s="719"/>
      <c r="M97" s="24">
        <f t="shared" si="21"/>
        <v>1</v>
      </c>
      <c r="N97" s="719"/>
      <c r="O97" s="24">
        <f t="shared" si="22"/>
        <v>1</v>
      </c>
      <c r="P97" s="719"/>
      <c r="Q97" s="24">
        <f t="shared" si="23"/>
        <v>1</v>
      </c>
      <c r="R97" s="715">
        <f t="shared" si="24"/>
        <v>9310</v>
      </c>
      <c r="S97" s="360">
        <f t="shared" si="15"/>
        <v>33</v>
      </c>
    </row>
    <row r="98" spans="1:19">
      <c r="A98" s="158"/>
      <c r="B98" s="717">
        <f>车库清单!C77</f>
        <v>35.26</v>
      </c>
      <c r="C98" s="24">
        <f t="shared" si="16"/>
        <v>1</v>
      </c>
      <c r="D98" s="719"/>
      <c r="E98" s="24">
        <f t="shared" si="17"/>
        <v>1</v>
      </c>
      <c r="F98" s="719"/>
      <c r="G98" s="24">
        <f t="shared" si="18"/>
        <v>1</v>
      </c>
      <c r="H98" s="719"/>
      <c r="I98" s="24">
        <f t="shared" si="19"/>
        <v>1</v>
      </c>
      <c r="J98" s="719"/>
      <c r="K98" s="24">
        <f t="shared" si="20"/>
        <v>1</v>
      </c>
      <c r="L98" s="719"/>
      <c r="M98" s="24">
        <f t="shared" si="21"/>
        <v>1</v>
      </c>
      <c r="N98" s="719"/>
      <c r="O98" s="24">
        <f t="shared" si="22"/>
        <v>1</v>
      </c>
      <c r="P98" s="719"/>
      <c r="Q98" s="24">
        <f t="shared" si="23"/>
        <v>1</v>
      </c>
      <c r="R98" s="715">
        <f t="shared" si="24"/>
        <v>9310</v>
      </c>
      <c r="S98" s="360">
        <f t="shared" si="15"/>
        <v>33</v>
      </c>
    </row>
    <row r="99" spans="1:19">
      <c r="A99" s="158"/>
      <c r="B99" s="717">
        <f>车库清单!C78</f>
        <v>35.26</v>
      </c>
      <c r="C99" s="24">
        <f t="shared" si="16"/>
        <v>1</v>
      </c>
      <c r="D99" s="719"/>
      <c r="E99" s="24">
        <f t="shared" si="17"/>
        <v>1</v>
      </c>
      <c r="F99" s="719"/>
      <c r="G99" s="24">
        <f t="shared" si="18"/>
        <v>1</v>
      </c>
      <c r="H99" s="719"/>
      <c r="I99" s="24">
        <f t="shared" si="19"/>
        <v>1</v>
      </c>
      <c r="J99" s="719"/>
      <c r="K99" s="24">
        <f t="shared" si="20"/>
        <v>1</v>
      </c>
      <c r="L99" s="719"/>
      <c r="M99" s="24">
        <f t="shared" si="21"/>
        <v>1</v>
      </c>
      <c r="N99" s="719"/>
      <c r="O99" s="24">
        <f t="shared" si="22"/>
        <v>1</v>
      </c>
      <c r="P99" s="719"/>
      <c r="Q99" s="24">
        <f t="shared" si="23"/>
        <v>1</v>
      </c>
      <c r="R99" s="715">
        <f t="shared" si="24"/>
        <v>9310</v>
      </c>
      <c r="S99" s="360">
        <f t="shared" si="15"/>
        <v>33</v>
      </c>
    </row>
    <row r="100" spans="1:19">
      <c r="A100" s="158"/>
      <c r="B100" s="717">
        <f>车库清单!C79</f>
        <v>35.26</v>
      </c>
      <c r="C100" s="24">
        <f t="shared" si="16"/>
        <v>1</v>
      </c>
      <c r="D100" s="719"/>
      <c r="E100" s="24">
        <f t="shared" si="17"/>
        <v>1</v>
      </c>
      <c r="F100" s="719"/>
      <c r="G100" s="24">
        <f t="shared" si="18"/>
        <v>1</v>
      </c>
      <c r="H100" s="719"/>
      <c r="I100" s="24">
        <f t="shared" si="19"/>
        <v>1</v>
      </c>
      <c r="J100" s="719"/>
      <c r="K100" s="24">
        <f t="shared" si="20"/>
        <v>1</v>
      </c>
      <c r="L100" s="719"/>
      <c r="M100" s="24">
        <f t="shared" si="21"/>
        <v>1</v>
      </c>
      <c r="N100" s="719"/>
      <c r="O100" s="24">
        <f t="shared" si="22"/>
        <v>1</v>
      </c>
      <c r="P100" s="719"/>
      <c r="Q100" s="24">
        <f t="shared" si="23"/>
        <v>1</v>
      </c>
      <c r="R100" s="715">
        <f t="shared" si="24"/>
        <v>9310</v>
      </c>
      <c r="S100" s="360">
        <f t="shared" si="15"/>
        <v>33</v>
      </c>
    </row>
    <row r="101" spans="1:19">
      <c r="A101" s="158"/>
      <c r="B101" s="717">
        <f>车库清单!C80</f>
        <v>35.26</v>
      </c>
      <c r="C101" s="24">
        <f t="shared" si="16"/>
        <v>1</v>
      </c>
      <c r="D101" s="719"/>
      <c r="E101" s="24">
        <f t="shared" si="17"/>
        <v>1</v>
      </c>
      <c r="F101" s="719"/>
      <c r="G101" s="24">
        <f t="shared" si="18"/>
        <v>1</v>
      </c>
      <c r="H101" s="719"/>
      <c r="I101" s="24">
        <f t="shared" si="19"/>
        <v>1</v>
      </c>
      <c r="J101" s="719"/>
      <c r="K101" s="24">
        <f t="shared" si="20"/>
        <v>1</v>
      </c>
      <c r="L101" s="719"/>
      <c r="M101" s="24">
        <f t="shared" si="21"/>
        <v>1</v>
      </c>
      <c r="N101" s="719"/>
      <c r="O101" s="24">
        <f t="shared" si="22"/>
        <v>1</v>
      </c>
      <c r="P101" s="719"/>
      <c r="Q101" s="24">
        <f t="shared" si="23"/>
        <v>1</v>
      </c>
      <c r="R101" s="715">
        <f t="shared" si="24"/>
        <v>9310</v>
      </c>
      <c r="S101" s="360">
        <f t="shared" si="15"/>
        <v>33</v>
      </c>
    </row>
    <row r="102" spans="1:19">
      <c r="A102" s="158"/>
      <c r="B102" s="717">
        <f>车库清单!C81</f>
        <v>35.26</v>
      </c>
      <c r="C102" s="24">
        <f t="shared" si="16"/>
        <v>1</v>
      </c>
      <c r="D102" s="719"/>
      <c r="E102" s="24">
        <f t="shared" si="17"/>
        <v>1</v>
      </c>
      <c r="F102" s="719"/>
      <c r="G102" s="24">
        <f t="shared" si="18"/>
        <v>1</v>
      </c>
      <c r="H102" s="719"/>
      <c r="I102" s="24">
        <f t="shared" si="19"/>
        <v>1</v>
      </c>
      <c r="J102" s="719"/>
      <c r="K102" s="24">
        <f t="shared" si="20"/>
        <v>1</v>
      </c>
      <c r="L102" s="719"/>
      <c r="M102" s="24">
        <f t="shared" si="21"/>
        <v>1</v>
      </c>
      <c r="N102" s="719"/>
      <c r="O102" s="24">
        <f t="shared" si="22"/>
        <v>1</v>
      </c>
      <c r="P102" s="719"/>
      <c r="Q102" s="24">
        <f t="shared" si="23"/>
        <v>1</v>
      </c>
      <c r="R102" s="715">
        <f t="shared" si="24"/>
        <v>9310</v>
      </c>
      <c r="S102" s="360">
        <f t="shared" si="15"/>
        <v>33</v>
      </c>
    </row>
    <row r="103" spans="1:19">
      <c r="A103" s="158"/>
      <c r="B103" s="717">
        <f>车库清单!C82</f>
        <v>35.26</v>
      </c>
      <c r="C103" s="24">
        <f t="shared" si="16"/>
        <v>1</v>
      </c>
      <c r="D103" s="719"/>
      <c r="E103" s="24">
        <f t="shared" si="17"/>
        <v>1</v>
      </c>
      <c r="F103" s="719"/>
      <c r="G103" s="24">
        <f t="shared" si="18"/>
        <v>1</v>
      </c>
      <c r="H103" s="719"/>
      <c r="I103" s="24">
        <f t="shared" si="19"/>
        <v>1</v>
      </c>
      <c r="J103" s="719"/>
      <c r="K103" s="24">
        <f t="shared" si="20"/>
        <v>1</v>
      </c>
      <c r="L103" s="719"/>
      <c r="M103" s="24">
        <f t="shared" si="21"/>
        <v>1</v>
      </c>
      <c r="N103" s="719"/>
      <c r="O103" s="24">
        <f t="shared" si="22"/>
        <v>1</v>
      </c>
      <c r="P103" s="719"/>
      <c r="Q103" s="24">
        <f t="shared" si="23"/>
        <v>1</v>
      </c>
      <c r="R103" s="715">
        <f t="shared" si="24"/>
        <v>9310</v>
      </c>
      <c r="S103" s="360">
        <f t="shared" si="15"/>
        <v>33</v>
      </c>
    </row>
    <row r="104" spans="1:19">
      <c r="A104" s="158"/>
      <c r="B104" s="717">
        <f>车库清单!C83</f>
        <v>35.26</v>
      </c>
      <c r="C104" s="24">
        <f t="shared" si="16"/>
        <v>1</v>
      </c>
      <c r="D104" s="719"/>
      <c r="E104" s="24">
        <f t="shared" si="17"/>
        <v>1</v>
      </c>
      <c r="F104" s="719"/>
      <c r="G104" s="24">
        <f t="shared" si="18"/>
        <v>1</v>
      </c>
      <c r="H104" s="719"/>
      <c r="I104" s="24">
        <f t="shared" si="19"/>
        <v>1</v>
      </c>
      <c r="J104" s="719"/>
      <c r="K104" s="24">
        <f t="shared" si="20"/>
        <v>1</v>
      </c>
      <c r="L104" s="719"/>
      <c r="M104" s="24">
        <f t="shared" si="21"/>
        <v>1</v>
      </c>
      <c r="N104" s="719"/>
      <c r="O104" s="24">
        <f t="shared" si="22"/>
        <v>1</v>
      </c>
      <c r="P104" s="719"/>
      <c r="Q104" s="24">
        <f t="shared" si="23"/>
        <v>1</v>
      </c>
      <c r="R104" s="715">
        <f t="shared" si="24"/>
        <v>9310</v>
      </c>
      <c r="S104" s="360">
        <f t="shared" si="15"/>
        <v>33</v>
      </c>
    </row>
    <row r="105" spans="1:19">
      <c r="A105" s="158"/>
      <c r="B105" s="717">
        <f>车库清单!C84</f>
        <v>35.26</v>
      </c>
      <c r="C105" s="24">
        <f t="shared" si="16"/>
        <v>1</v>
      </c>
      <c r="D105" s="719"/>
      <c r="E105" s="24">
        <f t="shared" si="17"/>
        <v>1</v>
      </c>
      <c r="F105" s="719"/>
      <c r="G105" s="24">
        <f t="shared" si="18"/>
        <v>1</v>
      </c>
      <c r="H105" s="719"/>
      <c r="I105" s="24">
        <f t="shared" si="19"/>
        <v>1</v>
      </c>
      <c r="J105" s="719"/>
      <c r="K105" s="24">
        <f t="shared" si="20"/>
        <v>1</v>
      </c>
      <c r="L105" s="719"/>
      <c r="M105" s="24">
        <f t="shared" si="21"/>
        <v>1</v>
      </c>
      <c r="N105" s="719"/>
      <c r="O105" s="24">
        <f t="shared" si="22"/>
        <v>1</v>
      </c>
      <c r="P105" s="719"/>
      <c r="Q105" s="24">
        <f t="shared" si="23"/>
        <v>1</v>
      </c>
      <c r="R105" s="715">
        <f t="shared" si="24"/>
        <v>9310</v>
      </c>
      <c r="S105" s="360">
        <f t="shared" si="15"/>
        <v>33</v>
      </c>
    </row>
    <row r="106" spans="1:19">
      <c r="A106" s="158"/>
      <c r="B106" s="717">
        <f>车库清单!C85</f>
        <v>35.26</v>
      </c>
      <c r="C106" s="24">
        <f t="shared" si="16"/>
        <v>1</v>
      </c>
      <c r="D106" s="719"/>
      <c r="E106" s="24">
        <f t="shared" si="17"/>
        <v>1</v>
      </c>
      <c r="F106" s="719"/>
      <c r="G106" s="24">
        <f t="shared" si="18"/>
        <v>1</v>
      </c>
      <c r="H106" s="719"/>
      <c r="I106" s="24">
        <f t="shared" si="19"/>
        <v>1</v>
      </c>
      <c r="J106" s="719"/>
      <c r="K106" s="24">
        <f t="shared" si="20"/>
        <v>1</v>
      </c>
      <c r="L106" s="719"/>
      <c r="M106" s="24">
        <f t="shared" si="21"/>
        <v>1</v>
      </c>
      <c r="N106" s="719"/>
      <c r="O106" s="24">
        <f t="shared" si="22"/>
        <v>1</v>
      </c>
      <c r="P106" s="719"/>
      <c r="Q106" s="24">
        <f t="shared" si="23"/>
        <v>1</v>
      </c>
      <c r="R106" s="715">
        <f t="shared" si="24"/>
        <v>9310</v>
      </c>
      <c r="S106" s="360">
        <f t="shared" si="15"/>
        <v>33</v>
      </c>
    </row>
    <row r="107" spans="1:19">
      <c r="A107" s="158"/>
      <c r="B107" s="717">
        <f>车库清单!C86</f>
        <v>35.26</v>
      </c>
      <c r="C107" s="24">
        <f t="shared" si="16"/>
        <v>1</v>
      </c>
      <c r="D107" s="719"/>
      <c r="E107" s="24">
        <f t="shared" si="17"/>
        <v>1</v>
      </c>
      <c r="F107" s="719"/>
      <c r="G107" s="24">
        <f t="shared" si="18"/>
        <v>1</v>
      </c>
      <c r="H107" s="719"/>
      <c r="I107" s="24">
        <f t="shared" si="19"/>
        <v>1</v>
      </c>
      <c r="J107" s="719"/>
      <c r="K107" s="24">
        <f t="shared" si="20"/>
        <v>1</v>
      </c>
      <c r="L107" s="719"/>
      <c r="M107" s="24">
        <f t="shared" si="21"/>
        <v>1</v>
      </c>
      <c r="N107" s="719"/>
      <c r="O107" s="24">
        <f t="shared" si="22"/>
        <v>1</v>
      </c>
      <c r="P107" s="719"/>
      <c r="Q107" s="24">
        <f t="shared" si="23"/>
        <v>1</v>
      </c>
      <c r="R107" s="715">
        <f t="shared" si="24"/>
        <v>9310</v>
      </c>
      <c r="S107" s="360">
        <f t="shared" si="15"/>
        <v>33</v>
      </c>
    </row>
    <row r="108" spans="1:19">
      <c r="A108" s="158"/>
      <c r="B108" s="717">
        <f>车库清单!C87</f>
        <v>35.26</v>
      </c>
      <c r="C108" s="24">
        <f t="shared" si="16"/>
        <v>1</v>
      </c>
      <c r="D108" s="719"/>
      <c r="E108" s="24">
        <f t="shared" si="17"/>
        <v>1</v>
      </c>
      <c r="F108" s="719"/>
      <c r="G108" s="24">
        <f t="shared" si="18"/>
        <v>1</v>
      </c>
      <c r="H108" s="719"/>
      <c r="I108" s="24">
        <f t="shared" si="19"/>
        <v>1</v>
      </c>
      <c r="J108" s="719"/>
      <c r="K108" s="24">
        <f t="shared" si="20"/>
        <v>1</v>
      </c>
      <c r="L108" s="719"/>
      <c r="M108" s="24">
        <f t="shared" si="21"/>
        <v>1</v>
      </c>
      <c r="N108" s="719"/>
      <c r="O108" s="24">
        <f t="shared" si="22"/>
        <v>1</v>
      </c>
      <c r="P108" s="719"/>
      <c r="Q108" s="24">
        <f t="shared" si="23"/>
        <v>1</v>
      </c>
      <c r="R108" s="715">
        <f t="shared" si="24"/>
        <v>9310</v>
      </c>
      <c r="S108" s="360">
        <f t="shared" si="15"/>
        <v>33</v>
      </c>
    </row>
    <row r="109" spans="1:19">
      <c r="A109" s="158"/>
      <c r="B109" s="717">
        <f>车库清单!C88</f>
        <v>32.32</v>
      </c>
      <c r="C109" s="24">
        <f t="shared" si="16"/>
        <v>1</v>
      </c>
      <c r="D109" s="719"/>
      <c r="E109" s="24">
        <f t="shared" si="17"/>
        <v>1</v>
      </c>
      <c r="F109" s="719"/>
      <c r="G109" s="24">
        <f t="shared" si="18"/>
        <v>1</v>
      </c>
      <c r="H109" s="719"/>
      <c r="I109" s="24">
        <f t="shared" si="19"/>
        <v>1</v>
      </c>
      <c r="J109" s="719"/>
      <c r="K109" s="24">
        <f t="shared" si="20"/>
        <v>1</v>
      </c>
      <c r="L109" s="719"/>
      <c r="M109" s="24">
        <f t="shared" si="21"/>
        <v>1</v>
      </c>
      <c r="N109" s="719"/>
      <c r="O109" s="24">
        <f t="shared" si="22"/>
        <v>1</v>
      </c>
      <c r="P109" s="719"/>
      <c r="Q109" s="24">
        <f t="shared" si="23"/>
        <v>1</v>
      </c>
      <c r="R109" s="715">
        <f t="shared" si="24"/>
        <v>9310</v>
      </c>
      <c r="S109" s="360">
        <f t="shared" si="15"/>
        <v>30</v>
      </c>
    </row>
    <row r="110" spans="1:19">
      <c r="A110" s="158"/>
      <c r="B110" s="717">
        <f>车库清单!C89</f>
        <v>35.26</v>
      </c>
      <c r="C110" s="24">
        <f t="shared" si="16"/>
        <v>1</v>
      </c>
      <c r="D110" s="719"/>
      <c r="E110" s="24">
        <f t="shared" si="17"/>
        <v>1</v>
      </c>
      <c r="F110" s="719"/>
      <c r="G110" s="24">
        <f t="shared" si="18"/>
        <v>1</v>
      </c>
      <c r="H110" s="719"/>
      <c r="I110" s="24">
        <f t="shared" si="19"/>
        <v>1</v>
      </c>
      <c r="J110" s="719"/>
      <c r="K110" s="24">
        <f t="shared" si="20"/>
        <v>1</v>
      </c>
      <c r="L110" s="719"/>
      <c r="M110" s="24">
        <f t="shared" si="21"/>
        <v>1</v>
      </c>
      <c r="N110" s="719"/>
      <c r="O110" s="24">
        <f t="shared" si="22"/>
        <v>1</v>
      </c>
      <c r="P110" s="719"/>
      <c r="Q110" s="24">
        <f t="shared" si="23"/>
        <v>1</v>
      </c>
      <c r="R110" s="715">
        <f t="shared" si="24"/>
        <v>9310</v>
      </c>
      <c r="S110" s="360">
        <f t="shared" si="15"/>
        <v>33</v>
      </c>
    </row>
    <row r="111" spans="1:19">
      <c r="A111" s="158"/>
      <c r="B111" s="717">
        <f>车库清单!C90</f>
        <v>35.26</v>
      </c>
      <c r="C111" s="24">
        <f t="shared" si="16"/>
        <v>1</v>
      </c>
      <c r="D111" s="719"/>
      <c r="E111" s="24">
        <f t="shared" si="17"/>
        <v>1</v>
      </c>
      <c r="F111" s="719"/>
      <c r="G111" s="24">
        <f t="shared" si="18"/>
        <v>1</v>
      </c>
      <c r="H111" s="719"/>
      <c r="I111" s="24">
        <f t="shared" si="19"/>
        <v>1</v>
      </c>
      <c r="J111" s="719"/>
      <c r="K111" s="24">
        <f t="shared" si="20"/>
        <v>1</v>
      </c>
      <c r="L111" s="719"/>
      <c r="M111" s="24">
        <f t="shared" si="21"/>
        <v>1</v>
      </c>
      <c r="N111" s="719"/>
      <c r="O111" s="24">
        <f t="shared" si="22"/>
        <v>1</v>
      </c>
      <c r="P111" s="719"/>
      <c r="Q111" s="24">
        <f t="shared" si="23"/>
        <v>1</v>
      </c>
      <c r="R111" s="715">
        <f t="shared" si="24"/>
        <v>9310</v>
      </c>
      <c r="S111" s="360">
        <f t="shared" si="15"/>
        <v>33</v>
      </c>
    </row>
    <row r="112" spans="1:19">
      <c r="A112" s="158"/>
      <c r="B112" s="717">
        <f>车库清单!C91</f>
        <v>35.26</v>
      </c>
      <c r="C112" s="24">
        <f t="shared" si="16"/>
        <v>1</v>
      </c>
      <c r="D112" s="719"/>
      <c r="E112" s="24">
        <f t="shared" si="17"/>
        <v>1</v>
      </c>
      <c r="F112" s="719"/>
      <c r="G112" s="24">
        <f t="shared" si="18"/>
        <v>1</v>
      </c>
      <c r="H112" s="719"/>
      <c r="I112" s="24">
        <f t="shared" si="19"/>
        <v>1</v>
      </c>
      <c r="J112" s="719"/>
      <c r="K112" s="24">
        <f t="shared" si="20"/>
        <v>1</v>
      </c>
      <c r="L112" s="719"/>
      <c r="M112" s="24">
        <f t="shared" si="21"/>
        <v>1</v>
      </c>
      <c r="N112" s="719"/>
      <c r="O112" s="24">
        <f t="shared" si="22"/>
        <v>1</v>
      </c>
      <c r="P112" s="719"/>
      <c r="Q112" s="24">
        <f t="shared" si="23"/>
        <v>1</v>
      </c>
      <c r="R112" s="715">
        <f t="shared" si="24"/>
        <v>9310</v>
      </c>
      <c r="S112" s="360">
        <f t="shared" si="15"/>
        <v>33</v>
      </c>
    </row>
    <row r="113" spans="1:19">
      <c r="A113" s="158"/>
      <c r="B113" s="717">
        <f>车库清单!C92</f>
        <v>35.26</v>
      </c>
      <c r="C113" s="24">
        <f t="shared" si="16"/>
        <v>1</v>
      </c>
      <c r="D113" s="719"/>
      <c r="E113" s="24">
        <f t="shared" si="17"/>
        <v>1</v>
      </c>
      <c r="F113" s="719"/>
      <c r="G113" s="24">
        <f t="shared" si="18"/>
        <v>1</v>
      </c>
      <c r="H113" s="719"/>
      <c r="I113" s="24">
        <f t="shared" si="19"/>
        <v>1</v>
      </c>
      <c r="J113" s="719"/>
      <c r="K113" s="24">
        <f t="shared" si="20"/>
        <v>1</v>
      </c>
      <c r="L113" s="719"/>
      <c r="M113" s="24">
        <f t="shared" si="21"/>
        <v>1</v>
      </c>
      <c r="N113" s="719"/>
      <c r="O113" s="24">
        <f t="shared" si="22"/>
        <v>1</v>
      </c>
      <c r="P113" s="719"/>
      <c r="Q113" s="24">
        <f t="shared" si="23"/>
        <v>1</v>
      </c>
      <c r="R113" s="715">
        <f t="shared" si="24"/>
        <v>9310</v>
      </c>
      <c r="S113" s="360">
        <f t="shared" si="15"/>
        <v>33</v>
      </c>
    </row>
    <row r="114" spans="1:19">
      <c r="A114" s="158"/>
      <c r="B114" s="717">
        <f>车库清单!C93</f>
        <v>35.26</v>
      </c>
      <c r="C114" s="24">
        <f t="shared" si="16"/>
        <v>1</v>
      </c>
      <c r="D114" s="719"/>
      <c r="E114" s="24">
        <f t="shared" si="17"/>
        <v>1</v>
      </c>
      <c r="F114" s="719"/>
      <c r="G114" s="24">
        <f t="shared" si="18"/>
        <v>1</v>
      </c>
      <c r="H114" s="719"/>
      <c r="I114" s="24">
        <f t="shared" si="19"/>
        <v>1</v>
      </c>
      <c r="J114" s="719"/>
      <c r="K114" s="24">
        <f t="shared" si="20"/>
        <v>1</v>
      </c>
      <c r="L114" s="719"/>
      <c r="M114" s="24">
        <f t="shared" si="21"/>
        <v>1</v>
      </c>
      <c r="N114" s="719"/>
      <c r="O114" s="24">
        <f t="shared" si="22"/>
        <v>1</v>
      </c>
      <c r="P114" s="719"/>
      <c r="Q114" s="24">
        <f t="shared" si="23"/>
        <v>1</v>
      </c>
      <c r="R114" s="715">
        <f t="shared" si="24"/>
        <v>9310</v>
      </c>
      <c r="S114" s="360">
        <f t="shared" si="15"/>
        <v>33</v>
      </c>
    </row>
    <row r="115" spans="1:19">
      <c r="A115" s="158"/>
      <c r="B115" s="717">
        <f>车库清单!C94</f>
        <v>35.26</v>
      </c>
      <c r="C115" s="24">
        <f t="shared" si="16"/>
        <v>1</v>
      </c>
      <c r="D115" s="719"/>
      <c r="E115" s="24">
        <f t="shared" si="17"/>
        <v>1</v>
      </c>
      <c r="F115" s="719"/>
      <c r="G115" s="24">
        <f t="shared" si="18"/>
        <v>1</v>
      </c>
      <c r="H115" s="719"/>
      <c r="I115" s="24">
        <f t="shared" si="19"/>
        <v>1</v>
      </c>
      <c r="J115" s="719"/>
      <c r="K115" s="24">
        <f t="shared" si="20"/>
        <v>1</v>
      </c>
      <c r="L115" s="719"/>
      <c r="M115" s="24">
        <f t="shared" si="21"/>
        <v>1</v>
      </c>
      <c r="N115" s="719"/>
      <c r="O115" s="24">
        <f t="shared" si="22"/>
        <v>1</v>
      </c>
      <c r="P115" s="719"/>
      <c r="Q115" s="24">
        <f t="shared" si="23"/>
        <v>1</v>
      </c>
      <c r="R115" s="715">
        <f t="shared" si="24"/>
        <v>9310</v>
      </c>
      <c r="S115" s="360">
        <f t="shared" si="15"/>
        <v>33</v>
      </c>
    </row>
    <row r="116" spans="1:19">
      <c r="A116" s="158"/>
      <c r="B116" s="717">
        <f>车库清单!C95</f>
        <v>35.26</v>
      </c>
      <c r="C116" s="24">
        <f t="shared" si="16"/>
        <v>1</v>
      </c>
      <c r="D116" s="719"/>
      <c r="E116" s="24">
        <f t="shared" si="17"/>
        <v>1</v>
      </c>
      <c r="F116" s="719"/>
      <c r="G116" s="24">
        <f t="shared" si="18"/>
        <v>1</v>
      </c>
      <c r="H116" s="719"/>
      <c r="I116" s="24">
        <f t="shared" si="19"/>
        <v>1</v>
      </c>
      <c r="J116" s="719"/>
      <c r="K116" s="24">
        <f t="shared" si="20"/>
        <v>1</v>
      </c>
      <c r="L116" s="719"/>
      <c r="M116" s="24">
        <f t="shared" si="21"/>
        <v>1</v>
      </c>
      <c r="N116" s="719"/>
      <c r="O116" s="24">
        <f t="shared" si="22"/>
        <v>1</v>
      </c>
      <c r="P116" s="719"/>
      <c r="Q116" s="24">
        <f t="shared" si="23"/>
        <v>1</v>
      </c>
      <c r="R116" s="715">
        <f t="shared" si="24"/>
        <v>9310</v>
      </c>
      <c r="S116" s="360">
        <f t="shared" si="15"/>
        <v>33</v>
      </c>
    </row>
    <row r="117" spans="1:19">
      <c r="A117" s="158"/>
      <c r="B117" s="717">
        <f>车库清单!C96</f>
        <v>35.26</v>
      </c>
      <c r="C117" s="24">
        <f t="shared" si="16"/>
        <v>1</v>
      </c>
      <c r="D117" s="719"/>
      <c r="E117" s="24">
        <f t="shared" si="17"/>
        <v>1</v>
      </c>
      <c r="F117" s="719"/>
      <c r="G117" s="24">
        <f t="shared" si="18"/>
        <v>1</v>
      </c>
      <c r="H117" s="719"/>
      <c r="I117" s="24">
        <f t="shared" si="19"/>
        <v>1</v>
      </c>
      <c r="J117" s="719"/>
      <c r="K117" s="24">
        <f t="shared" si="20"/>
        <v>1</v>
      </c>
      <c r="L117" s="719"/>
      <c r="M117" s="24">
        <f t="shared" si="21"/>
        <v>1</v>
      </c>
      <c r="N117" s="719"/>
      <c r="O117" s="24">
        <f t="shared" si="22"/>
        <v>1</v>
      </c>
      <c r="P117" s="719"/>
      <c r="Q117" s="24">
        <f t="shared" si="23"/>
        <v>1</v>
      </c>
      <c r="R117" s="715">
        <f t="shared" si="24"/>
        <v>9310</v>
      </c>
      <c r="S117" s="360">
        <f t="shared" si="15"/>
        <v>33</v>
      </c>
    </row>
    <row r="118" spans="1:19">
      <c r="A118" s="158"/>
      <c r="B118" s="717">
        <f>车库清单!C97</f>
        <v>35.26</v>
      </c>
      <c r="C118" s="24">
        <f t="shared" si="16"/>
        <v>1</v>
      </c>
      <c r="D118" s="719"/>
      <c r="E118" s="24">
        <f t="shared" si="17"/>
        <v>1</v>
      </c>
      <c r="F118" s="719"/>
      <c r="G118" s="24">
        <f t="shared" si="18"/>
        <v>1</v>
      </c>
      <c r="H118" s="719"/>
      <c r="I118" s="24">
        <f t="shared" si="19"/>
        <v>1</v>
      </c>
      <c r="J118" s="719"/>
      <c r="K118" s="24">
        <f t="shared" si="20"/>
        <v>1</v>
      </c>
      <c r="L118" s="719"/>
      <c r="M118" s="24">
        <f t="shared" si="21"/>
        <v>1</v>
      </c>
      <c r="N118" s="719"/>
      <c r="O118" s="24">
        <f t="shared" si="22"/>
        <v>1</v>
      </c>
      <c r="P118" s="719"/>
      <c r="Q118" s="24">
        <f t="shared" si="23"/>
        <v>1</v>
      </c>
      <c r="R118" s="715">
        <f t="shared" si="24"/>
        <v>9310</v>
      </c>
      <c r="S118" s="360">
        <f t="shared" si="15"/>
        <v>33</v>
      </c>
    </row>
    <row r="119" spans="1:19">
      <c r="A119" s="158"/>
      <c r="B119" s="717">
        <f>车库清单!C98</f>
        <v>35.26</v>
      </c>
      <c r="C119" s="24">
        <f t="shared" si="16"/>
        <v>1</v>
      </c>
      <c r="D119" s="719"/>
      <c r="E119" s="24">
        <f t="shared" si="17"/>
        <v>1</v>
      </c>
      <c r="F119" s="719"/>
      <c r="G119" s="24">
        <f t="shared" si="18"/>
        <v>1</v>
      </c>
      <c r="H119" s="719"/>
      <c r="I119" s="24">
        <f t="shared" si="19"/>
        <v>1</v>
      </c>
      <c r="J119" s="719"/>
      <c r="K119" s="24">
        <f t="shared" si="20"/>
        <v>1</v>
      </c>
      <c r="L119" s="719"/>
      <c r="M119" s="24">
        <f t="shared" si="21"/>
        <v>1</v>
      </c>
      <c r="N119" s="719"/>
      <c r="O119" s="24">
        <f t="shared" si="22"/>
        <v>1</v>
      </c>
      <c r="P119" s="719"/>
      <c r="Q119" s="24">
        <f t="shared" si="23"/>
        <v>1</v>
      </c>
      <c r="R119" s="715">
        <f t="shared" si="24"/>
        <v>9310</v>
      </c>
      <c r="S119" s="360">
        <f t="shared" si="15"/>
        <v>33</v>
      </c>
    </row>
    <row r="120" spans="1:19">
      <c r="A120" s="158"/>
      <c r="B120" s="717">
        <f>车库清单!C99</f>
        <v>35.26</v>
      </c>
      <c r="C120" s="24">
        <f t="shared" si="16"/>
        <v>1</v>
      </c>
      <c r="D120" s="719"/>
      <c r="E120" s="24">
        <f t="shared" si="17"/>
        <v>1</v>
      </c>
      <c r="F120" s="719"/>
      <c r="G120" s="24">
        <f t="shared" si="18"/>
        <v>1</v>
      </c>
      <c r="H120" s="719"/>
      <c r="I120" s="24">
        <f t="shared" si="19"/>
        <v>1</v>
      </c>
      <c r="J120" s="719"/>
      <c r="K120" s="24">
        <f t="shared" si="20"/>
        <v>1</v>
      </c>
      <c r="L120" s="719"/>
      <c r="M120" s="24">
        <f t="shared" si="21"/>
        <v>1</v>
      </c>
      <c r="N120" s="719"/>
      <c r="O120" s="24">
        <f t="shared" si="22"/>
        <v>1</v>
      </c>
      <c r="P120" s="719"/>
      <c r="Q120" s="24">
        <f t="shared" si="23"/>
        <v>1</v>
      </c>
      <c r="R120" s="715">
        <f t="shared" si="24"/>
        <v>9310</v>
      </c>
      <c r="S120" s="360">
        <f t="shared" si="15"/>
        <v>33</v>
      </c>
    </row>
    <row r="121" spans="1:19">
      <c r="A121" s="158"/>
      <c r="B121" s="717">
        <f>车库清单!C100</f>
        <v>35.26</v>
      </c>
      <c r="C121" s="24">
        <f t="shared" si="16"/>
        <v>1</v>
      </c>
      <c r="D121" s="719"/>
      <c r="E121" s="24">
        <f t="shared" si="17"/>
        <v>1</v>
      </c>
      <c r="F121" s="719"/>
      <c r="G121" s="24">
        <f t="shared" si="18"/>
        <v>1</v>
      </c>
      <c r="H121" s="719"/>
      <c r="I121" s="24">
        <f t="shared" si="19"/>
        <v>1</v>
      </c>
      <c r="J121" s="719"/>
      <c r="K121" s="24">
        <f t="shared" si="20"/>
        <v>1</v>
      </c>
      <c r="L121" s="719"/>
      <c r="M121" s="24">
        <f t="shared" si="21"/>
        <v>1</v>
      </c>
      <c r="N121" s="719"/>
      <c r="O121" s="24">
        <f t="shared" si="22"/>
        <v>1</v>
      </c>
      <c r="P121" s="719"/>
      <c r="Q121" s="24">
        <f t="shared" si="23"/>
        <v>1</v>
      </c>
      <c r="R121" s="715">
        <f t="shared" si="24"/>
        <v>9310</v>
      </c>
      <c r="S121" s="360">
        <f t="shared" si="15"/>
        <v>33</v>
      </c>
    </row>
    <row r="122" spans="1:19">
      <c r="A122" s="158"/>
      <c r="B122" s="717">
        <f>车库清单!C101</f>
        <v>35.26</v>
      </c>
      <c r="C122" s="24">
        <f t="shared" si="16"/>
        <v>1</v>
      </c>
      <c r="D122" s="719"/>
      <c r="E122" s="24">
        <f t="shared" si="17"/>
        <v>1</v>
      </c>
      <c r="F122" s="719"/>
      <c r="G122" s="24">
        <f t="shared" si="18"/>
        <v>1</v>
      </c>
      <c r="H122" s="719"/>
      <c r="I122" s="24">
        <f t="shared" si="19"/>
        <v>1</v>
      </c>
      <c r="J122" s="719"/>
      <c r="K122" s="24">
        <f t="shared" si="20"/>
        <v>1</v>
      </c>
      <c r="L122" s="719"/>
      <c r="M122" s="24">
        <f t="shared" si="21"/>
        <v>1</v>
      </c>
      <c r="N122" s="719"/>
      <c r="O122" s="24">
        <f t="shared" si="22"/>
        <v>1</v>
      </c>
      <c r="P122" s="719"/>
      <c r="Q122" s="24">
        <f t="shared" si="23"/>
        <v>1</v>
      </c>
      <c r="R122" s="715">
        <f t="shared" si="24"/>
        <v>9310</v>
      </c>
      <c r="S122" s="360">
        <f t="shared" si="15"/>
        <v>33</v>
      </c>
    </row>
    <row r="123" spans="1:19">
      <c r="A123" s="158"/>
      <c r="B123" s="717">
        <f>车库清单!C102</f>
        <v>35.26</v>
      </c>
      <c r="C123" s="24">
        <f t="shared" si="16"/>
        <v>1</v>
      </c>
      <c r="D123" s="719"/>
      <c r="E123" s="24">
        <f t="shared" si="17"/>
        <v>1</v>
      </c>
      <c r="F123" s="719"/>
      <c r="G123" s="24">
        <f t="shared" si="18"/>
        <v>1</v>
      </c>
      <c r="H123" s="719"/>
      <c r="I123" s="24">
        <f t="shared" si="19"/>
        <v>1</v>
      </c>
      <c r="J123" s="719"/>
      <c r="K123" s="24">
        <f t="shared" si="20"/>
        <v>1</v>
      </c>
      <c r="L123" s="719"/>
      <c r="M123" s="24">
        <f t="shared" si="21"/>
        <v>1</v>
      </c>
      <c r="N123" s="719"/>
      <c r="O123" s="24">
        <f t="shared" si="22"/>
        <v>1</v>
      </c>
      <c r="P123" s="719"/>
      <c r="Q123" s="24">
        <f t="shared" si="23"/>
        <v>1</v>
      </c>
      <c r="R123" s="715">
        <f t="shared" si="24"/>
        <v>9310</v>
      </c>
      <c r="S123" s="360">
        <f t="shared" si="15"/>
        <v>33</v>
      </c>
    </row>
    <row r="124" spans="1:19">
      <c r="A124" s="158"/>
      <c r="B124" s="717">
        <f>车库清单!C103</f>
        <v>35.26</v>
      </c>
      <c r="C124" s="24">
        <f t="shared" si="16"/>
        <v>1</v>
      </c>
      <c r="D124" s="719"/>
      <c r="E124" s="24">
        <f t="shared" si="17"/>
        <v>1</v>
      </c>
      <c r="F124" s="719"/>
      <c r="G124" s="24">
        <f t="shared" si="18"/>
        <v>1</v>
      </c>
      <c r="H124" s="719"/>
      <c r="I124" s="24">
        <f t="shared" si="19"/>
        <v>1</v>
      </c>
      <c r="J124" s="719"/>
      <c r="K124" s="24">
        <f t="shared" si="20"/>
        <v>1</v>
      </c>
      <c r="L124" s="719"/>
      <c r="M124" s="24">
        <f t="shared" si="21"/>
        <v>1</v>
      </c>
      <c r="N124" s="719"/>
      <c r="O124" s="24">
        <f t="shared" si="22"/>
        <v>1</v>
      </c>
      <c r="P124" s="719"/>
      <c r="Q124" s="24">
        <f t="shared" si="23"/>
        <v>1</v>
      </c>
      <c r="R124" s="715">
        <f t="shared" si="24"/>
        <v>9310</v>
      </c>
      <c r="S124" s="360">
        <f t="shared" si="15"/>
        <v>33</v>
      </c>
    </row>
    <row r="125" spans="1:19">
      <c r="A125" s="158"/>
      <c r="B125" s="717"/>
      <c r="C125" s="24">
        <f t="shared" si="16"/>
        <v>1</v>
      </c>
      <c r="D125" s="719"/>
      <c r="E125" s="24">
        <f t="shared" si="17"/>
        <v>1</v>
      </c>
      <c r="F125" s="719"/>
      <c r="G125" s="24">
        <f t="shared" si="18"/>
        <v>1</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158"/>
      <c r="B126" s="717"/>
      <c r="C126" s="24">
        <f t="shared" si="16"/>
        <v>1</v>
      </c>
      <c r="D126" s="719"/>
      <c r="E126" s="24">
        <f t="shared" si="17"/>
        <v>1</v>
      </c>
      <c r="F126" s="719"/>
      <c r="G126" s="24">
        <f t="shared" si="18"/>
        <v>1</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158"/>
      <c r="B127" s="717"/>
      <c r="C127" s="24">
        <f t="shared" si="16"/>
        <v>1</v>
      </c>
      <c r="D127" s="719"/>
      <c r="E127" s="24">
        <f t="shared" si="17"/>
        <v>1</v>
      </c>
      <c r="F127" s="719"/>
      <c r="G127" s="24">
        <f t="shared" si="18"/>
        <v>1</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158"/>
      <c r="B128" s="717"/>
      <c r="C128" s="24">
        <f t="shared" si="16"/>
        <v>1</v>
      </c>
      <c r="D128" s="719"/>
      <c r="E128" s="24">
        <f t="shared" si="17"/>
        <v>1</v>
      </c>
      <c r="F128" s="719"/>
      <c r="G128" s="24">
        <f t="shared" si="18"/>
        <v>1</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158"/>
      <c r="B129" s="717"/>
      <c r="C129" s="24">
        <f t="shared" si="16"/>
        <v>1</v>
      </c>
      <c r="D129" s="719"/>
      <c r="E129" s="24">
        <f t="shared" si="17"/>
        <v>1</v>
      </c>
      <c r="F129" s="719"/>
      <c r="G129" s="24">
        <f t="shared" si="18"/>
        <v>1</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158"/>
      <c r="B130" s="717"/>
      <c r="C130" s="24">
        <f t="shared" si="16"/>
        <v>1</v>
      </c>
      <c r="D130" s="719"/>
      <c r="E130" s="24">
        <f t="shared" si="17"/>
        <v>1</v>
      </c>
      <c r="F130" s="719"/>
      <c r="G130" s="24">
        <f t="shared" si="18"/>
        <v>1</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158"/>
      <c r="B131" s="717"/>
      <c r="C131" s="24">
        <f t="shared" si="16"/>
        <v>1</v>
      </c>
      <c r="D131" s="719"/>
      <c r="E131" s="24">
        <f t="shared" si="17"/>
        <v>1</v>
      </c>
      <c r="F131" s="719"/>
      <c r="G131" s="24">
        <f t="shared" si="18"/>
        <v>1</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158"/>
      <c r="B132" s="717"/>
      <c r="C132" s="24">
        <f t="shared" si="16"/>
        <v>1</v>
      </c>
      <c r="D132" s="719"/>
      <c r="E132" s="24">
        <f t="shared" si="17"/>
        <v>1</v>
      </c>
      <c r="F132" s="719"/>
      <c r="G132" s="24">
        <f t="shared" si="18"/>
        <v>1</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158"/>
      <c r="B133" s="717"/>
      <c r="C133" s="24">
        <f t="shared" si="16"/>
        <v>1</v>
      </c>
      <c r="D133" s="719"/>
      <c r="E133" s="24">
        <f t="shared" si="17"/>
        <v>1</v>
      </c>
      <c r="F133" s="719"/>
      <c r="G133" s="24">
        <f t="shared" si="18"/>
        <v>1</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158"/>
      <c r="B134" s="717"/>
      <c r="C134" s="24">
        <f t="shared" si="16"/>
        <v>1</v>
      </c>
      <c r="D134" s="719"/>
      <c r="E134" s="24">
        <f t="shared" si="17"/>
        <v>1</v>
      </c>
      <c r="F134" s="719"/>
      <c r="G134" s="24">
        <f t="shared" si="18"/>
        <v>1</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158"/>
      <c r="B135" s="717"/>
      <c r="C135" s="24">
        <f t="shared" si="16"/>
        <v>1</v>
      </c>
      <c r="D135" s="719"/>
      <c r="E135" s="24">
        <f t="shared" si="17"/>
        <v>1</v>
      </c>
      <c r="F135" s="719"/>
      <c r="G135" s="24">
        <f t="shared" si="18"/>
        <v>1</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158"/>
      <c r="B136" s="717"/>
      <c r="C136" s="24">
        <f t="shared" si="16"/>
        <v>1</v>
      </c>
      <c r="D136" s="719"/>
      <c r="E136" s="24">
        <f t="shared" si="17"/>
        <v>1</v>
      </c>
      <c r="F136" s="719"/>
      <c r="G136" s="24">
        <f t="shared" si="18"/>
        <v>1</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158"/>
      <c r="B137" s="717"/>
      <c r="C137" s="24">
        <f t="shared" si="16"/>
        <v>1</v>
      </c>
      <c r="D137" s="719"/>
      <c r="E137" s="24">
        <f t="shared" si="17"/>
        <v>1</v>
      </c>
      <c r="F137" s="719"/>
      <c r="G137" s="24">
        <f t="shared" si="18"/>
        <v>1</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158"/>
      <c r="B138" s="717"/>
      <c r="C138" s="24">
        <f t="shared" si="16"/>
        <v>1</v>
      </c>
      <c r="D138" s="719"/>
      <c r="E138" s="24">
        <f t="shared" si="17"/>
        <v>1</v>
      </c>
      <c r="F138" s="719"/>
      <c r="G138" s="24">
        <f t="shared" si="18"/>
        <v>1</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158"/>
      <c r="B139" s="717"/>
      <c r="C139" s="24">
        <f t="shared" si="16"/>
        <v>1</v>
      </c>
      <c r="D139" s="719"/>
      <c r="E139" s="24">
        <f t="shared" si="17"/>
        <v>1</v>
      </c>
      <c r="F139" s="719"/>
      <c r="G139" s="24">
        <f t="shared" si="18"/>
        <v>1</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158"/>
      <c r="B140" s="717"/>
      <c r="C140" s="24">
        <f t="shared" si="16"/>
        <v>1</v>
      </c>
      <c r="D140" s="719"/>
      <c r="E140" s="24">
        <f t="shared" si="17"/>
        <v>1</v>
      </c>
      <c r="F140" s="719"/>
      <c r="G140" s="24">
        <f t="shared" si="18"/>
        <v>1</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158"/>
      <c r="B141" s="717"/>
      <c r="C141" s="24">
        <f t="shared" si="16"/>
        <v>1</v>
      </c>
      <c r="D141" s="719"/>
      <c r="E141" s="24">
        <f t="shared" si="17"/>
        <v>1</v>
      </c>
      <c r="F141" s="719"/>
      <c r="G141" s="24">
        <f t="shared" si="18"/>
        <v>1</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158"/>
      <c r="B142" s="717"/>
      <c r="C142" s="24">
        <f t="shared" si="16"/>
        <v>1</v>
      </c>
      <c r="D142" s="719"/>
      <c r="E142" s="24">
        <f t="shared" si="17"/>
        <v>1</v>
      </c>
      <c r="F142" s="719"/>
      <c r="G142" s="24">
        <f t="shared" si="18"/>
        <v>1</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158"/>
      <c r="B143" s="717"/>
      <c r="C143" s="24">
        <f t="shared" si="16"/>
        <v>1</v>
      </c>
      <c r="D143" s="719"/>
      <c r="E143" s="24">
        <f t="shared" si="17"/>
        <v>1</v>
      </c>
      <c r="F143" s="719"/>
      <c r="G143" s="24">
        <f t="shared" si="18"/>
        <v>1</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158"/>
      <c r="B144" s="717"/>
      <c r="C144" s="24">
        <f t="shared" si="16"/>
        <v>1</v>
      </c>
      <c r="D144" s="719"/>
      <c r="E144" s="24">
        <f t="shared" si="17"/>
        <v>1</v>
      </c>
      <c r="F144" s="719"/>
      <c r="G144" s="24">
        <f t="shared" si="18"/>
        <v>1</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158"/>
      <c r="B145" s="717"/>
      <c r="C145" s="24">
        <f t="shared" si="16"/>
        <v>1</v>
      </c>
      <c r="D145" s="719"/>
      <c r="E145" s="24">
        <f t="shared" si="17"/>
        <v>1</v>
      </c>
      <c r="F145" s="719"/>
      <c r="G145" s="24">
        <f t="shared" si="18"/>
        <v>1</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158"/>
      <c r="B146" s="717"/>
      <c r="C146" s="24">
        <f t="shared" si="16"/>
        <v>1</v>
      </c>
      <c r="D146" s="719"/>
      <c r="E146" s="24">
        <f t="shared" si="17"/>
        <v>1</v>
      </c>
      <c r="F146" s="719"/>
      <c r="G146" s="24">
        <f t="shared" si="18"/>
        <v>1</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158"/>
      <c r="B147" s="717"/>
      <c r="C147" s="24">
        <f t="shared" si="16"/>
        <v>1</v>
      </c>
      <c r="D147" s="719"/>
      <c r="E147" s="24">
        <f t="shared" si="17"/>
        <v>1</v>
      </c>
      <c r="F147" s="719"/>
      <c r="G147" s="24">
        <f t="shared" si="18"/>
        <v>1</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158"/>
      <c r="B148" s="717"/>
      <c r="C148" s="24">
        <f t="shared" si="16"/>
        <v>1</v>
      </c>
      <c r="D148" s="719"/>
      <c r="E148" s="24">
        <f t="shared" si="17"/>
        <v>1</v>
      </c>
      <c r="F148" s="719"/>
      <c r="G148" s="24">
        <f t="shared" si="18"/>
        <v>1</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158"/>
      <c r="B149" s="717"/>
      <c r="C149" s="24">
        <f t="shared" si="16"/>
        <v>1</v>
      </c>
      <c r="D149" s="719"/>
      <c r="E149" s="24">
        <f t="shared" si="17"/>
        <v>1</v>
      </c>
      <c r="F149" s="719"/>
      <c r="G149" s="24">
        <f t="shared" si="18"/>
        <v>1</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158"/>
      <c r="B150" s="717"/>
      <c r="C150" s="24">
        <f t="shared" si="16"/>
        <v>1</v>
      </c>
      <c r="D150" s="719"/>
      <c r="E150" s="24">
        <f t="shared" si="17"/>
        <v>1</v>
      </c>
      <c r="F150" s="719"/>
      <c r="G150" s="24">
        <f t="shared" si="18"/>
        <v>1</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158"/>
      <c r="B151" s="717"/>
      <c r="C151" s="24">
        <f t="shared" si="16"/>
        <v>1</v>
      </c>
      <c r="D151" s="719"/>
      <c r="E151" s="24">
        <f t="shared" si="17"/>
        <v>1</v>
      </c>
      <c r="F151" s="719"/>
      <c r="G151" s="24">
        <f t="shared" si="18"/>
        <v>1</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158"/>
      <c r="B152" s="717"/>
      <c r="C152" s="24">
        <f t="shared" si="16"/>
        <v>1</v>
      </c>
      <c r="D152" s="719"/>
      <c r="E152" s="24">
        <f t="shared" si="17"/>
        <v>1</v>
      </c>
      <c r="F152" s="719"/>
      <c r="G152" s="24">
        <f t="shared" si="18"/>
        <v>1</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158"/>
      <c r="B153" s="717"/>
      <c r="C153" s="24">
        <f t="shared" si="16"/>
        <v>1</v>
      </c>
      <c r="D153" s="719"/>
      <c r="E153" s="24">
        <f t="shared" si="17"/>
        <v>1</v>
      </c>
      <c r="F153" s="719"/>
      <c r="G153" s="24">
        <f t="shared" si="18"/>
        <v>1</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158"/>
      <c r="B154" s="717"/>
      <c r="C154" s="24">
        <f t="shared" ref="C154:C217" si="26">IF(B154="",1,(LOOKUP(B154,$3:$3,$4:$4)-LOOKUP($B$24,$3:$3,$4:$4)+100)/100)</f>
        <v>1</v>
      </c>
      <c r="D154" s="719"/>
      <c r="E154" s="24">
        <f t="shared" ref="E154:E217" si="27">(SUMIF($5:$5,D154,$6:$6)-SUMIF($5:$5,$D$24,$6:$6)+100)/100</f>
        <v>1</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158"/>
      <c r="B155" s="717"/>
      <c r="C155" s="24">
        <f t="shared" si="26"/>
        <v>1</v>
      </c>
      <c r="D155" s="719"/>
      <c r="E155" s="24">
        <f t="shared" si="27"/>
        <v>1</v>
      </c>
      <c r="F155" s="719"/>
      <c r="G155" s="24">
        <f t="shared" si="28"/>
        <v>1</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158"/>
      <c r="B156" s="717"/>
      <c r="C156" s="24">
        <f t="shared" si="26"/>
        <v>1</v>
      </c>
      <c r="D156" s="719"/>
      <c r="E156" s="24">
        <f t="shared" si="27"/>
        <v>1</v>
      </c>
      <c r="F156" s="719"/>
      <c r="G156" s="24">
        <f t="shared" si="28"/>
        <v>1</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158"/>
      <c r="B157" s="717"/>
      <c r="C157" s="24">
        <f t="shared" si="26"/>
        <v>1</v>
      </c>
      <c r="D157" s="719"/>
      <c r="E157" s="24">
        <f t="shared" si="27"/>
        <v>1</v>
      </c>
      <c r="F157" s="719"/>
      <c r="G157" s="24">
        <f t="shared" si="28"/>
        <v>1</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158"/>
      <c r="B158" s="717"/>
      <c r="C158" s="24">
        <f t="shared" si="26"/>
        <v>1</v>
      </c>
      <c r="D158" s="719"/>
      <c r="E158" s="24">
        <f t="shared" si="27"/>
        <v>1</v>
      </c>
      <c r="F158" s="719"/>
      <c r="G158" s="24">
        <f t="shared" si="28"/>
        <v>1</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158"/>
      <c r="B159" s="717"/>
      <c r="C159" s="24">
        <f t="shared" si="26"/>
        <v>1</v>
      </c>
      <c r="D159" s="719"/>
      <c r="E159" s="24">
        <f t="shared" si="27"/>
        <v>1</v>
      </c>
      <c r="F159" s="719"/>
      <c r="G159" s="24">
        <f t="shared" si="28"/>
        <v>1</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158"/>
      <c r="B160" s="717"/>
      <c r="C160" s="24">
        <f t="shared" si="26"/>
        <v>1</v>
      </c>
      <c r="D160" s="719"/>
      <c r="E160" s="24">
        <f t="shared" si="27"/>
        <v>1</v>
      </c>
      <c r="F160" s="719"/>
      <c r="G160" s="24">
        <f t="shared" si="28"/>
        <v>1</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158"/>
      <c r="B161" s="717"/>
      <c r="C161" s="24">
        <f t="shared" si="26"/>
        <v>1</v>
      </c>
      <c r="D161" s="719"/>
      <c r="E161" s="24">
        <f t="shared" si="27"/>
        <v>1</v>
      </c>
      <c r="F161" s="719"/>
      <c r="G161" s="24">
        <f t="shared" si="28"/>
        <v>1</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158"/>
      <c r="B162" s="717"/>
      <c r="C162" s="24">
        <f t="shared" si="26"/>
        <v>1</v>
      </c>
      <c r="D162" s="719"/>
      <c r="E162" s="24">
        <f t="shared" si="27"/>
        <v>1</v>
      </c>
      <c r="F162" s="719"/>
      <c r="G162" s="24">
        <f t="shared" si="28"/>
        <v>1</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158"/>
      <c r="B163" s="717"/>
      <c r="C163" s="24">
        <f t="shared" si="26"/>
        <v>1</v>
      </c>
      <c r="D163" s="719"/>
      <c r="E163" s="24">
        <f t="shared" si="27"/>
        <v>1</v>
      </c>
      <c r="F163" s="719"/>
      <c r="G163" s="24">
        <f t="shared" si="28"/>
        <v>1</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158"/>
      <c r="B164" s="717"/>
      <c r="C164" s="24">
        <f t="shared" si="26"/>
        <v>1</v>
      </c>
      <c r="D164" s="719"/>
      <c r="E164" s="24">
        <f t="shared" si="27"/>
        <v>1</v>
      </c>
      <c r="F164" s="719"/>
      <c r="G164" s="24">
        <f t="shared" si="28"/>
        <v>1</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158"/>
      <c r="B165" s="717"/>
      <c r="C165" s="24">
        <f t="shared" si="26"/>
        <v>1</v>
      </c>
      <c r="D165" s="719"/>
      <c r="E165" s="24">
        <f t="shared" si="27"/>
        <v>1</v>
      </c>
      <c r="F165" s="719"/>
      <c r="G165" s="24">
        <f t="shared" si="28"/>
        <v>1</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158"/>
      <c r="B166" s="717"/>
      <c r="C166" s="24">
        <f t="shared" si="26"/>
        <v>1</v>
      </c>
      <c r="D166" s="719"/>
      <c r="E166" s="24">
        <f t="shared" si="27"/>
        <v>1</v>
      </c>
      <c r="F166" s="719"/>
      <c r="G166" s="24">
        <f t="shared" si="28"/>
        <v>1</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158"/>
      <c r="B167" s="717"/>
      <c r="C167" s="24">
        <f t="shared" si="26"/>
        <v>1</v>
      </c>
      <c r="D167" s="719"/>
      <c r="E167" s="24">
        <f t="shared" si="27"/>
        <v>1</v>
      </c>
      <c r="F167" s="719"/>
      <c r="G167" s="24">
        <f t="shared" si="28"/>
        <v>1</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158"/>
      <c r="B168" s="717"/>
      <c r="C168" s="24">
        <f t="shared" si="26"/>
        <v>1</v>
      </c>
      <c r="D168" s="719"/>
      <c r="E168" s="24">
        <f t="shared" si="27"/>
        <v>1</v>
      </c>
      <c r="F168" s="719"/>
      <c r="G168" s="24">
        <f t="shared" si="28"/>
        <v>1</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158"/>
      <c r="B169" s="717"/>
      <c r="C169" s="24">
        <f t="shared" si="26"/>
        <v>1</v>
      </c>
      <c r="D169" s="719"/>
      <c r="E169" s="24">
        <f t="shared" si="27"/>
        <v>1</v>
      </c>
      <c r="F169" s="719"/>
      <c r="G169" s="24">
        <f t="shared" si="28"/>
        <v>1</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158"/>
      <c r="B170" s="717"/>
      <c r="C170" s="24">
        <f t="shared" si="26"/>
        <v>1</v>
      </c>
      <c r="D170" s="719"/>
      <c r="E170" s="24">
        <f t="shared" si="27"/>
        <v>1</v>
      </c>
      <c r="F170" s="719"/>
      <c r="G170" s="24">
        <f t="shared" si="28"/>
        <v>1</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158"/>
      <c r="B171" s="717"/>
      <c r="C171" s="24">
        <f t="shared" si="26"/>
        <v>1</v>
      </c>
      <c r="D171" s="719"/>
      <c r="E171" s="24">
        <f t="shared" si="27"/>
        <v>1</v>
      </c>
      <c r="F171" s="719"/>
      <c r="G171" s="24">
        <f t="shared" si="28"/>
        <v>1</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158"/>
      <c r="B172" s="717"/>
      <c r="C172" s="24">
        <f t="shared" si="26"/>
        <v>1</v>
      </c>
      <c r="D172" s="719"/>
      <c r="E172" s="24">
        <f t="shared" si="27"/>
        <v>1</v>
      </c>
      <c r="F172" s="719"/>
      <c r="G172" s="24">
        <f t="shared" si="28"/>
        <v>1</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158"/>
      <c r="B173" s="717"/>
      <c r="C173" s="24">
        <f t="shared" si="26"/>
        <v>1</v>
      </c>
      <c r="D173" s="719"/>
      <c r="E173" s="24">
        <f t="shared" si="27"/>
        <v>1</v>
      </c>
      <c r="F173" s="719"/>
      <c r="G173" s="24">
        <f t="shared" si="28"/>
        <v>1</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158"/>
      <c r="B174" s="717"/>
      <c r="C174" s="24">
        <f t="shared" si="26"/>
        <v>1</v>
      </c>
      <c r="D174" s="719"/>
      <c r="E174" s="24">
        <f t="shared" si="27"/>
        <v>1</v>
      </c>
      <c r="F174" s="719"/>
      <c r="G174" s="24">
        <f t="shared" si="28"/>
        <v>1</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158"/>
      <c r="B175" s="717"/>
      <c r="C175" s="24">
        <f t="shared" si="26"/>
        <v>1</v>
      </c>
      <c r="D175" s="719"/>
      <c r="E175" s="24">
        <f t="shared" si="27"/>
        <v>1</v>
      </c>
      <c r="F175" s="719"/>
      <c r="G175" s="24">
        <f t="shared" si="28"/>
        <v>1</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158"/>
      <c r="B176" s="717"/>
      <c r="C176" s="24">
        <f t="shared" si="26"/>
        <v>1</v>
      </c>
      <c r="D176" s="719"/>
      <c r="E176" s="24">
        <f t="shared" si="27"/>
        <v>1</v>
      </c>
      <c r="F176" s="719"/>
      <c r="G176" s="24">
        <f t="shared" si="28"/>
        <v>1</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158"/>
      <c r="B177" s="717"/>
      <c r="C177" s="24">
        <f t="shared" si="26"/>
        <v>1</v>
      </c>
      <c r="D177" s="719"/>
      <c r="E177" s="24">
        <f t="shared" si="27"/>
        <v>1</v>
      </c>
      <c r="F177" s="719"/>
      <c r="G177" s="24">
        <f t="shared" si="28"/>
        <v>1</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158"/>
      <c r="B178" s="717"/>
      <c r="C178" s="24">
        <f t="shared" si="26"/>
        <v>1</v>
      </c>
      <c r="D178" s="719"/>
      <c r="E178" s="24">
        <f t="shared" si="27"/>
        <v>1</v>
      </c>
      <c r="F178" s="719"/>
      <c r="G178" s="24">
        <f t="shared" si="28"/>
        <v>1</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158"/>
      <c r="B179" s="717"/>
      <c r="C179" s="24">
        <f t="shared" si="26"/>
        <v>1</v>
      </c>
      <c r="D179" s="719"/>
      <c r="E179" s="24">
        <f t="shared" si="27"/>
        <v>1</v>
      </c>
      <c r="F179" s="719"/>
      <c r="G179" s="24">
        <f t="shared" si="28"/>
        <v>1</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158"/>
      <c r="B180" s="717"/>
      <c r="C180" s="24">
        <f t="shared" si="26"/>
        <v>1</v>
      </c>
      <c r="D180" s="719"/>
      <c r="E180" s="24">
        <f t="shared" si="27"/>
        <v>1</v>
      </c>
      <c r="F180" s="719"/>
      <c r="G180" s="24">
        <f t="shared" si="28"/>
        <v>1</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158"/>
      <c r="B181" s="717"/>
      <c r="C181" s="24">
        <f t="shared" si="26"/>
        <v>1</v>
      </c>
      <c r="D181" s="719"/>
      <c r="E181" s="24">
        <f t="shared" si="27"/>
        <v>1</v>
      </c>
      <c r="F181" s="719"/>
      <c r="G181" s="24">
        <f t="shared" si="28"/>
        <v>1</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158"/>
      <c r="B182" s="717"/>
      <c r="C182" s="24">
        <f t="shared" si="26"/>
        <v>1</v>
      </c>
      <c r="D182" s="719"/>
      <c r="E182" s="24">
        <f t="shared" si="27"/>
        <v>1</v>
      </c>
      <c r="F182" s="719"/>
      <c r="G182" s="24">
        <f t="shared" si="28"/>
        <v>1</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158"/>
      <c r="B183" s="717"/>
      <c r="C183" s="24">
        <f t="shared" si="26"/>
        <v>1</v>
      </c>
      <c r="D183" s="719"/>
      <c r="E183" s="24">
        <f t="shared" si="27"/>
        <v>1</v>
      </c>
      <c r="F183" s="719"/>
      <c r="G183" s="24">
        <f t="shared" si="28"/>
        <v>1</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158"/>
      <c r="B184" s="717"/>
      <c r="C184" s="24">
        <f t="shared" si="26"/>
        <v>1</v>
      </c>
      <c r="D184" s="719"/>
      <c r="E184" s="24">
        <f t="shared" si="27"/>
        <v>1</v>
      </c>
      <c r="F184" s="719"/>
      <c r="G184" s="24">
        <f t="shared" si="28"/>
        <v>1</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158"/>
      <c r="B185" s="717"/>
      <c r="C185" s="24">
        <f t="shared" si="26"/>
        <v>1</v>
      </c>
      <c r="D185" s="719"/>
      <c r="E185" s="24">
        <f t="shared" si="27"/>
        <v>1</v>
      </c>
      <c r="F185" s="719"/>
      <c r="G185" s="24">
        <f t="shared" si="28"/>
        <v>1</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158"/>
      <c r="B186" s="717"/>
      <c r="C186" s="24">
        <f t="shared" si="26"/>
        <v>1</v>
      </c>
      <c r="D186" s="719"/>
      <c r="E186" s="24">
        <f t="shared" si="27"/>
        <v>1</v>
      </c>
      <c r="F186" s="719"/>
      <c r="G186" s="24">
        <f t="shared" si="28"/>
        <v>1</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158"/>
      <c r="B187" s="717"/>
      <c r="C187" s="24">
        <f t="shared" si="26"/>
        <v>1</v>
      </c>
      <c r="D187" s="719"/>
      <c r="E187" s="24">
        <f t="shared" si="27"/>
        <v>1</v>
      </c>
      <c r="F187" s="719"/>
      <c r="G187" s="24">
        <f t="shared" si="28"/>
        <v>1</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158"/>
      <c r="B188" s="717"/>
      <c r="C188" s="24">
        <f t="shared" si="26"/>
        <v>1</v>
      </c>
      <c r="D188" s="719"/>
      <c r="E188" s="24">
        <f t="shared" si="27"/>
        <v>1</v>
      </c>
      <c r="F188" s="719"/>
      <c r="G188" s="24">
        <f t="shared" si="28"/>
        <v>1</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158"/>
      <c r="B189" s="717"/>
      <c r="C189" s="24">
        <f t="shared" si="26"/>
        <v>1</v>
      </c>
      <c r="D189" s="719"/>
      <c r="E189" s="24">
        <f t="shared" si="27"/>
        <v>1</v>
      </c>
      <c r="F189" s="719"/>
      <c r="G189" s="24">
        <f t="shared" si="28"/>
        <v>1</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158"/>
      <c r="B190" s="717"/>
      <c r="C190" s="24">
        <f t="shared" si="26"/>
        <v>1</v>
      </c>
      <c r="D190" s="719"/>
      <c r="E190" s="24">
        <f t="shared" si="27"/>
        <v>1</v>
      </c>
      <c r="F190" s="719"/>
      <c r="G190" s="24">
        <f t="shared" si="28"/>
        <v>1</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158"/>
      <c r="B191" s="717"/>
      <c r="C191" s="24">
        <f t="shared" si="26"/>
        <v>1</v>
      </c>
      <c r="D191" s="719"/>
      <c r="E191" s="24">
        <f t="shared" si="27"/>
        <v>1</v>
      </c>
      <c r="F191" s="719"/>
      <c r="G191" s="24">
        <f t="shared" si="28"/>
        <v>1</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158"/>
      <c r="B192" s="717"/>
      <c r="C192" s="24">
        <f t="shared" si="26"/>
        <v>1</v>
      </c>
      <c r="D192" s="719"/>
      <c r="E192" s="24">
        <f t="shared" si="27"/>
        <v>1</v>
      </c>
      <c r="F192" s="719"/>
      <c r="G192" s="24">
        <f t="shared" si="28"/>
        <v>1</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158"/>
      <c r="B193" s="717"/>
      <c r="C193" s="24">
        <f t="shared" si="26"/>
        <v>1</v>
      </c>
      <c r="D193" s="719"/>
      <c r="E193" s="24">
        <f t="shared" si="27"/>
        <v>1</v>
      </c>
      <c r="F193" s="719"/>
      <c r="G193" s="24">
        <f t="shared" si="28"/>
        <v>1</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158"/>
      <c r="B194" s="717"/>
      <c r="C194" s="24">
        <f t="shared" si="26"/>
        <v>1</v>
      </c>
      <c r="D194" s="719"/>
      <c r="E194" s="24">
        <f t="shared" si="27"/>
        <v>1</v>
      </c>
      <c r="F194" s="719"/>
      <c r="G194" s="24">
        <f t="shared" si="28"/>
        <v>1</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158"/>
      <c r="B195" s="717"/>
      <c r="C195" s="24">
        <f t="shared" si="26"/>
        <v>1</v>
      </c>
      <c r="D195" s="719"/>
      <c r="E195" s="24">
        <f t="shared" si="27"/>
        <v>1</v>
      </c>
      <c r="F195" s="719"/>
      <c r="G195" s="24">
        <f t="shared" si="28"/>
        <v>1</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158"/>
      <c r="B196" s="717"/>
      <c r="C196" s="24">
        <f t="shared" si="26"/>
        <v>1</v>
      </c>
      <c r="D196" s="719"/>
      <c r="E196" s="24">
        <f t="shared" si="27"/>
        <v>1</v>
      </c>
      <c r="F196" s="719"/>
      <c r="G196" s="24">
        <f t="shared" si="28"/>
        <v>1</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158"/>
      <c r="B197" s="717"/>
      <c r="C197" s="24">
        <f t="shared" si="26"/>
        <v>1</v>
      </c>
      <c r="D197" s="719"/>
      <c r="E197" s="24">
        <f t="shared" si="27"/>
        <v>1</v>
      </c>
      <c r="F197" s="719"/>
      <c r="G197" s="24">
        <f t="shared" si="28"/>
        <v>1</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158"/>
      <c r="B198" s="717"/>
      <c r="C198" s="24">
        <f t="shared" si="26"/>
        <v>1</v>
      </c>
      <c r="D198" s="719"/>
      <c r="E198" s="24">
        <f t="shared" si="27"/>
        <v>1</v>
      </c>
      <c r="F198" s="719"/>
      <c r="G198" s="24">
        <f t="shared" si="28"/>
        <v>1</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158"/>
      <c r="B199" s="717"/>
      <c r="C199" s="24">
        <f t="shared" si="26"/>
        <v>1</v>
      </c>
      <c r="D199" s="719"/>
      <c r="E199" s="24">
        <f t="shared" si="27"/>
        <v>1</v>
      </c>
      <c r="F199" s="719"/>
      <c r="G199" s="24">
        <f t="shared" si="28"/>
        <v>1</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158"/>
      <c r="B200" s="717"/>
      <c r="C200" s="24">
        <f t="shared" si="26"/>
        <v>1</v>
      </c>
      <c r="D200" s="719"/>
      <c r="E200" s="24">
        <f t="shared" si="27"/>
        <v>1</v>
      </c>
      <c r="F200" s="719"/>
      <c r="G200" s="24">
        <f t="shared" si="28"/>
        <v>1</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158"/>
      <c r="B201" s="717"/>
      <c r="C201" s="24">
        <f t="shared" si="26"/>
        <v>1</v>
      </c>
      <c r="D201" s="719"/>
      <c r="E201" s="24">
        <f t="shared" si="27"/>
        <v>1</v>
      </c>
      <c r="F201" s="719"/>
      <c r="G201" s="24">
        <f t="shared" si="28"/>
        <v>1</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158"/>
      <c r="B202" s="717"/>
      <c r="C202" s="24">
        <f t="shared" si="26"/>
        <v>1</v>
      </c>
      <c r="D202" s="719"/>
      <c r="E202" s="24">
        <f t="shared" si="27"/>
        <v>1</v>
      </c>
      <c r="F202" s="719"/>
      <c r="G202" s="24">
        <f t="shared" si="28"/>
        <v>1</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158"/>
      <c r="B203" s="717"/>
      <c r="C203" s="24">
        <f t="shared" si="26"/>
        <v>1</v>
      </c>
      <c r="D203" s="719"/>
      <c r="E203" s="24">
        <f t="shared" si="27"/>
        <v>1</v>
      </c>
      <c r="F203" s="719"/>
      <c r="G203" s="24">
        <f t="shared" si="28"/>
        <v>1</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158"/>
      <c r="B204" s="717"/>
      <c r="C204" s="24">
        <f t="shared" si="26"/>
        <v>1</v>
      </c>
      <c r="D204" s="719"/>
      <c r="E204" s="24">
        <f t="shared" si="27"/>
        <v>1</v>
      </c>
      <c r="F204" s="719"/>
      <c r="G204" s="24">
        <f t="shared" si="28"/>
        <v>1</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158"/>
      <c r="B205" s="717"/>
      <c r="C205" s="24">
        <f t="shared" si="26"/>
        <v>1</v>
      </c>
      <c r="D205" s="719"/>
      <c r="E205" s="24">
        <f t="shared" si="27"/>
        <v>1</v>
      </c>
      <c r="F205" s="719"/>
      <c r="G205" s="24">
        <f t="shared" si="28"/>
        <v>1</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158"/>
      <c r="B206" s="717"/>
      <c r="C206" s="24">
        <f t="shared" si="26"/>
        <v>1</v>
      </c>
      <c r="D206" s="719"/>
      <c r="E206" s="24">
        <f t="shared" si="27"/>
        <v>1</v>
      </c>
      <c r="F206" s="719"/>
      <c r="G206" s="24">
        <f t="shared" si="28"/>
        <v>1</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158"/>
      <c r="B207" s="717"/>
      <c r="C207" s="24">
        <f t="shared" si="26"/>
        <v>1</v>
      </c>
      <c r="D207" s="719"/>
      <c r="E207" s="24">
        <f t="shared" si="27"/>
        <v>1</v>
      </c>
      <c r="F207" s="719"/>
      <c r="G207" s="24">
        <f t="shared" si="28"/>
        <v>1</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158"/>
      <c r="B208" s="717"/>
      <c r="C208" s="24">
        <f t="shared" si="26"/>
        <v>1</v>
      </c>
      <c r="D208" s="719"/>
      <c r="E208" s="24">
        <f t="shared" si="27"/>
        <v>1</v>
      </c>
      <c r="F208" s="719"/>
      <c r="G208" s="24">
        <f t="shared" si="28"/>
        <v>1</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158"/>
      <c r="B209" s="717"/>
      <c r="C209" s="24">
        <f t="shared" si="26"/>
        <v>1</v>
      </c>
      <c r="D209" s="719"/>
      <c r="E209" s="24">
        <f t="shared" si="27"/>
        <v>1</v>
      </c>
      <c r="F209" s="719"/>
      <c r="G209" s="24">
        <f t="shared" si="28"/>
        <v>1</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158"/>
      <c r="B210" s="717"/>
      <c r="C210" s="24">
        <f t="shared" si="26"/>
        <v>1</v>
      </c>
      <c r="D210" s="719"/>
      <c r="E210" s="24">
        <f t="shared" si="27"/>
        <v>1</v>
      </c>
      <c r="F210" s="719"/>
      <c r="G210" s="24">
        <f t="shared" si="28"/>
        <v>1</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158"/>
      <c r="B211" s="717"/>
      <c r="C211" s="24">
        <f t="shared" si="26"/>
        <v>1</v>
      </c>
      <c r="D211" s="719"/>
      <c r="E211" s="24">
        <f t="shared" si="27"/>
        <v>1</v>
      </c>
      <c r="F211" s="719"/>
      <c r="G211" s="24">
        <f t="shared" si="28"/>
        <v>1</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158"/>
      <c r="B212" s="717"/>
      <c r="C212" s="24">
        <f t="shared" si="26"/>
        <v>1</v>
      </c>
      <c r="D212" s="719"/>
      <c r="E212" s="24">
        <f t="shared" si="27"/>
        <v>1</v>
      </c>
      <c r="F212" s="719"/>
      <c r="G212" s="24">
        <f t="shared" si="28"/>
        <v>1</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158"/>
      <c r="B213" s="717"/>
      <c r="C213" s="24">
        <f t="shared" si="26"/>
        <v>1</v>
      </c>
      <c r="D213" s="719"/>
      <c r="E213" s="24">
        <f t="shared" si="27"/>
        <v>1</v>
      </c>
      <c r="F213" s="719"/>
      <c r="G213" s="24">
        <f t="shared" si="28"/>
        <v>1</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158"/>
      <c r="B214" s="717"/>
      <c r="C214" s="24">
        <f t="shared" si="26"/>
        <v>1</v>
      </c>
      <c r="D214" s="719"/>
      <c r="E214" s="24">
        <f t="shared" si="27"/>
        <v>1</v>
      </c>
      <c r="F214" s="719"/>
      <c r="G214" s="24">
        <f t="shared" si="28"/>
        <v>1</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158"/>
      <c r="B215" s="717"/>
      <c r="C215" s="24">
        <f t="shared" si="26"/>
        <v>1</v>
      </c>
      <c r="D215" s="719"/>
      <c r="E215" s="24">
        <f t="shared" si="27"/>
        <v>1</v>
      </c>
      <c r="F215" s="719"/>
      <c r="G215" s="24">
        <f t="shared" si="28"/>
        <v>1</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158"/>
      <c r="B216" s="717"/>
      <c r="C216" s="24">
        <f t="shared" si="26"/>
        <v>1</v>
      </c>
      <c r="D216" s="719"/>
      <c r="E216" s="24">
        <f t="shared" si="27"/>
        <v>1</v>
      </c>
      <c r="F216" s="719"/>
      <c r="G216" s="24">
        <f t="shared" si="28"/>
        <v>1</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158"/>
      <c r="B217" s="717"/>
      <c r="C217" s="24">
        <f t="shared" si="26"/>
        <v>1</v>
      </c>
      <c r="D217" s="719"/>
      <c r="E217" s="24">
        <f t="shared" si="27"/>
        <v>1</v>
      </c>
      <c r="F217" s="719"/>
      <c r="G217" s="24">
        <f t="shared" si="28"/>
        <v>1</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158"/>
      <c r="B218" s="717"/>
      <c r="C218" s="24">
        <f t="shared" ref="C218:C281" si="36">IF(B218="",1,(LOOKUP(B218,$3:$3,$4:$4)-LOOKUP($B$24,$3:$3,$4:$4)+100)/100)</f>
        <v>1</v>
      </c>
      <c r="D218" s="719"/>
      <c r="E218" s="24">
        <f t="shared" ref="E218:E281" si="37">(SUMIF($5:$5,D218,$6:$6)-SUMIF($5:$5,$D$24,$6:$6)+100)/100</f>
        <v>1</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158"/>
      <c r="B219" s="717"/>
      <c r="C219" s="24">
        <f t="shared" si="36"/>
        <v>1</v>
      </c>
      <c r="D219" s="719"/>
      <c r="E219" s="24">
        <f t="shared" si="37"/>
        <v>1</v>
      </c>
      <c r="F219" s="719"/>
      <c r="G219" s="24">
        <f t="shared" si="38"/>
        <v>1</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158"/>
      <c r="B220" s="717"/>
      <c r="C220" s="24">
        <f t="shared" si="36"/>
        <v>1</v>
      </c>
      <c r="D220" s="719"/>
      <c r="E220" s="24">
        <f t="shared" si="37"/>
        <v>1</v>
      </c>
      <c r="F220" s="719"/>
      <c r="G220" s="24">
        <f t="shared" si="38"/>
        <v>1</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158"/>
      <c r="B221" s="717"/>
      <c r="C221" s="24">
        <f t="shared" si="36"/>
        <v>1</v>
      </c>
      <c r="D221" s="719"/>
      <c r="E221" s="24">
        <f t="shared" si="37"/>
        <v>1</v>
      </c>
      <c r="F221" s="719"/>
      <c r="G221" s="24">
        <f t="shared" si="38"/>
        <v>1</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158"/>
      <c r="B222" s="717"/>
      <c r="C222" s="24">
        <f t="shared" si="36"/>
        <v>1</v>
      </c>
      <c r="D222" s="719"/>
      <c r="E222" s="24">
        <f t="shared" si="37"/>
        <v>1</v>
      </c>
      <c r="F222" s="719"/>
      <c r="G222" s="24">
        <f t="shared" si="38"/>
        <v>1</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158"/>
      <c r="B223" s="717"/>
      <c r="C223" s="24">
        <f t="shared" si="36"/>
        <v>1</v>
      </c>
      <c r="D223" s="719"/>
      <c r="E223" s="24">
        <f t="shared" si="37"/>
        <v>1</v>
      </c>
      <c r="F223" s="719"/>
      <c r="G223" s="24">
        <f t="shared" si="38"/>
        <v>1</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158"/>
      <c r="B224" s="717"/>
      <c r="C224" s="24">
        <f t="shared" si="36"/>
        <v>1</v>
      </c>
      <c r="D224" s="719"/>
      <c r="E224" s="24">
        <f t="shared" si="37"/>
        <v>1</v>
      </c>
      <c r="F224" s="719"/>
      <c r="G224" s="24">
        <f t="shared" si="38"/>
        <v>1</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158"/>
      <c r="B225" s="717"/>
      <c r="C225" s="24">
        <f t="shared" si="36"/>
        <v>1</v>
      </c>
      <c r="D225" s="719"/>
      <c r="E225" s="24">
        <f t="shared" si="37"/>
        <v>1</v>
      </c>
      <c r="F225" s="719"/>
      <c r="G225" s="24">
        <f t="shared" si="38"/>
        <v>1</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158"/>
      <c r="B226" s="717"/>
      <c r="C226" s="24">
        <f t="shared" si="36"/>
        <v>1</v>
      </c>
      <c r="D226" s="719"/>
      <c r="E226" s="24">
        <f t="shared" si="37"/>
        <v>1</v>
      </c>
      <c r="F226" s="719"/>
      <c r="G226" s="24">
        <f t="shared" si="38"/>
        <v>1</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158"/>
      <c r="B227" s="717"/>
      <c r="C227" s="24">
        <f t="shared" si="36"/>
        <v>1</v>
      </c>
      <c r="D227" s="719"/>
      <c r="E227" s="24">
        <f t="shared" si="37"/>
        <v>1</v>
      </c>
      <c r="F227" s="719"/>
      <c r="G227" s="24">
        <f t="shared" si="38"/>
        <v>1</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158"/>
      <c r="B228" s="717"/>
      <c r="C228" s="24">
        <f t="shared" si="36"/>
        <v>1</v>
      </c>
      <c r="D228" s="719"/>
      <c r="E228" s="24">
        <f t="shared" si="37"/>
        <v>1</v>
      </c>
      <c r="F228" s="719"/>
      <c r="G228" s="24">
        <f t="shared" si="38"/>
        <v>1</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158"/>
      <c r="B229" s="717"/>
      <c r="C229" s="24">
        <f t="shared" si="36"/>
        <v>1</v>
      </c>
      <c r="D229" s="719"/>
      <c r="E229" s="24">
        <f t="shared" si="37"/>
        <v>1</v>
      </c>
      <c r="F229" s="719"/>
      <c r="G229" s="24">
        <f t="shared" si="38"/>
        <v>1</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158"/>
      <c r="B230" s="717"/>
      <c r="C230" s="24">
        <f t="shared" si="36"/>
        <v>1</v>
      </c>
      <c r="D230" s="719"/>
      <c r="E230" s="24">
        <f t="shared" si="37"/>
        <v>1</v>
      </c>
      <c r="F230" s="719"/>
      <c r="G230" s="24">
        <f t="shared" si="38"/>
        <v>1</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158"/>
      <c r="B231" s="717"/>
      <c r="C231" s="24">
        <f t="shared" si="36"/>
        <v>1</v>
      </c>
      <c r="D231" s="719"/>
      <c r="E231" s="24">
        <f t="shared" si="37"/>
        <v>1</v>
      </c>
      <c r="F231" s="719"/>
      <c r="G231" s="24">
        <f t="shared" si="38"/>
        <v>1</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158"/>
      <c r="B232" s="717"/>
      <c r="C232" s="24">
        <f t="shared" si="36"/>
        <v>1</v>
      </c>
      <c r="D232" s="719"/>
      <c r="E232" s="24">
        <f t="shared" si="37"/>
        <v>1</v>
      </c>
      <c r="F232" s="719"/>
      <c r="G232" s="24">
        <f t="shared" si="38"/>
        <v>1</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158"/>
      <c r="B233" s="717"/>
      <c r="C233" s="24">
        <f t="shared" si="36"/>
        <v>1</v>
      </c>
      <c r="D233" s="719"/>
      <c r="E233" s="24">
        <f t="shared" si="37"/>
        <v>1</v>
      </c>
      <c r="F233" s="719"/>
      <c r="G233" s="24">
        <f t="shared" si="38"/>
        <v>1</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158"/>
      <c r="B234" s="717"/>
      <c r="C234" s="24">
        <f t="shared" si="36"/>
        <v>1</v>
      </c>
      <c r="D234" s="719"/>
      <c r="E234" s="24">
        <f t="shared" si="37"/>
        <v>1</v>
      </c>
      <c r="F234" s="719"/>
      <c r="G234" s="24">
        <f t="shared" si="38"/>
        <v>1</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158"/>
      <c r="B235" s="717"/>
      <c r="C235" s="24">
        <f t="shared" si="36"/>
        <v>1</v>
      </c>
      <c r="D235" s="719"/>
      <c r="E235" s="24">
        <f t="shared" si="37"/>
        <v>1</v>
      </c>
      <c r="F235" s="719"/>
      <c r="G235" s="24">
        <f t="shared" si="38"/>
        <v>1</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158"/>
      <c r="B236" s="717"/>
      <c r="C236" s="24">
        <f t="shared" si="36"/>
        <v>1</v>
      </c>
      <c r="D236" s="719"/>
      <c r="E236" s="24">
        <f t="shared" si="37"/>
        <v>1</v>
      </c>
      <c r="F236" s="719"/>
      <c r="G236" s="24">
        <f t="shared" si="38"/>
        <v>1</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158"/>
      <c r="B237" s="717"/>
      <c r="C237" s="24">
        <f t="shared" si="36"/>
        <v>1</v>
      </c>
      <c r="D237" s="719"/>
      <c r="E237" s="24">
        <f t="shared" si="37"/>
        <v>1</v>
      </c>
      <c r="F237" s="719"/>
      <c r="G237" s="24">
        <f t="shared" si="38"/>
        <v>1</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158"/>
      <c r="B238" s="717"/>
      <c r="C238" s="24">
        <f t="shared" si="36"/>
        <v>1</v>
      </c>
      <c r="D238" s="719"/>
      <c r="E238" s="24">
        <f t="shared" si="37"/>
        <v>1</v>
      </c>
      <c r="F238" s="719"/>
      <c r="G238" s="24">
        <f t="shared" si="38"/>
        <v>1</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158"/>
      <c r="B239" s="717"/>
      <c r="C239" s="24">
        <f t="shared" si="36"/>
        <v>1</v>
      </c>
      <c r="D239" s="719"/>
      <c r="E239" s="24">
        <f t="shared" si="37"/>
        <v>1</v>
      </c>
      <c r="F239" s="719"/>
      <c r="G239" s="24">
        <f t="shared" si="38"/>
        <v>1</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158"/>
      <c r="B240" s="717"/>
      <c r="C240" s="24">
        <f t="shared" si="36"/>
        <v>1</v>
      </c>
      <c r="D240" s="719"/>
      <c r="E240" s="24">
        <f t="shared" si="37"/>
        <v>1</v>
      </c>
      <c r="F240" s="719"/>
      <c r="G240" s="24">
        <f t="shared" si="38"/>
        <v>1</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158"/>
      <c r="B241" s="717"/>
      <c r="C241" s="24">
        <f t="shared" si="36"/>
        <v>1</v>
      </c>
      <c r="D241" s="719"/>
      <c r="E241" s="24">
        <f t="shared" si="37"/>
        <v>1</v>
      </c>
      <c r="F241" s="719"/>
      <c r="G241" s="24">
        <f t="shared" si="38"/>
        <v>1</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158"/>
      <c r="B242" s="717"/>
      <c r="C242" s="24">
        <f t="shared" si="36"/>
        <v>1</v>
      </c>
      <c r="D242" s="719"/>
      <c r="E242" s="24">
        <f t="shared" si="37"/>
        <v>1</v>
      </c>
      <c r="F242" s="719"/>
      <c r="G242" s="24">
        <f t="shared" si="38"/>
        <v>1</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158"/>
      <c r="B243" s="717"/>
      <c r="C243" s="24">
        <f t="shared" si="36"/>
        <v>1</v>
      </c>
      <c r="D243" s="719"/>
      <c r="E243" s="24">
        <f t="shared" si="37"/>
        <v>1</v>
      </c>
      <c r="F243" s="719"/>
      <c r="G243" s="24">
        <f t="shared" si="38"/>
        <v>1</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158"/>
      <c r="B244" s="717"/>
      <c r="C244" s="24">
        <f t="shared" si="36"/>
        <v>1</v>
      </c>
      <c r="D244" s="719"/>
      <c r="E244" s="24">
        <f t="shared" si="37"/>
        <v>1</v>
      </c>
      <c r="F244" s="719"/>
      <c r="G244" s="24">
        <f t="shared" si="38"/>
        <v>1</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158"/>
      <c r="B245" s="717"/>
      <c r="C245" s="24">
        <f t="shared" si="36"/>
        <v>1</v>
      </c>
      <c r="D245" s="719"/>
      <c r="E245" s="24">
        <f t="shared" si="37"/>
        <v>1</v>
      </c>
      <c r="F245" s="719"/>
      <c r="G245" s="24">
        <f t="shared" si="38"/>
        <v>1</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158"/>
      <c r="B246" s="717"/>
      <c r="C246" s="24">
        <f t="shared" si="36"/>
        <v>1</v>
      </c>
      <c r="D246" s="719"/>
      <c r="E246" s="24">
        <f t="shared" si="37"/>
        <v>1</v>
      </c>
      <c r="F246" s="719"/>
      <c r="G246" s="24">
        <f t="shared" si="38"/>
        <v>1</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158"/>
      <c r="B247" s="717"/>
      <c r="C247" s="24">
        <f t="shared" si="36"/>
        <v>1</v>
      </c>
      <c r="D247" s="719"/>
      <c r="E247" s="24">
        <f t="shared" si="37"/>
        <v>1</v>
      </c>
      <c r="F247" s="719"/>
      <c r="G247" s="24">
        <f t="shared" si="38"/>
        <v>1</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158"/>
      <c r="B248" s="59"/>
      <c r="C248" s="24">
        <f t="shared" si="36"/>
        <v>1</v>
      </c>
      <c r="D248" s="719"/>
      <c r="E248" s="24">
        <f t="shared" si="37"/>
        <v>1</v>
      </c>
      <c r="F248" s="719"/>
      <c r="G248" s="24">
        <f t="shared" si="38"/>
        <v>1</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158"/>
      <c r="B249" s="59"/>
      <c r="C249" s="24">
        <f t="shared" si="36"/>
        <v>1</v>
      </c>
      <c r="D249" s="719"/>
      <c r="E249" s="24">
        <f t="shared" si="37"/>
        <v>1</v>
      </c>
      <c r="F249" s="719"/>
      <c r="G249" s="24">
        <f t="shared" si="38"/>
        <v>1</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158"/>
      <c r="B250" s="59"/>
      <c r="C250" s="24">
        <f t="shared" si="36"/>
        <v>1</v>
      </c>
      <c r="D250" s="719"/>
      <c r="E250" s="24">
        <f t="shared" si="37"/>
        <v>1</v>
      </c>
      <c r="F250" s="719"/>
      <c r="G250" s="24">
        <f t="shared" si="38"/>
        <v>1</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158"/>
      <c r="B251" s="59"/>
      <c r="C251" s="24">
        <f t="shared" si="36"/>
        <v>1</v>
      </c>
      <c r="D251" s="719"/>
      <c r="E251" s="24">
        <f t="shared" si="37"/>
        <v>1</v>
      </c>
      <c r="F251" s="719"/>
      <c r="G251" s="24">
        <f t="shared" si="38"/>
        <v>1</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158"/>
      <c r="B252" s="59"/>
      <c r="C252" s="24">
        <f t="shared" si="36"/>
        <v>1</v>
      </c>
      <c r="D252" s="719"/>
      <c r="E252" s="24">
        <f t="shared" si="37"/>
        <v>1</v>
      </c>
      <c r="F252" s="719"/>
      <c r="G252" s="24">
        <f t="shared" si="38"/>
        <v>1</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158"/>
      <c r="B253" s="59"/>
      <c r="C253" s="24">
        <f t="shared" si="36"/>
        <v>1</v>
      </c>
      <c r="D253" s="719"/>
      <c r="E253" s="24">
        <f t="shared" si="37"/>
        <v>1</v>
      </c>
      <c r="F253" s="719"/>
      <c r="G253" s="24">
        <f t="shared" si="38"/>
        <v>1</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158"/>
      <c r="B254" s="59"/>
      <c r="C254" s="24">
        <f t="shared" si="36"/>
        <v>1</v>
      </c>
      <c r="D254" s="719"/>
      <c r="E254" s="24">
        <f t="shared" si="37"/>
        <v>1</v>
      </c>
      <c r="F254" s="719"/>
      <c r="G254" s="24">
        <f t="shared" si="38"/>
        <v>1</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158"/>
      <c r="B255" s="59"/>
      <c r="C255" s="24">
        <f t="shared" si="36"/>
        <v>1</v>
      </c>
      <c r="D255" s="719"/>
      <c r="E255" s="24">
        <f t="shared" si="37"/>
        <v>1</v>
      </c>
      <c r="F255" s="719"/>
      <c r="G255" s="24">
        <f t="shared" si="38"/>
        <v>1</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158"/>
      <c r="B256" s="59"/>
      <c r="C256" s="24">
        <f t="shared" si="36"/>
        <v>1</v>
      </c>
      <c r="D256" s="719"/>
      <c r="E256" s="24">
        <f t="shared" si="37"/>
        <v>1</v>
      </c>
      <c r="F256" s="719"/>
      <c r="G256" s="24">
        <f t="shared" si="38"/>
        <v>1</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158"/>
      <c r="B257" s="59"/>
      <c r="C257" s="24">
        <f t="shared" si="36"/>
        <v>1</v>
      </c>
      <c r="D257" s="719"/>
      <c r="E257" s="24">
        <f t="shared" si="37"/>
        <v>1</v>
      </c>
      <c r="F257" s="719"/>
      <c r="G257" s="24">
        <f t="shared" si="38"/>
        <v>1</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158"/>
      <c r="B258" s="59"/>
      <c r="C258" s="24">
        <f t="shared" si="36"/>
        <v>1</v>
      </c>
      <c r="D258" s="719"/>
      <c r="E258" s="24">
        <f t="shared" si="37"/>
        <v>1</v>
      </c>
      <c r="F258" s="719"/>
      <c r="G258" s="24">
        <f t="shared" si="38"/>
        <v>1</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158"/>
      <c r="B259" s="59"/>
      <c r="C259" s="24">
        <f t="shared" si="36"/>
        <v>1</v>
      </c>
      <c r="D259" s="719"/>
      <c r="E259" s="24">
        <f t="shared" si="37"/>
        <v>1</v>
      </c>
      <c r="F259" s="719"/>
      <c r="G259" s="24">
        <f t="shared" si="38"/>
        <v>1</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158"/>
      <c r="B260" s="59"/>
      <c r="C260" s="24">
        <f t="shared" si="36"/>
        <v>1</v>
      </c>
      <c r="D260" s="719"/>
      <c r="E260" s="24">
        <f t="shared" si="37"/>
        <v>1</v>
      </c>
      <c r="F260" s="719"/>
      <c r="G260" s="24">
        <f t="shared" si="38"/>
        <v>1</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158"/>
      <c r="B261" s="59"/>
      <c r="C261" s="24">
        <f t="shared" si="36"/>
        <v>1</v>
      </c>
      <c r="D261" s="719"/>
      <c r="E261" s="24">
        <f t="shared" si="37"/>
        <v>1</v>
      </c>
      <c r="F261" s="719"/>
      <c r="G261" s="24">
        <f t="shared" si="38"/>
        <v>1</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158"/>
      <c r="B262" s="59"/>
      <c r="C262" s="24">
        <f t="shared" si="36"/>
        <v>1</v>
      </c>
      <c r="D262" s="719"/>
      <c r="E262" s="24">
        <f t="shared" si="37"/>
        <v>1</v>
      </c>
      <c r="F262" s="719"/>
      <c r="G262" s="24">
        <f t="shared" si="38"/>
        <v>1</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158"/>
      <c r="B263" s="59"/>
      <c r="C263" s="24">
        <f t="shared" si="36"/>
        <v>1</v>
      </c>
      <c r="D263" s="719"/>
      <c r="E263" s="24">
        <f t="shared" si="37"/>
        <v>1</v>
      </c>
      <c r="F263" s="719"/>
      <c r="G263" s="24">
        <f t="shared" si="38"/>
        <v>1</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158"/>
      <c r="B264" s="59"/>
      <c r="C264" s="24">
        <f t="shared" si="36"/>
        <v>1</v>
      </c>
      <c r="D264" s="719"/>
      <c r="E264" s="24">
        <f t="shared" si="37"/>
        <v>1</v>
      </c>
      <c r="F264" s="719"/>
      <c r="G264" s="24">
        <f t="shared" si="38"/>
        <v>1</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158"/>
      <c r="B265" s="59"/>
      <c r="C265" s="24">
        <f t="shared" si="36"/>
        <v>1</v>
      </c>
      <c r="D265" s="719"/>
      <c r="E265" s="24">
        <f t="shared" si="37"/>
        <v>1</v>
      </c>
      <c r="F265" s="719"/>
      <c r="G265" s="24">
        <f t="shared" si="38"/>
        <v>1</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158"/>
      <c r="B266" s="59"/>
      <c r="C266" s="24">
        <f t="shared" si="36"/>
        <v>1</v>
      </c>
      <c r="D266" s="719"/>
      <c r="E266" s="24">
        <f t="shared" si="37"/>
        <v>1</v>
      </c>
      <c r="F266" s="719"/>
      <c r="G266" s="24">
        <f t="shared" si="38"/>
        <v>1</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158"/>
      <c r="B267" s="59"/>
      <c r="C267" s="24">
        <f t="shared" si="36"/>
        <v>1</v>
      </c>
      <c r="D267" s="719"/>
      <c r="E267" s="24">
        <f t="shared" si="37"/>
        <v>1</v>
      </c>
      <c r="F267" s="719"/>
      <c r="G267" s="24">
        <f t="shared" si="38"/>
        <v>1</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158"/>
      <c r="B268" s="59"/>
      <c r="C268" s="24">
        <f t="shared" si="36"/>
        <v>1</v>
      </c>
      <c r="D268" s="719"/>
      <c r="E268" s="24">
        <f t="shared" si="37"/>
        <v>1</v>
      </c>
      <c r="F268" s="719"/>
      <c r="G268" s="24">
        <f t="shared" si="38"/>
        <v>1</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158"/>
      <c r="B269" s="59"/>
      <c r="C269" s="24">
        <f t="shared" si="36"/>
        <v>1</v>
      </c>
      <c r="D269" s="719"/>
      <c r="E269" s="24">
        <f t="shared" si="37"/>
        <v>1</v>
      </c>
      <c r="F269" s="719"/>
      <c r="G269" s="24">
        <f t="shared" si="38"/>
        <v>1</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158"/>
      <c r="B270" s="59"/>
      <c r="C270" s="24">
        <f t="shared" si="36"/>
        <v>1</v>
      </c>
      <c r="D270" s="719"/>
      <c r="E270" s="24">
        <f t="shared" si="37"/>
        <v>1</v>
      </c>
      <c r="F270" s="719"/>
      <c r="G270" s="24">
        <f t="shared" si="38"/>
        <v>1</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158"/>
      <c r="B271" s="59"/>
      <c r="C271" s="24">
        <f t="shared" si="36"/>
        <v>1</v>
      </c>
      <c r="D271" s="719"/>
      <c r="E271" s="24">
        <f t="shared" si="37"/>
        <v>1</v>
      </c>
      <c r="F271" s="719"/>
      <c r="G271" s="24">
        <f t="shared" si="38"/>
        <v>1</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158"/>
      <c r="B272" s="59"/>
      <c r="C272" s="24">
        <f t="shared" si="36"/>
        <v>1</v>
      </c>
      <c r="D272" s="719"/>
      <c r="E272" s="24">
        <f t="shared" si="37"/>
        <v>1</v>
      </c>
      <c r="F272" s="719"/>
      <c r="G272" s="24">
        <f t="shared" si="38"/>
        <v>1</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158"/>
      <c r="B273" s="59"/>
      <c r="C273" s="24">
        <f t="shared" si="36"/>
        <v>1</v>
      </c>
      <c r="D273" s="719"/>
      <c r="E273" s="24">
        <f t="shared" si="37"/>
        <v>1</v>
      </c>
      <c r="F273" s="719"/>
      <c r="G273" s="24">
        <f t="shared" si="38"/>
        <v>1</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158"/>
      <c r="B274" s="59"/>
      <c r="C274" s="24">
        <f t="shared" si="36"/>
        <v>1</v>
      </c>
      <c r="D274" s="719"/>
      <c r="E274" s="24">
        <f t="shared" si="37"/>
        <v>1</v>
      </c>
      <c r="F274" s="719"/>
      <c r="G274" s="24">
        <f t="shared" si="38"/>
        <v>1</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158"/>
      <c r="B275" s="59"/>
      <c r="C275" s="24">
        <f t="shared" si="36"/>
        <v>1</v>
      </c>
      <c r="D275" s="719"/>
      <c r="E275" s="24">
        <f t="shared" si="37"/>
        <v>1</v>
      </c>
      <c r="F275" s="719"/>
      <c r="G275" s="24">
        <f t="shared" si="38"/>
        <v>1</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158"/>
      <c r="B276" s="59"/>
      <c r="C276" s="24">
        <f t="shared" si="36"/>
        <v>1</v>
      </c>
      <c r="D276" s="719"/>
      <c r="E276" s="24">
        <f t="shared" si="37"/>
        <v>1</v>
      </c>
      <c r="F276" s="719"/>
      <c r="G276" s="24">
        <f t="shared" si="38"/>
        <v>1</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158"/>
      <c r="B277" s="59"/>
      <c r="C277" s="24">
        <f t="shared" si="36"/>
        <v>1</v>
      </c>
      <c r="D277" s="719"/>
      <c r="E277" s="24">
        <f t="shared" si="37"/>
        <v>1</v>
      </c>
      <c r="F277" s="719"/>
      <c r="G277" s="24">
        <f t="shared" si="38"/>
        <v>1</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158"/>
      <c r="B278" s="59"/>
      <c r="C278" s="24">
        <f t="shared" si="36"/>
        <v>1</v>
      </c>
      <c r="D278" s="719"/>
      <c r="E278" s="24">
        <f t="shared" si="37"/>
        <v>1</v>
      </c>
      <c r="F278" s="719"/>
      <c r="G278" s="24">
        <f t="shared" si="38"/>
        <v>1</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158"/>
      <c r="B279" s="59"/>
      <c r="C279" s="24">
        <f t="shared" si="36"/>
        <v>1</v>
      </c>
      <c r="D279" s="719"/>
      <c r="E279" s="24">
        <f t="shared" si="37"/>
        <v>1</v>
      </c>
      <c r="F279" s="719"/>
      <c r="G279" s="24">
        <f t="shared" si="38"/>
        <v>1</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158"/>
      <c r="B280" s="59"/>
      <c r="C280" s="24">
        <f t="shared" si="36"/>
        <v>1</v>
      </c>
      <c r="D280" s="719"/>
      <c r="E280" s="24">
        <f t="shared" si="37"/>
        <v>1</v>
      </c>
      <c r="F280" s="719"/>
      <c r="G280" s="24">
        <f t="shared" si="38"/>
        <v>1</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158"/>
      <c r="B281" s="59"/>
      <c r="C281" s="24">
        <f t="shared" si="36"/>
        <v>1</v>
      </c>
      <c r="D281" s="719"/>
      <c r="E281" s="24">
        <f t="shared" si="37"/>
        <v>1</v>
      </c>
      <c r="F281" s="719"/>
      <c r="G281" s="24">
        <f t="shared" si="38"/>
        <v>1</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1</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158"/>
      <c r="B283" s="59"/>
      <c r="C283" s="24">
        <f t="shared" si="46"/>
        <v>1</v>
      </c>
      <c r="D283" s="719"/>
      <c r="E283" s="24">
        <f t="shared" si="47"/>
        <v>1</v>
      </c>
      <c r="F283" s="719"/>
      <c r="G283" s="24">
        <f t="shared" si="48"/>
        <v>1</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158"/>
      <c r="B284" s="59"/>
      <c r="C284" s="24">
        <f t="shared" si="46"/>
        <v>1</v>
      </c>
      <c r="D284" s="719"/>
      <c r="E284" s="24">
        <f t="shared" si="47"/>
        <v>1</v>
      </c>
      <c r="F284" s="719"/>
      <c r="G284" s="24">
        <f t="shared" si="48"/>
        <v>1</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158"/>
      <c r="B285" s="59"/>
      <c r="C285" s="24">
        <f t="shared" si="46"/>
        <v>1</v>
      </c>
      <c r="D285" s="719"/>
      <c r="E285" s="24">
        <f t="shared" si="47"/>
        <v>1</v>
      </c>
      <c r="F285" s="719"/>
      <c r="G285" s="24">
        <f t="shared" si="48"/>
        <v>1</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158"/>
      <c r="B286" s="59"/>
      <c r="C286" s="24">
        <f t="shared" si="46"/>
        <v>1</v>
      </c>
      <c r="D286" s="719"/>
      <c r="E286" s="24">
        <f t="shared" si="47"/>
        <v>1</v>
      </c>
      <c r="F286" s="719"/>
      <c r="G286" s="24">
        <f t="shared" si="48"/>
        <v>1</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158"/>
      <c r="B287" s="59"/>
      <c r="C287" s="24">
        <f t="shared" si="46"/>
        <v>1</v>
      </c>
      <c r="D287" s="719"/>
      <c r="E287" s="24">
        <f t="shared" si="47"/>
        <v>1</v>
      </c>
      <c r="F287" s="719"/>
      <c r="G287" s="24">
        <f t="shared" si="48"/>
        <v>1</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158"/>
      <c r="B288" s="59"/>
      <c r="C288" s="24">
        <f t="shared" si="46"/>
        <v>1</v>
      </c>
      <c r="D288" s="719"/>
      <c r="E288" s="24">
        <f t="shared" si="47"/>
        <v>1</v>
      </c>
      <c r="F288" s="719"/>
      <c r="G288" s="24">
        <f t="shared" si="48"/>
        <v>1</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158"/>
      <c r="B289" s="59"/>
      <c r="C289" s="24">
        <f t="shared" si="46"/>
        <v>1</v>
      </c>
      <c r="D289" s="719"/>
      <c r="E289" s="24">
        <f t="shared" si="47"/>
        <v>1</v>
      </c>
      <c r="F289" s="719"/>
      <c r="G289" s="24">
        <f t="shared" si="48"/>
        <v>1</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158"/>
      <c r="B290" s="59"/>
      <c r="C290" s="24">
        <f t="shared" si="46"/>
        <v>1</v>
      </c>
      <c r="D290" s="719"/>
      <c r="E290" s="24">
        <f t="shared" si="47"/>
        <v>1</v>
      </c>
      <c r="F290" s="719"/>
      <c r="G290" s="24">
        <f t="shared" si="48"/>
        <v>1</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158"/>
      <c r="B291" s="59"/>
      <c r="C291" s="24">
        <f t="shared" si="46"/>
        <v>1</v>
      </c>
      <c r="D291" s="719"/>
      <c r="E291" s="24">
        <f t="shared" si="47"/>
        <v>1</v>
      </c>
      <c r="F291" s="719"/>
      <c r="G291" s="24">
        <f t="shared" si="48"/>
        <v>1</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158"/>
      <c r="B292" s="59"/>
      <c r="C292" s="24">
        <f t="shared" si="46"/>
        <v>1</v>
      </c>
      <c r="D292" s="719"/>
      <c r="E292" s="24">
        <f t="shared" si="47"/>
        <v>1</v>
      </c>
      <c r="F292" s="719"/>
      <c r="G292" s="24">
        <f t="shared" si="48"/>
        <v>1</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158"/>
      <c r="B293" s="59"/>
      <c r="C293" s="24">
        <f t="shared" si="46"/>
        <v>1</v>
      </c>
      <c r="D293" s="719"/>
      <c r="E293" s="24">
        <f t="shared" si="47"/>
        <v>1</v>
      </c>
      <c r="F293" s="719"/>
      <c r="G293" s="24">
        <f t="shared" si="48"/>
        <v>1</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158"/>
      <c r="B294" s="59"/>
      <c r="C294" s="24">
        <f t="shared" si="46"/>
        <v>1</v>
      </c>
      <c r="D294" s="719"/>
      <c r="E294" s="24">
        <f t="shared" si="47"/>
        <v>1</v>
      </c>
      <c r="F294" s="719"/>
      <c r="G294" s="24">
        <f t="shared" si="48"/>
        <v>1</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158"/>
      <c r="B295" s="59"/>
      <c r="C295" s="24">
        <f t="shared" si="46"/>
        <v>1</v>
      </c>
      <c r="D295" s="719"/>
      <c r="E295" s="24">
        <f t="shared" si="47"/>
        <v>1</v>
      </c>
      <c r="F295" s="719"/>
      <c r="G295" s="24">
        <f t="shared" si="48"/>
        <v>1</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158"/>
      <c r="B296" s="59"/>
      <c r="C296" s="24">
        <f t="shared" si="46"/>
        <v>1</v>
      </c>
      <c r="D296" s="719"/>
      <c r="E296" s="24">
        <f t="shared" si="47"/>
        <v>1</v>
      </c>
      <c r="F296" s="719"/>
      <c r="G296" s="24">
        <f t="shared" si="48"/>
        <v>1</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158"/>
      <c r="B297" s="59"/>
      <c r="C297" s="24">
        <f t="shared" si="46"/>
        <v>1</v>
      </c>
      <c r="D297" s="719"/>
      <c r="E297" s="24">
        <f t="shared" si="47"/>
        <v>1</v>
      </c>
      <c r="F297" s="719"/>
      <c r="G297" s="24">
        <f t="shared" si="48"/>
        <v>1</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158"/>
      <c r="B298" s="59"/>
      <c r="C298" s="24">
        <f t="shared" si="46"/>
        <v>1</v>
      </c>
      <c r="D298" s="719"/>
      <c r="E298" s="24">
        <f t="shared" si="47"/>
        <v>1</v>
      </c>
      <c r="F298" s="719"/>
      <c r="G298" s="24">
        <f t="shared" si="48"/>
        <v>1</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158"/>
      <c r="B299" s="59"/>
      <c r="C299" s="24">
        <f t="shared" si="46"/>
        <v>1</v>
      </c>
      <c r="D299" s="719"/>
      <c r="E299" s="24">
        <f t="shared" si="47"/>
        <v>1</v>
      </c>
      <c r="F299" s="719"/>
      <c r="G299" s="24">
        <f t="shared" si="48"/>
        <v>1</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158"/>
      <c r="B300" s="59"/>
      <c r="C300" s="24">
        <f t="shared" si="46"/>
        <v>1</v>
      </c>
      <c r="D300" s="719"/>
      <c r="E300" s="24">
        <f t="shared" si="47"/>
        <v>1</v>
      </c>
      <c r="F300" s="719"/>
      <c r="G300" s="24">
        <f t="shared" si="48"/>
        <v>1</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158"/>
      <c r="B301" s="59"/>
      <c r="C301" s="24">
        <f t="shared" si="46"/>
        <v>1</v>
      </c>
      <c r="D301" s="719"/>
      <c r="E301" s="24">
        <f t="shared" si="47"/>
        <v>1</v>
      </c>
      <c r="F301" s="719"/>
      <c r="G301" s="24">
        <f t="shared" si="48"/>
        <v>1</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158"/>
      <c r="B302" s="59"/>
      <c r="C302" s="24">
        <f t="shared" si="46"/>
        <v>1</v>
      </c>
      <c r="D302" s="719"/>
      <c r="E302" s="24">
        <f t="shared" si="47"/>
        <v>1</v>
      </c>
      <c r="F302" s="719"/>
      <c r="G302" s="24">
        <f t="shared" si="48"/>
        <v>1</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158"/>
      <c r="B303" s="59"/>
      <c r="C303" s="24">
        <f t="shared" si="46"/>
        <v>1</v>
      </c>
      <c r="D303" s="719"/>
      <c r="E303" s="24">
        <f t="shared" si="47"/>
        <v>1</v>
      </c>
      <c r="F303" s="719"/>
      <c r="G303" s="24">
        <f t="shared" si="48"/>
        <v>1</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158"/>
      <c r="B304" s="59"/>
      <c r="C304" s="24">
        <f t="shared" si="46"/>
        <v>1</v>
      </c>
      <c r="D304" s="719"/>
      <c r="E304" s="24">
        <f t="shared" si="47"/>
        <v>1</v>
      </c>
      <c r="F304" s="719"/>
      <c r="G304" s="24">
        <f t="shared" si="48"/>
        <v>1</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158"/>
      <c r="B305" s="59"/>
      <c r="C305" s="24">
        <f t="shared" si="46"/>
        <v>1</v>
      </c>
      <c r="D305" s="719"/>
      <c r="E305" s="24">
        <f t="shared" si="47"/>
        <v>1</v>
      </c>
      <c r="F305" s="719"/>
      <c r="G305" s="24">
        <f t="shared" si="48"/>
        <v>1</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158"/>
      <c r="B306" s="59"/>
      <c r="C306" s="24">
        <f t="shared" si="46"/>
        <v>1</v>
      </c>
      <c r="D306" s="719"/>
      <c r="E306" s="24">
        <f t="shared" si="47"/>
        <v>1</v>
      </c>
      <c r="F306" s="719"/>
      <c r="G306" s="24">
        <f t="shared" si="48"/>
        <v>1</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158"/>
      <c r="B307" s="59"/>
      <c r="C307" s="24">
        <f t="shared" si="46"/>
        <v>1</v>
      </c>
      <c r="D307" s="719"/>
      <c r="E307" s="24">
        <f t="shared" si="47"/>
        <v>1</v>
      </c>
      <c r="F307" s="719"/>
      <c r="G307" s="24">
        <f t="shared" si="48"/>
        <v>1</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158"/>
      <c r="B308" s="59"/>
      <c r="C308" s="24">
        <f t="shared" si="46"/>
        <v>1</v>
      </c>
      <c r="D308" s="719"/>
      <c r="E308" s="24">
        <f t="shared" si="47"/>
        <v>1</v>
      </c>
      <c r="F308" s="719"/>
      <c r="G308" s="24">
        <f t="shared" si="48"/>
        <v>1</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158"/>
      <c r="B309" s="59"/>
      <c r="C309" s="24">
        <f t="shared" si="46"/>
        <v>1</v>
      </c>
      <c r="D309" s="719"/>
      <c r="E309" s="24">
        <f t="shared" si="47"/>
        <v>1</v>
      </c>
      <c r="F309" s="719"/>
      <c r="G309" s="24">
        <f t="shared" si="48"/>
        <v>1</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158"/>
      <c r="B310" s="59"/>
      <c r="C310" s="24">
        <f t="shared" si="46"/>
        <v>1</v>
      </c>
      <c r="D310" s="719"/>
      <c r="E310" s="24">
        <f t="shared" si="47"/>
        <v>1</v>
      </c>
      <c r="F310" s="719"/>
      <c r="G310" s="24">
        <f t="shared" si="48"/>
        <v>1</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158"/>
      <c r="B311" s="59"/>
      <c r="C311" s="24">
        <f t="shared" si="46"/>
        <v>1</v>
      </c>
      <c r="D311" s="719"/>
      <c r="E311" s="24">
        <f t="shared" si="47"/>
        <v>1</v>
      </c>
      <c r="F311" s="719"/>
      <c r="G311" s="24">
        <f t="shared" si="48"/>
        <v>1</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158"/>
      <c r="B312" s="59"/>
      <c r="C312" s="24">
        <f t="shared" si="46"/>
        <v>1</v>
      </c>
      <c r="D312" s="719"/>
      <c r="E312" s="24">
        <f t="shared" si="47"/>
        <v>1</v>
      </c>
      <c r="F312" s="719"/>
      <c r="G312" s="24">
        <f t="shared" si="48"/>
        <v>1</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158"/>
      <c r="B313" s="59"/>
      <c r="C313" s="24">
        <f t="shared" si="46"/>
        <v>1</v>
      </c>
      <c r="D313" s="719"/>
      <c r="E313" s="24">
        <f t="shared" si="47"/>
        <v>1</v>
      </c>
      <c r="F313" s="719"/>
      <c r="G313" s="24">
        <f t="shared" si="48"/>
        <v>1</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158"/>
      <c r="B314" s="59"/>
      <c r="C314" s="24">
        <f t="shared" si="46"/>
        <v>1</v>
      </c>
      <c r="D314" s="719"/>
      <c r="E314" s="24">
        <f t="shared" si="47"/>
        <v>1</v>
      </c>
      <c r="F314" s="719"/>
      <c r="G314" s="24">
        <f t="shared" si="48"/>
        <v>1</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158"/>
      <c r="B315" s="59"/>
      <c r="C315" s="24">
        <f t="shared" si="46"/>
        <v>1</v>
      </c>
      <c r="D315" s="719"/>
      <c r="E315" s="24">
        <f t="shared" si="47"/>
        <v>1</v>
      </c>
      <c r="F315" s="719"/>
      <c r="G315" s="24">
        <f t="shared" si="48"/>
        <v>1</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158"/>
      <c r="B316" s="59"/>
      <c r="C316" s="24">
        <f t="shared" si="46"/>
        <v>1</v>
      </c>
      <c r="D316" s="719"/>
      <c r="E316" s="24">
        <f t="shared" si="47"/>
        <v>1</v>
      </c>
      <c r="F316" s="719"/>
      <c r="G316" s="24">
        <f t="shared" si="48"/>
        <v>1</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158"/>
      <c r="B317" s="59"/>
      <c r="C317" s="24">
        <f t="shared" si="46"/>
        <v>1</v>
      </c>
      <c r="D317" s="719"/>
      <c r="E317" s="24">
        <f t="shared" si="47"/>
        <v>1</v>
      </c>
      <c r="F317" s="719"/>
      <c r="G317" s="24">
        <f t="shared" si="48"/>
        <v>1</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158"/>
      <c r="B318" s="59"/>
      <c r="C318" s="24">
        <f t="shared" si="46"/>
        <v>1</v>
      </c>
      <c r="D318" s="719"/>
      <c r="E318" s="24">
        <f t="shared" si="47"/>
        <v>1</v>
      </c>
      <c r="F318" s="719"/>
      <c r="G318" s="24">
        <f t="shared" si="48"/>
        <v>1</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158"/>
      <c r="B319" s="59"/>
      <c r="C319" s="24">
        <f t="shared" si="46"/>
        <v>1</v>
      </c>
      <c r="D319" s="719"/>
      <c r="E319" s="24">
        <f t="shared" si="47"/>
        <v>1</v>
      </c>
      <c r="F319" s="719"/>
      <c r="G319" s="24">
        <f t="shared" si="48"/>
        <v>1</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158"/>
      <c r="B320" s="59"/>
      <c r="C320" s="24">
        <f t="shared" si="46"/>
        <v>1</v>
      </c>
      <c r="D320" s="719"/>
      <c r="E320" s="24">
        <f t="shared" si="47"/>
        <v>1</v>
      </c>
      <c r="F320" s="719"/>
      <c r="G320" s="24">
        <f t="shared" si="48"/>
        <v>1</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158"/>
      <c r="B321" s="59"/>
      <c r="C321" s="24">
        <f t="shared" si="46"/>
        <v>1</v>
      </c>
      <c r="D321" s="719"/>
      <c r="E321" s="24">
        <f t="shared" si="47"/>
        <v>1</v>
      </c>
      <c r="F321" s="719"/>
      <c r="G321" s="24">
        <f t="shared" si="48"/>
        <v>1</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158"/>
      <c r="B322" s="59"/>
      <c r="C322" s="24">
        <f t="shared" si="46"/>
        <v>1</v>
      </c>
      <c r="D322" s="719"/>
      <c r="E322" s="24">
        <f t="shared" si="47"/>
        <v>1</v>
      </c>
      <c r="F322" s="719"/>
      <c r="G322" s="24">
        <f t="shared" si="48"/>
        <v>1</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158"/>
      <c r="B323" s="59"/>
      <c r="C323" s="24">
        <f t="shared" si="46"/>
        <v>1</v>
      </c>
      <c r="D323" s="719"/>
      <c r="E323" s="24">
        <f t="shared" si="47"/>
        <v>1</v>
      </c>
      <c r="F323" s="719"/>
      <c r="G323" s="24">
        <f t="shared" si="48"/>
        <v>1</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158"/>
      <c r="B324" s="59"/>
      <c r="C324" s="24">
        <f t="shared" si="46"/>
        <v>1</v>
      </c>
      <c r="D324" s="719"/>
      <c r="E324" s="24">
        <f t="shared" si="47"/>
        <v>1</v>
      </c>
      <c r="F324" s="719"/>
      <c r="G324" s="24">
        <f t="shared" si="48"/>
        <v>1</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158"/>
      <c r="B325" s="59"/>
      <c r="C325" s="24">
        <f t="shared" si="46"/>
        <v>1</v>
      </c>
      <c r="D325" s="719"/>
      <c r="E325" s="24">
        <f t="shared" si="47"/>
        <v>1</v>
      </c>
      <c r="F325" s="719"/>
      <c r="G325" s="24">
        <f t="shared" si="48"/>
        <v>1</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158"/>
      <c r="B326" s="59"/>
      <c r="C326" s="24">
        <f t="shared" si="46"/>
        <v>1</v>
      </c>
      <c r="D326" s="719"/>
      <c r="E326" s="24">
        <f t="shared" si="47"/>
        <v>1</v>
      </c>
      <c r="F326" s="719"/>
      <c r="G326" s="24">
        <f t="shared" si="48"/>
        <v>1</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158"/>
      <c r="B327" s="59"/>
      <c r="C327" s="24">
        <f t="shared" si="46"/>
        <v>1</v>
      </c>
      <c r="D327" s="719"/>
      <c r="E327" s="24">
        <f t="shared" si="47"/>
        <v>1</v>
      </c>
      <c r="F327" s="719"/>
      <c r="G327" s="24">
        <f t="shared" si="48"/>
        <v>1</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158"/>
      <c r="B328" s="59"/>
      <c r="C328" s="24">
        <f t="shared" si="46"/>
        <v>1</v>
      </c>
      <c r="D328" s="719"/>
      <c r="E328" s="24">
        <f t="shared" si="47"/>
        <v>1</v>
      </c>
      <c r="F328" s="719"/>
      <c r="G328" s="24">
        <f t="shared" si="48"/>
        <v>1</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158"/>
      <c r="B329" s="59"/>
      <c r="C329" s="24">
        <f t="shared" si="46"/>
        <v>1</v>
      </c>
      <c r="D329" s="719"/>
      <c r="E329" s="24">
        <f t="shared" si="47"/>
        <v>1</v>
      </c>
      <c r="F329" s="719"/>
      <c r="G329" s="24">
        <f t="shared" si="48"/>
        <v>1</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158"/>
      <c r="B330" s="59"/>
      <c r="C330" s="24">
        <f t="shared" si="46"/>
        <v>1</v>
      </c>
      <c r="D330" s="719"/>
      <c r="E330" s="24">
        <f t="shared" si="47"/>
        <v>1</v>
      </c>
      <c r="F330" s="719"/>
      <c r="G330" s="24">
        <f t="shared" si="48"/>
        <v>1</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158"/>
      <c r="B331" s="59"/>
      <c r="C331" s="24">
        <f t="shared" si="46"/>
        <v>1</v>
      </c>
      <c r="D331" s="719"/>
      <c r="E331" s="24">
        <f t="shared" si="47"/>
        <v>1</v>
      </c>
      <c r="F331" s="719"/>
      <c r="G331" s="24">
        <f t="shared" si="48"/>
        <v>1</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158"/>
      <c r="B332" s="59"/>
      <c r="C332" s="24">
        <f t="shared" si="46"/>
        <v>1</v>
      </c>
      <c r="D332" s="719"/>
      <c r="E332" s="24">
        <f t="shared" si="47"/>
        <v>1</v>
      </c>
      <c r="F332" s="719"/>
      <c r="G332" s="24">
        <f t="shared" si="48"/>
        <v>1</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158"/>
      <c r="B333" s="59"/>
      <c r="C333" s="24">
        <f t="shared" si="46"/>
        <v>1</v>
      </c>
      <c r="D333" s="719"/>
      <c r="E333" s="24">
        <f t="shared" si="47"/>
        <v>1</v>
      </c>
      <c r="F333" s="719"/>
      <c r="G333" s="24">
        <f t="shared" si="48"/>
        <v>1</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158"/>
      <c r="B334" s="59"/>
      <c r="C334" s="24">
        <f t="shared" si="46"/>
        <v>1</v>
      </c>
      <c r="D334" s="719"/>
      <c r="E334" s="24">
        <f t="shared" si="47"/>
        <v>1</v>
      </c>
      <c r="F334" s="719"/>
      <c r="G334" s="24">
        <f t="shared" si="48"/>
        <v>1</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158"/>
      <c r="B335" s="59"/>
      <c r="C335" s="24">
        <f t="shared" si="46"/>
        <v>1</v>
      </c>
      <c r="D335" s="719"/>
      <c r="E335" s="24">
        <f t="shared" si="47"/>
        <v>1</v>
      </c>
      <c r="F335" s="719"/>
      <c r="G335" s="24">
        <f t="shared" si="48"/>
        <v>1</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158"/>
      <c r="B336" s="59"/>
      <c r="C336" s="24">
        <f t="shared" si="46"/>
        <v>1</v>
      </c>
      <c r="D336" s="719"/>
      <c r="E336" s="24">
        <f t="shared" si="47"/>
        <v>1</v>
      </c>
      <c r="F336" s="719"/>
      <c r="G336" s="24">
        <f t="shared" si="48"/>
        <v>1</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158"/>
      <c r="B337" s="59"/>
      <c r="C337" s="24">
        <f t="shared" si="46"/>
        <v>1</v>
      </c>
      <c r="D337" s="719"/>
      <c r="E337" s="24">
        <f t="shared" si="47"/>
        <v>1</v>
      </c>
      <c r="F337" s="719"/>
      <c r="G337" s="24">
        <f t="shared" si="48"/>
        <v>1</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158"/>
      <c r="B338" s="59"/>
      <c r="C338" s="24">
        <f t="shared" si="46"/>
        <v>1</v>
      </c>
      <c r="D338" s="719"/>
      <c r="E338" s="24">
        <f t="shared" si="47"/>
        <v>1</v>
      </c>
      <c r="F338" s="719"/>
      <c r="G338" s="24">
        <f t="shared" si="48"/>
        <v>1</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158"/>
      <c r="B339" s="59"/>
      <c r="C339" s="24">
        <f t="shared" si="46"/>
        <v>1</v>
      </c>
      <c r="D339" s="719"/>
      <c r="E339" s="24">
        <f t="shared" si="47"/>
        <v>1</v>
      </c>
      <c r="F339" s="719"/>
      <c r="G339" s="24">
        <f t="shared" si="48"/>
        <v>1</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158"/>
      <c r="B340" s="59"/>
      <c r="C340" s="24">
        <f t="shared" si="46"/>
        <v>1</v>
      </c>
      <c r="D340" s="719"/>
      <c r="E340" s="24">
        <f t="shared" si="47"/>
        <v>1</v>
      </c>
      <c r="F340" s="719"/>
      <c r="G340" s="24">
        <f t="shared" si="48"/>
        <v>1</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158"/>
      <c r="B341" s="59"/>
      <c r="C341" s="24">
        <f t="shared" si="46"/>
        <v>1</v>
      </c>
      <c r="D341" s="719"/>
      <c r="E341" s="24">
        <f t="shared" si="47"/>
        <v>1</v>
      </c>
      <c r="F341" s="719"/>
      <c r="G341" s="24">
        <f t="shared" si="48"/>
        <v>1</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158"/>
      <c r="B342" s="59"/>
      <c r="C342" s="24">
        <f t="shared" si="46"/>
        <v>1</v>
      </c>
      <c r="D342" s="719"/>
      <c r="E342" s="24">
        <f t="shared" si="47"/>
        <v>1</v>
      </c>
      <c r="F342" s="719"/>
      <c r="G342" s="24">
        <f t="shared" si="48"/>
        <v>1</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158"/>
      <c r="B343" s="59"/>
      <c r="C343" s="24">
        <f t="shared" si="46"/>
        <v>1</v>
      </c>
      <c r="D343" s="719"/>
      <c r="E343" s="24">
        <f t="shared" si="47"/>
        <v>1</v>
      </c>
      <c r="F343" s="719"/>
      <c r="G343" s="24">
        <f t="shared" si="48"/>
        <v>1</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158"/>
      <c r="B344" s="59"/>
      <c r="C344" s="24">
        <f t="shared" si="46"/>
        <v>1</v>
      </c>
      <c r="D344" s="719"/>
      <c r="E344" s="24">
        <f t="shared" si="47"/>
        <v>1</v>
      </c>
      <c r="F344" s="719"/>
      <c r="G344" s="24">
        <f t="shared" si="48"/>
        <v>1</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158"/>
      <c r="B345" s="59"/>
      <c r="C345" s="24">
        <f t="shared" si="46"/>
        <v>1</v>
      </c>
      <c r="D345" s="719"/>
      <c r="E345" s="24">
        <f t="shared" si="47"/>
        <v>1</v>
      </c>
      <c r="F345" s="719"/>
      <c r="G345" s="24">
        <f t="shared" si="48"/>
        <v>1</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1</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158"/>
      <c r="B347" s="59"/>
      <c r="C347" s="24">
        <f t="shared" si="56"/>
        <v>1</v>
      </c>
      <c r="D347" s="719"/>
      <c r="E347" s="24">
        <f t="shared" si="57"/>
        <v>1</v>
      </c>
      <c r="F347" s="719"/>
      <c r="G347" s="24">
        <f t="shared" si="58"/>
        <v>1</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158"/>
      <c r="B348" s="59"/>
      <c r="C348" s="24">
        <f t="shared" si="56"/>
        <v>1</v>
      </c>
      <c r="D348" s="719"/>
      <c r="E348" s="24">
        <f t="shared" si="57"/>
        <v>1</v>
      </c>
      <c r="F348" s="719"/>
      <c r="G348" s="24">
        <f t="shared" si="58"/>
        <v>1</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158"/>
      <c r="B349" s="59"/>
      <c r="C349" s="24">
        <f t="shared" si="56"/>
        <v>1</v>
      </c>
      <c r="D349" s="719"/>
      <c r="E349" s="24">
        <f t="shared" si="57"/>
        <v>1</v>
      </c>
      <c r="F349" s="719"/>
      <c r="G349" s="24">
        <f t="shared" si="58"/>
        <v>1</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158"/>
      <c r="B350" s="59"/>
      <c r="C350" s="24">
        <f t="shared" si="56"/>
        <v>1</v>
      </c>
      <c r="D350" s="719"/>
      <c r="E350" s="24">
        <f t="shared" si="57"/>
        <v>1</v>
      </c>
      <c r="F350" s="719"/>
      <c r="G350" s="24">
        <f t="shared" si="58"/>
        <v>1</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158"/>
      <c r="B351" s="59"/>
      <c r="C351" s="24">
        <f t="shared" si="56"/>
        <v>1</v>
      </c>
      <c r="D351" s="719"/>
      <c r="E351" s="24">
        <f t="shared" si="57"/>
        <v>1</v>
      </c>
      <c r="F351" s="719"/>
      <c r="G351" s="24">
        <f t="shared" si="58"/>
        <v>1</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158"/>
      <c r="B352" s="59"/>
      <c r="C352" s="24">
        <f t="shared" si="56"/>
        <v>1</v>
      </c>
      <c r="D352" s="719"/>
      <c r="E352" s="24">
        <f t="shared" si="57"/>
        <v>1</v>
      </c>
      <c r="F352" s="719"/>
      <c r="G352" s="24">
        <f t="shared" si="58"/>
        <v>1</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158"/>
      <c r="B353" s="59"/>
      <c r="C353" s="24">
        <f t="shared" si="56"/>
        <v>1</v>
      </c>
      <c r="D353" s="719"/>
      <c r="E353" s="24">
        <f t="shared" si="57"/>
        <v>1</v>
      </c>
      <c r="F353" s="719"/>
      <c r="G353" s="24">
        <f t="shared" si="58"/>
        <v>1</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158"/>
      <c r="B354" s="59"/>
      <c r="C354" s="24">
        <f t="shared" si="56"/>
        <v>1</v>
      </c>
      <c r="D354" s="719"/>
      <c r="E354" s="24">
        <f t="shared" si="57"/>
        <v>1</v>
      </c>
      <c r="F354" s="719"/>
      <c r="G354" s="24">
        <f t="shared" si="58"/>
        <v>1</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158"/>
      <c r="B355" s="59"/>
      <c r="C355" s="24">
        <f t="shared" si="56"/>
        <v>1</v>
      </c>
      <c r="D355" s="719"/>
      <c r="E355" s="24">
        <f t="shared" si="57"/>
        <v>1</v>
      </c>
      <c r="F355" s="719"/>
      <c r="G355" s="24">
        <f t="shared" si="58"/>
        <v>1</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158"/>
      <c r="B356" s="59"/>
      <c r="C356" s="24">
        <f t="shared" si="56"/>
        <v>1</v>
      </c>
      <c r="D356" s="719"/>
      <c r="E356" s="24">
        <f t="shared" si="57"/>
        <v>1</v>
      </c>
      <c r="F356" s="719"/>
      <c r="G356" s="24">
        <f t="shared" si="58"/>
        <v>1</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158"/>
      <c r="B357" s="59"/>
      <c r="C357" s="24">
        <f t="shared" si="56"/>
        <v>1</v>
      </c>
      <c r="D357" s="719"/>
      <c r="E357" s="24">
        <f t="shared" si="57"/>
        <v>1</v>
      </c>
      <c r="F357" s="719"/>
      <c r="G357" s="24">
        <f t="shared" si="58"/>
        <v>1</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158"/>
      <c r="B358" s="59"/>
      <c r="C358" s="24">
        <f t="shared" si="56"/>
        <v>1</v>
      </c>
      <c r="D358" s="719"/>
      <c r="E358" s="24">
        <f t="shared" si="57"/>
        <v>1</v>
      </c>
      <c r="F358" s="719"/>
      <c r="G358" s="24">
        <f t="shared" si="58"/>
        <v>1</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158"/>
      <c r="B359" s="59"/>
      <c r="C359" s="24">
        <f t="shared" si="56"/>
        <v>1</v>
      </c>
      <c r="D359" s="719"/>
      <c r="E359" s="24">
        <f t="shared" si="57"/>
        <v>1</v>
      </c>
      <c r="F359" s="719"/>
      <c r="G359" s="24">
        <f t="shared" si="58"/>
        <v>1</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158"/>
      <c r="B360" s="59"/>
      <c r="C360" s="24">
        <f t="shared" si="56"/>
        <v>1</v>
      </c>
      <c r="D360" s="719"/>
      <c r="E360" s="24">
        <f t="shared" si="57"/>
        <v>1</v>
      </c>
      <c r="F360" s="719"/>
      <c r="G360" s="24">
        <f t="shared" si="58"/>
        <v>1</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158"/>
      <c r="B361" s="59"/>
      <c r="C361" s="24">
        <f t="shared" si="56"/>
        <v>1</v>
      </c>
      <c r="D361" s="719"/>
      <c r="E361" s="24">
        <f t="shared" si="57"/>
        <v>1</v>
      </c>
      <c r="F361" s="719"/>
      <c r="G361" s="24">
        <f t="shared" si="58"/>
        <v>1</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158"/>
      <c r="B362" s="59"/>
      <c r="C362" s="24">
        <f t="shared" si="56"/>
        <v>1</v>
      </c>
      <c r="D362" s="719"/>
      <c r="E362" s="24">
        <f t="shared" si="57"/>
        <v>1</v>
      </c>
      <c r="F362" s="719"/>
      <c r="G362" s="24">
        <f t="shared" si="58"/>
        <v>1</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158"/>
      <c r="B363" s="59"/>
      <c r="C363" s="24">
        <f t="shared" si="56"/>
        <v>1</v>
      </c>
      <c r="D363" s="719"/>
      <c r="E363" s="24">
        <f t="shared" si="57"/>
        <v>1</v>
      </c>
      <c r="F363" s="719"/>
      <c r="G363" s="24">
        <f t="shared" si="58"/>
        <v>1</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158"/>
      <c r="B364" s="59"/>
      <c r="C364" s="24">
        <f t="shared" si="56"/>
        <v>1</v>
      </c>
      <c r="D364" s="719"/>
      <c r="E364" s="24">
        <f t="shared" si="57"/>
        <v>1</v>
      </c>
      <c r="F364" s="719"/>
      <c r="G364" s="24">
        <f t="shared" si="58"/>
        <v>1</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158"/>
      <c r="B365" s="59"/>
      <c r="C365" s="24">
        <f t="shared" si="56"/>
        <v>1</v>
      </c>
      <c r="D365" s="719"/>
      <c r="E365" s="24">
        <f t="shared" si="57"/>
        <v>1</v>
      </c>
      <c r="F365" s="719"/>
      <c r="G365" s="24">
        <f t="shared" si="58"/>
        <v>1</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158"/>
      <c r="B366" s="59"/>
      <c r="C366" s="24">
        <f t="shared" si="56"/>
        <v>1</v>
      </c>
      <c r="D366" s="719"/>
      <c r="E366" s="24">
        <f t="shared" si="57"/>
        <v>1</v>
      </c>
      <c r="F366" s="719"/>
      <c r="G366" s="24">
        <f t="shared" si="58"/>
        <v>1</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158"/>
      <c r="B367" s="59"/>
      <c r="C367" s="24">
        <f t="shared" si="56"/>
        <v>1</v>
      </c>
      <c r="D367" s="719"/>
      <c r="E367" s="24">
        <f t="shared" si="57"/>
        <v>1</v>
      </c>
      <c r="F367" s="719"/>
      <c r="G367" s="24">
        <f t="shared" si="58"/>
        <v>1</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158"/>
      <c r="B368" s="59"/>
      <c r="C368" s="24">
        <f t="shared" si="56"/>
        <v>1</v>
      </c>
      <c r="D368" s="719"/>
      <c r="E368" s="24">
        <f t="shared" si="57"/>
        <v>1</v>
      </c>
      <c r="F368" s="719"/>
      <c r="G368" s="24">
        <f t="shared" si="58"/>
        <v>1</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158"/>
      <c r="B369" s="59"/>
      <c r="C369" s="24">
        <f t="shared" si="56"/>
        <v>1</v>
      </c>
      <c r="D369" s="719"/>
      <c r="E369" s="24">
        <f t="shared" si="57"/>
        <v>1</v>
      </c>
      <c r="F369" s="719"/>
      <c r="G369" s="24">
        <f t="shared" si="58"/>
        <v>1</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158"/>
      <c r="B370" s="59"/>
      <c r="C370" s="24">
        <f t="shared" si="56"/>
        <v>1</v>
      </c>
      <c r="D370" s="719"/>
      <c r="E370" s="24">
        <f t="shared" si="57"/>
        <v>1</v>
      </c>
      <c r="F370" s="719"/>
      <c r="G370" s="24">
        <f t="shared" si="58"/>
        <v>1</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158"/>
      <c r="B371" s="59"/>
      <c r="C371" s="24">
        <f t="shared" si="56"/>
        <v>1</v>
      </c>
      <c r="D371" s="719"/>
      <c r="E371" s="24">
        <f t="shared" si="57"/>
        <v>1</v>
      </c>
      <c r="F371" s="719"/>
      <c r="G371" s="24">
        <f t="shared" si="58"/>
        <v>1</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158"/>
      <c r="B372" s="59"/>
      <c r="C372" s="24">
        <f t="shared" si="56"/>
        <v>1</v>
      </c>
      <c r="D372" s="719"/>
      <c r="E372" s="24">
        <f t="shared" si="57"/>
        <v>1</v>
      </c>
      <c r="F372" s="719"/>
      <c r="G372" s="24">
        <f t="shared" si="58"/>
        <v>1</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158"/>
      <c r="B373" s="59"/>
      <c r="C373" s="24">
        <f t="shared" si="56"/>
        <v>1</v>
      </c>
      <c r="D373" s="719"/>
      <c r="E373" s="24">
        <f t="shared" si="57"/>
        <v>1</v>
      </c>
      <c r="F373" s="719"/>
      <c r="G373" s="24">
        <f t="shared" si="58"/>
        <v>1</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158"/>
      <c r="B374" s="59"/>
      <c r="C374" s="24">
        <f t="shared" si="56"/>
        <v>1</v>
      </c>
      <c r="D374" s="719"/>
      <c r="E374" s="24">
        <f t="shared" si="57"/>
        <v>1</v>
      </c>
      <c r="F374" s="719"/>
      <c r="G374" s="24">
        <f t="shared" si="58"/>
        <v>1</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158"/>
      <c r="B375" s="59"/>
      <c r="C375" s="24">
        <f t="shared" si="56"/>
        <v>1</v>
      </c>
      <c r="D375" s="719"/>
      <c r="E375" s="24">
        <f t="shared" si="57"/>
        <v>1</v>
      </c>
      <c r="F375" s="719"/>
      <c r="G375" s="24">
        <f t="shared" si="58"/>
        <v>1</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158"/>
      <c r="B376" s="59"/>
      <c r="C376" s="24">
        <f t="shared" si="56"/>
        <v>1</v>
      </c>
      <c r="D376" s="719"/>
      <c r="E376" s="24">
        <f t="shared" si="57"/>
        <v>1</v>
      </c>
      <c r="F376" s="719"/>
      <c r="G376" s="24">
        <f t="shared" si="58"/>
        <v>1</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158"/>
      <c r="B377" s="59"/>
      <c r="C377" s="24">
        <f t="shared" si="56"/>
        <v>1</v>
      </c>
      <c r="D377" s="719"/>
      <c r="E377" s="24">
        <f t="shared" si="57"/>
        <v>1</v>
      </c>
      <c r="F377" s="719"/>
      <c r="G377" s="24">
        <f t="shared" si="58"/>
        <v>1</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158"/>
      <c r="B378" s="59"/>
      <c r="C378" s="24">
        <f t="shared" si="56"/>
        <v>1</v>
      </c>
      <c r="D378" s="719"/>
      <c r="E378" s="24">
        <f t="shared" si="57"/>
        <v>1</v>
      </c>
      <c r="F378" s="719"/>
      <c r="G378" s="24">
        <f t="shared" si="58"/>
        <v>1</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158"/>
      <c r="B379" s="59"/>
      <c r="C379" s="24">
        <f t="shared" si="56"/>
        <v>1</v>
      </c>
      <c r="D379" s="719"/>
      <c r="E379" s="24">
        <f t="shared" si="57"/>
        <v>1</v>
      </c>
      <c r="F379" s="719"/>
      <c r="G379" s="24">
        <f t="shared" si="58"/>
        <v>1</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158"/>
      <c r="B380" s="59"/>
      <c r="C380" s="24">
        <f t="shared" si="56"/>
        <v>1</v>
      </c>
      <c r="D380" s="719"/>
      <c r="E380" s="24">
        <f t="shared" si="57"/>
        <v>1</v>
      </c>
      <c r="F380" s="719"/>
      <c r="G380" s="24">
        <f t="shared" si="58"/>
        <v>1</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158"/>
      <c r="B381" s="59"/>
      <c r="C381" s="24">
        <f t="shared" si="56"/>
        <v>1</v>
      </c>
      <c r="D381" s="719"/>
      <c r="E381" s="24">
        <f t="shared" si="57"/>
        <v>1</v>
      </c>
      <c r="F381" s="719"/>
      <c r="G381" s="24">
        <f t="shared" si="58"/>
        <v>1</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158"/>
      <c r="B382" s="59"/>
      <c r="C382" s="24">
        <f t="shared" si="56"/>
        <v>1</v>
      </c>
      <c r="D382" s="719"/>
      <c r="E382" s="24">
        <f t="shared" si="57"/>
        <v>1</v>
      </c>
      <c r="F382" s="719"/>
      <c r="G382" s="24">
        <f t="shared" si="58"/>
        <v>1</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158"/>
      <c r="B383" s="59"/>
      <c r="C383" s="24">
        <f t="shared" si="56"/>
        <v>1</v>
      </c>
      <c r="D383" s="719"/>
      <c r="E383" s="24">
        <f t="shared" si="57"/>
        <v>1</v>
      </c>
      <c r="F383" s="719"/>
      <c r="G383" s="24">
        <f t="shared" si="58"/>
        <v>1</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158"/>
      <c r="B384" s="59"/>
      <c r="C384" s="24">
        <f t="shared" si="56"/>
        <v>1</v>
      </c>
      <c r="D384" s="719"/>
      <c r="E384" s="24">
        <f t="shared" si="57"/>
        <v>1</v>
      </c>
      <c r="F384" s="719"/>
      <c r="G384" s="24">
        <f t="shared" si="58"/>
        <v>1</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158"/>
      <c r="B385" s="59"/>
      <c r="C385" s="24">
        <f t="shared" si="56"/>
        <v>1</v>
      </c>
      <c r="D385" s="719"/>
      <c r="E385" s="24">
        <f t="shared" si="57"/>
        <v>1</v>
      </c>
      <c r="F385" s="719"/>
      <c r="G385" s="24">
        <f t="shared" si="58"/>
        <v>1</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158"/>
      <c r="B386" s="59"/>
      <c r="C386" s="24">
        <f t="shared" si="56"/>
        <v>1</v>
      </c>
      <c r="D386" s="719"/>
      <c r="E386" s="24">
        <f t="shared" si="57"/>
        <v>1</v>
      </c>
      <c r="F386" s="719"/>
      <c r="G386" s="24">
        <f t="shared" si="58"/>
        <v>1</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158"/>
      <c r="B387" s="59"/>
      <c r="C387" s="24">
        <f t="shared" si="56"/>
        <v>1</v>
      </c>
      <c r="D387" s="719"/>
      <c r="E387" s="24">
        <f t="shared" si="57"/>
        <v>1</v>
      </c>
      <c r="F387" s="719"/>
      <c r="G387" s="24">
        <f t="shared" si="58"/>
        <v>1</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158"/>
      <c r="B388" s="59"/>
      <c r="C388" s="24">
        <f t="shared" si="56"/>
        <v>1</v>
      </c>
      <c r="D388" s="719"/>
      <c r="E388" s="24">
        <f t="shared" si="57"/>
        <v>1</v>
      </c>
      <c r="F388" s="719"/>
      <c r="G388" s="24">
        <f t="shared" si="58"/>
        <v>1</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158"/>
      <c r="B389" s="59"/>
      <c r="C389" s="24">
        <f t="shared" si="56"/>
        <v>1</v>
      </c>
      <c r="D389" s="719"/>
      <c r="E389" s="24">
        <f t="shared" si="57"/>
        <v>1</v>
      </c>
      <c r="F389" s="719"/>
      <c r="G389" s="24">
        <f t="shared" si="58"/>
        <v>1</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158"/>
      <c r="B390" s="59"/>
      <c r="C390" s="24">
        <f t="shared" si="56"/>
        <v>1</v>
      </c>
      <c r="D390" s="719"/>
      <c r="E390" s="24">
        <f t="shared" si="57"/>
        <v>1</v>
      </c>
      <c r="F390" s="719"/>
      <c r="G390" s="24">
        <f t="shared" si="58"/>
        <v>1</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158"/>
      <c r="B391" s="59"/>
      <c r="C391" s="24">
        <f t="shared" si="56"/>
        <v>1</v>
      </c>
      <c r="D391" s="719"/>
      <c r="E391" s="24">
        <f t="shared" si="57"/>
        <v>1</v>
      </c>
      <c r="F391" s="719"/>
      <c r="G391" s="24">
        <f t="shared" si="58"/>
        <v>1</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158"/>
      <c r="B392" s="59"/>
      <c r="C392" s="24">
        <f t="shared" si="56"/>
        <v>1</v>
      </c>
      <c r="D392" s="719"/>
      <c r="E392" s="24">
        <f t="shared" si="57"/>
        <v>1</v>
      </c>
      <c r="F392" s="719"/>
      <c r="G392" s="24">
        <f t="shared" si="58"/>
        <v>1</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158"/>
      <c r="B393" s="59"/>
      <c r="C393" s="24">
        <f t="shared" si="56"/>
        <v>1</v>
      </c>
      <c r="D393" s="719"/>
      <c r="E393" s="24">
        <f t="shared" si="57"/>
        <v>1</v>
      </c>
      <c r="F393" s="719"/>
      <c r="G393" s="24">
        <f t="shared" si="58"/>
        <v>1</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158"/>
      <c r="B394" s="59"/>
      <c r="C394" s="24">
        <f t="shared" si="56"/>
        <v>1</v>
      </c>
      <c r="D394" s="719"/>
      <c r="E394" s="24">
        <f t="shared" si="57"/>
        <v>1</v>
      </c>
      <c r="F394" s="719"/>
      <c r="G394" s="24">
        <f t="shared" si="58"/>
        <v>1</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158"/>
      <c r="B395" s="59"/>
      <c r="C395" s="24">
        <f t="shared" si="56"/>
        <v>1</v>
      </c>
      <c r="D395" s="719"/>
      <c r="E395" s="24">
        <f t="shared" si="57"/>
        <v>1</v>
      </c>
      <c r="F395" s="719"/>
      <c r="G395" s="24">
        <f t="shared" si="58"/>
        <v>1</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158"/>
      <c r="B396" s="59"/>
      <c r="C396" s="24">
        <f t="shared" si="56"/>
        <v>1</v>
      </c>
      <c r="D396" s="719"/>
      <c r="E396" s="24">
        <f t="shared" si="57"/>
        <v>1</v>
      </c>
      <c r="F396" s="719"/>
      <c r="G396" s="24">
        <f t="shared" si="58"/>
        <v>1</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158"/>
      <c r="B397" s="59"/>
      <c r="C397" s="24">
        <f t="shared" si="56"/>
        <v>1</v>
      </c>
      <c r="D397" s="719"/>
      <c r="E397" s="24">
        <f t="shared" si="57"/>
        <v>1</v>
      </c>
      <c r="F397" s="719"/>
      <c r="G397" s="24">
        <f t="shared" si="58"/>
        <v>1</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158"/>
      <c r="B398" s="59"/>
      <c r="C398" s="24">
        <f t="shared" si="56"/>
        <v>1</v>
      </c>
      <c r="D398" s="719"/>
      <c r="E398" s="24">
        <f t="shared" si="57"/>
        <v>1</v>
      </c>
      <c r="F398" s="719"/>
      <c r="G398" s="24">
        <f t="shared" si="58"/>
        <v>1</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158"/>
      <c r="B399" s="59"/>
      <c r="C399" s="24">
        <f t="shared" si="56"/>
        <v>1</v>
      </c>
      <c r="D399" s="719"/>
      <c r="E399" s="24">
        <f t="shared" si="57"/>
        <v>1</v>
      </c>
      <c r="F399" s="719"/>
      <c r="G399" s="24">
        <f t="shared" si="58"/>
        <v>1</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158"/>
      <c r="B400" s="59"/>
      <c r="C400" s="24">
        <f t="shared" si="56"/>
        <v>1</v>
      </c>
      <c r="D400" s="719"/>
      <c r="E400" s="24">
        <f t="shared" si="57"/>
        <v>1</v>
      </c>
      <c r="F400" s="719"/>
      <c r="G400" s="24">
        <f t="shared" si="58"/>
        <v>1</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158"/>
      <c r="B401" s="59"/>
      <c r="C401" s="24">
        <f t="shared" si="56"/>
        <v>1</v>
      </c>
      <c r="D401" s="719"/>
      <c r="E401" s="24">
        <f t="shared" si="57"/>
        <v>1</v>
      </c>
      <c r="F401" s="719"/>
      <c r="G401" s="24">
        <f t="shared" si="58"/>
        <v>1</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158"/>
      <c r="B402" s="59"/>
      <c r="C402" s="24">
        <f t="shared" si="56"/>
        <v>1</v>
      </c>
      <c r="D402" s="719"/>
      <c r="E402" s="24">
        <f t="shared" si="57"/>
        <v>1</v>
      </c>
      <c r="F402" s="719"/>
      <c r="G402" s="24">
        <f t="shared" si="58"/>
        <v>1</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158"/>
      <c r="B403" s="59"/>
      <c r="C403" s="24">
        <f t="shared" si="56"/>
        <v>1</v>
      </c>
      <c r="D403" s="719"/>
      <c r="E403" s="24">
        <f t="shared" si="57"/>
        <v>1</v>
      </c>
      <c r="F403" s="719"/>
      <c r="G403" s="24">
        <f t="shared" si="58"/>
        <v>1</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158"/>
      <c r="B404" s="59"/>
      <c r="C404" s="24">
        <f t="shared" si="56"/>
        <v>1</v>
      </c>
      <c r="D404" s="719"/>
      <c r="E404" s="24">
        <f t="shared" si="57"/>
        <v>1</v>
      </c>
      <c r="F404" s="719"/>
      <c r="G404" s="24">
        <f t="shared" si="58"/>
        <v>1</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158"/>
      <c r="B405" s="59"/>
      <c r="C405" s="24">
        <f t="shared" si="56"/>
        <v>1</v>
      </c>
      <c r="D405" s="719"/>
      <c r="E405" s="24">
        <f t="shared" si="57"/>
        <v>1</v>
      </c>
      <c r="F405" s="719"/>
      <c r="G405" s="24">
        <f t="shared" si="58"/>
        <v>1</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158"/>
      <c r="B406" s="59"/>
      <c r="C406" s="24">
        <f t="shared" si="56"/>
        <v>1</v>
      </c>
      <c r="D406" s="719"/>
      <c r="E406" s="24">
        <f t="shared" si="57"/>
        <v>1</v>
      </c>
      <c r="F406" s="719"/>
      <c r="G406" s="24">
        <f t="shared" si="58"/>
        <v>1</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158"/>
      <c r="B407" s="59"/>
      <c r="C407" s="24">
        <f t="shared" si="56"/>
        <v>1</v>
      </c>
      <c r="D407" s="719"/>
      <c r="E407" s="24">
        <f t="shared" si="57"/>
        <v>1</v>
      </c>
      <c r="F407" s="719"/>
      <c r="G407" s="24">
        <f t="shared" si="58"/>
        <v>1</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158"/>
      <c r="B408" s="59"/>
      <c r="C408" s="24">
        <f t="shared" si="56"/>
        <v>1</v>
      </c>
      <c r="D408" s="719"/>
      <c r="E408" s="24">
        <f t="shared" si="57"/>
        <v>1</v>
      </c>
      <c r="F408" s="719"/>
      <c r="G408" s="24">
        <f t="shared" si="58"/>
        <v>1</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158"/>
      <c r="B409" s="59"/>
      <c r="C409" s="24">
        <f t="shared" si="56"/>
        <v>1</v>
      </c>
      <c r="D409" s="719"/>
      <c r="E409" s="24">
        <f t="shared" si="57"/>
        <v>1</v>
      </c>
      <c r="F409" s="719"/>
      <c r="G409" s="24">
        <f t="shared" si="58"/>
        <v>1</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1</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158"/>
      <c r="B411" s="59"/>
      <c r="C411" s="24">
        <f t="shared" si="66"/>
        <v>1</v>
      </c>
      <c r="D411" s="719"/>
      <c r="E411" s="24">
        <f t="shared" si="67"/>
        <v>1</v>
      </c>
      <c r="F411" s="719"/>
      <c r="G411" s="24">
        <f t="shared" si="68"/>
        <v>1</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158"/>
      <c r="B412" s="59"/>
      <c r="C412" s="24">
        <f t="shared" si="66"/>
        <v>1</v>
      </c>
      <c r="D412" s="719"/>
      <c r="E412" s="24">
        <f t="shared" si="67"/>
        <v>1</v>
      </c>
      <c r="F412" s="719"/>
      <c r="G412" s="24">
        <f t="shared" si="68"/>
        <v>1</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158"/>
      <c r="B413" s="59"/>
      <c r="C413" s="24">
        <f t="shared" si="66"/>
        <v>1</v>
      </c>
      <c r="D413" s="719"/>
      <c r="E413" s="24">
        <f t="shared" si="67"/>
        <v>1</v>
      </c>
      <c r="F413" s="719"/>
      <c r="G413" s="24">
        <f t="shared" si="68"/>
        <v>1</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158"/>
      <c r="B414" s="59"/>
      <c r="C414" s="24">
        <f t="shared" si="66"/>
        <v>1</v>
      </c>
      <c r="D414" s="719"/>
      <c r="E414" s="24">
        <f t="shared" si="67"/>
        <v>1</v>
      </c>
      <c r="F414" s="719"/>
      <c r="G414" s="24">
        <f t="shared" si="68"/>
        <v>1</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158"/>
      <c r="B415" s="59"/>
      <c r="C415" s="24">
        <f t="shared" si="66"/>
        <v>1</v>
      </c>
      <c r="D415" s="719"/>
      <c r="E415" s="24">
        <f t="shared" si="67"/>
        <v>1</v>
      </c>
      <c r="F415" s="719"/>
      <c r="G415" s="24">
        <f t="shared" si="68"/>
        <v>1</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158"/>
      <c r="B416" s="59"/>
      <c r="C416" s="24">
        <f t="shared" si="66"/>
        <v>1</v>
      </c>
      <c r="D416" s="719"/>
      <c r="E416" s="24">
        <f t="shared" si="67"/>
        <v>1</v>
      </c>
      <c r="F416" s="719"/>
      <c r="G416" s="24">
        <f t="shared" si="68"/>
        <v>1</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158"/>
      <c r="B417" s="59"/>
      <c r="C417" s="24">
        <f t="shared" si="66"/>
        <v>1</v>
      </c>
      <c r="D417" s="719"/>
      <c r="E417" s="24">
        <f t="shared" si="67"/>
        <v>1</v>
      </c>
      <c r="F417" s="719"/>
      <c r="G417" s="24">
        <f t="shared" si="68"/>
        <v>1</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158"/>
      <c r="B418" s="59"/>
      <c r="C418" s="24">
        <f t="shared" si="66"/>
        <v>1</v>
      </c>
      <c r="D418" s="719"/>
      <c r="E418" s="24">
        <f t="shared" si="67"/>
        <v>1</v>
      </c>
      <c r="F418" s="719"/>
      <c r="G418" s="24">
        <f t="shared" si="68"/>
        <v>1</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158"/>
      <c r="B419" s="59"/>
      <c r="C419" s="24">
        <f t="shared" si="66"/>
        <v>1</v>
      </c>
      <c r="D419" s="719"/>
      <c r="E419" s="24">
        <f t="shared" si="67"/>
        <v>1</v>
      </c>
      <c r="F419" s="719"/>
      <c r="G419" s="24">
        <f t="shared" si="68"/>
        <v>1</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158"/>
      <c r="B420" s="59"/>
      <c r="C420" s="24">
        <f t="shared" si="66"/>
        <v>1</v>
      </c>
      <c r="D420" s="719"/>
      <c r="E420" s="24">
        <f t="shared" si="67"/>
        <v>1</v>
      </c>
      <c r="F420" s="719"/>
      <c r="G420" s="24">
        <f t="shared" si="68"/>
        <v>1</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158"/>
      <c r="B421" s="59"/>
      <c r="C421" s="24">
        <f t="shared" si="66"/>
        <v>1</v>
      </c>
      <c r="D421" s="719"/>
      <c r="E421" s="24">
        <f t="shared" si="67"/>
        <v>1</v>
      </c>
      <c r="F421" s="719"/>
      <c r="G421" s="24">
        <f t="shared" si="68"/>
        <v>1</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158"/>
      <c r="B422" s="59"/>
      <c r="C422" s="24">
        <f t="shared" si="66"/>
        <v>1</v>
      </c>
      <c r="D422" s="719"/>
      <c r="E422" s="24">
        <f t="shared" si="67"/>
        <v>1</v>
      </c>
      <c r="F422" s="719"/>
      <c r="G422" s="24">
        <f t="shared" si="68"/>
        <v>1</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158"/>
      <c r="B423" s="59"/>
      <c r="C423" s="24">
        <f t="shared" si="66"/>
        <v>1</v>
      </c>
      <c r="D423" s="719"/>
      <c r="E423" s="24">
        <f t="shared" si="67"/>
        <v>1</v>
      </c>
      <c r="F423" s="719"/>
      <c r="G423" s="24">
        <f t="shared" si="68"/>
        <v>1</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158"/>
      <c r="B424" s="59"/>
      <c r="C424" s="24">
        <f t="shared" si="66"/>
        <v>1</v>
      </c>
      <c r="D424" s="719"/>
      <c r="E424" s="24">
        <f t="shared" si="67"/>
        <v>1</v>
      </c>
      <c r="F424" s="719"/>
      <c r="G424" s="24">
        <f t="shared" si="68"/>
        <v>1</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158"/>
      <c r="B425" s="59"/>
      <c r="C425" s="24">
        <f t="shared" si="66"/>
        <v>1</v>
      </c>
      <c r="D425" s="719"/>
      <c r="E425" s="24">
        <f t="shared" si="67"/>
        <v>1</v>
      </c>
      <c r="F425" s="719"/>
      <c r="G425" s="24">
        <f t="shared" si="68"/>
        <v>1</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158"/>
      <c r="B426" s="59"/>
      <c r="C426" s="24">
        <f t="shared" si="66"/>
        <v>1</v>
      </c>
      <c r="D426" s="719"/>
      <c r="E426" s="24">
        <f t="shared" si="67"/>
        <v>1</v>
      </c>
      <c r="F426" s="719"/>
      <c r="G426" s="24">
        <f t="shared" si="68"/>
        <v>1</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158"/>
      <c r="B427" s="59"/>
      <c r="C427" s="24">
        <f t="shared" si="66"/>
        <v>1</v>
      </c>
      <c r="D427" s="719"/>
      <c r="E427" s="24">
        <f t="shared" si="67"/>
        <v>1</v>
      </c>
      <c r="F427" s="719"/>
      <c r="G427" s="24">
        <f t="shared" si="68"/>
        <v>1</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158"/>
      <c r="B428" s="59"/>
      <c r="C428" s="24">
        <f t="shared" si="66"/>
        <v>1</v>
      </c>
      <c r="D428" s="719"/>
      <c r="E428" s="24">
        <f t="shared" si="67"/>
        <v>1</v>
      </c>
      <c r="F428" s="719"/>
      <c r="G428" s="24">
        <f t="shared" si="68"/>
        <v>1</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158"/>
      <c r="B429" s="59"/>
      <c r="C429" s="24">
        <f t="shared" si="66"/>
        <v>1</v>
      </c>
      <c r="D429" s="719"/>
      <c r="E429" s="24">
        <f t="shared" si="67"/>
        <v>1</v>
      </c>
      <c r="F429" s="719"/>
      <c r="G429" s="24">
        <f t="shared" si="68"/>
        <v>1</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158"/>
      <c r="B430" s="59"/>
      <c r="C430" s="24">
        <f t="shared" si="66"/>
        <v>1</v>
      </c>
      <c r="D430" s="719"/>
      <c r="E430" s="24">
        <f t="shared" si="67"/>
        <v>1</v>
      </c>
      <c r="F430" s="719"/>
      <c r="G430" s="24">
        <f t="shared" si="68"/>
        <v>1</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158"/>
      <c r="B431" s="59"/>
      <c r="C431" s="24">
        <f t="shared" si="66"/>
        <v>1</v>
      </c>
      <c r="D431" s="719"/>
      <c r="E431" s="24">
        <f t="shared" si="67"/>
        <v>1</v>
      </c>
      <c r="F431" s="719"/>
      <c r="G431" s="24">
        <f t="shared" si="68"/>
        <v>1</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158"/>
      <c r="B432" s="59"/>
      <c r="C432" s="24">
        <f t="shared" si="66"/>
        <v>1</v>
      </c>
      <c r="D432" s="719"/>
      <c r="E432" s="24">
        <f t="shared" si="67"/>
        <v>1</v>
      </c>
      <c r="F432" s="719"/>
      <c r="G432" s="24">
        <f t="shared" si="68"/>
        <v>1</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158"/>
      <c r="B433" s="59"/>
      <c r="C433" s="24">
        <f t="shared" si="66"/>
        <v>1</v>
      </c>
      <c r="D433" s="719"/>
      <c r="E433" s="24">
        <f t="shared" si="67"/>
        <v>1</v>
      </c>
      <c r="F433" s="719"/>
      <c r="G433" s="24">
        <f t="shared" si="68"/>
        <v>1</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158"/>
      <c r="B434" s="59"/>
      <c r="C434" s="24">
        <f t="shared" si="66"/>
        <v>1</v>
      </c>
      <c r="D434" s="719"/>
      <c r="E434" s="24">
        <f t="shared" si="67"/>
        <v>1</v>
      </c>
      <c r="F434" s="719"/>
      <c r="G434" s="24">
        <f t="shared" si="68"/>
        <v>1</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158"/>
      <c r="B435" s="59"/>
      <c r="C435" s="24">
        <f t="shared" si="66"/>
        <v>1</v>
      </c>
      <c r="D435" s="719"/>
      <c r="E435" s="24">
        <f t="shared" si="67"/>
        <v>1</v>
      </c>
      <c r="F435" s="719"/>
      <c r="G435" s="24">
        <f t="shared" si="68"/>
        <v>1</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158"/>
      <c r="B436" s="59"/>
      <c r="C436" s="24">
        <f t="shared" si="66"/>
        <v>1</v>
      </c>
      <c r="D436" s="719"/>
      <c r="E436" s="24">
        <f t="shared" si="67"/>
        <v>1</v>
      </c>
      <c r="F436" s="719"/>
      <c r="G436" s="24">
        <f t="shared" si="68"/>
        <v>1</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158"/>
      <c r="B437" s="59"/>
      <c r="C437" s="24">
        <f t="shared" si="66"/>
        <v>1</v>
      </c>
      <c r="D437" s="719"/>
      <c r="E437" s="24">
        <f t="shared" si="67"/>
        <v>1</v>
      </c>
      <c r="F437" s="719"/>
      <c r="G437" s="24">
        <f t="shared" si="68"/>
        <v>1</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158"/>
      <c r="B438" s="59"/>
      <c r="C438" s="24">
        <f t="shared" si="66"/>
        <v>1</v>
      </c>
      <c r="D438" s="719"/>
      <c r="E438" s="24">
        <f t="shared" si="67"/>
        <v>1</v>
      </c>
      <c r="F438" s="719"/>
      <c r="G438" s="24">
        <f t="shared" si="68"/>
        <v>1</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158"/>
      <c r="B439" s="59"/>
      <c r="C439" s="24">
        <f t="shared" si="66"/>
        <v>1</v>
      </c>
      <c r="D439" s="719"/>
      <c r="E439" s="24">
        <f t="shared" si="67"/>
        <v>1</v>
      </c>
      <c r="F439" s="719"/>
      <c r="G439" s="24">
        <f t="shared" si="68"/>
        <v>1</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158"/>
      <c r="B440" s="59"/>
      <c r="C440" s="24">
        <f t="shared" si="66"/>
        <v>1</v>
      </c>
      <c r="D440" s="719"/>
      <c r="E440" s="24">
        <f t="shared" si="67"/>
        <v>1</v>
      </c>
      <c r="F440" s="719"/>
      <c r="G440" s="24">
        <f t="shared" si="68"/>
        <v>1</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158"/>
      <c r="B441" s="59"/>
      <c r="C441" s="24">
        <f t="shared" si="66"/>
        <v>1</v>
      </c>
      <c r="D441" s="719"/>
      <c r="E441" s="24">
        <f t="shared" si="67"/>
        <v>1</v>
      </c>
      <c r="F441" s="719"/>
      <c r="G441" s="24">
        <f t="shared" si="68"/>
        <v>1</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158"/>
      <c r="B442" s="59"/>
      <c r="C442" s="24">
        <f t="shared" si="66"/>
        <v>1</v>
      </c>
      <c r="D442" s="719"/>
      <c r="E442" s="24">
        <f t="shared" si="67"/>
        <v>1</v>
      </c>
      <c r="F442" s="719"/>
      <c r="G442" s="24">
        <f t="shared" si="68"/>
        <v>1</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158"/>
      <c r="B443" s="59"/>
      <c r="C443" s="24">
        <f t="shared" si="66"/>
        <v>1</v>
      </c>
      <c r="D443" s="719"/>
      <c r="E443" s="24">
        <f t="shared" si="67"/>
        <v>1</v>
      </c>
      <c r="F443" s="719"/>
      <c r="G443" s="24">
        <f t="shared" si="68"/>
        <v>1</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158"/>
      <c r="B444" s="59"/>
      <c r="C444" s="24">
        <f t="shared" si="66"/>
        <v>1</v>
      </c>
      <c r="D444" s="719"/>
      <c r="E444" s="24">
        <f t="shared" si="67"/>
        <v>1</v>
      </c>
      <c r="F444" s="719"/>
      <c r="G444" s="24">
        <f t="shared" si="68"/>
        <v>1</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158"/>
      <c r="B445" s="59"/>
      <c r="C445" s="24">
        <f t="shared" si="66"/>
        <v>1</v>
      </c>
      <c r="D445" s="719"/>
      <c r="E445" s="24">
        <f t="shared" si="67"/>
        <v>1</v>
      </c>
      <c r="F445" s="719"/>
      <c r="G445" s="24">
        <f t="shared" si="68"/>
        <v>1</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158"/>
      <c r="B446" s="59"/>
      <c r="C446" s="24">
        <f t="shared" si="66"/>
        <v>1</v>
      </c>
      <c r="D446" s="719"/>
      <c r="E446" s="24">
        <f t="shared" si="67"/>
        <v>1</v>
      </c>
      <c r="F446" s="719"/>
      <c r="G446" s="24">
        <f t="shared" si="68"/>
        <v>1</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158"/>
      <c r="B447" s="59"/>
      <c r="C447" s="24">
        <f t="shared" si="66"/>
        <v>1</v>
      </c>
      <c r="D447" s="719"/>
      <c r="E447" s="24">
        <f t="shared" si="67"/>
        <v>1</v>
      </c>
      <c r="F447" s="719"/>
      <c r="G447" s="24">
        <f t="shared" si="68"/>
        <v>1</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158"/>
      <c r="B448" s="59"/>
      <c r="C448" s="24">
        <f t="shared" si="66"/>
        <v>1</v>
      </c>
      <c r="D448" s="719"/>
      <c r="E448" s="24">
        <f t="shared" si="67"/>
        <v>1</v>
      </c>
      <c r="F448" s="719"/>
      <c r="G448" s="24">
        <f t="shared" si="68"/>
        <v>1</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158"/>
      <c r="B449" s="59"/>
      <c r="C449" s="24">
        <f t="shared" si="66"/>
        <v>1</v>
      </c>
      <c r="D449" s="719"/>
      <c r="E449" s="24">
        <f t="shared" si="67"/>
        <v>1</v>
      </c>
      <c r="F449" s="719"/>
      <c r="G449" s="24">
        <f t="shared" si="68"/>
        <v>1</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158"/>
      <c r="B450" s="59"/>
      <c r="C450" s="24">
        <f t="shared" si="66"/>
        <v>1</v>
      </c>
      <c r="D450" s="719"/>
      <c r="E450" s="24">
        <f t="shared" si="67"/>
        <v>1</v>
      </c>
      <c r="F450" s="719"/>
      <c r="G450" s="24">
        <f t="shared" si="68"/>
        <v>1</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158"/>
      <c r="B451" s="59"/>
      <c r="C451" s="24">
        <f t="shared" si="66"/>
        <v>1</v>
      </c>
      <c r="D451" s="719"/>
      <c r="E451" s="24">
        <f t="shared" si="67"/>
        <v>1</v>
      </c>
      <c r="F451" s="719"/>
      <c r="G451" s="24">
        <f t="shared" si="68"/>
        <v>1</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158"/>
      <c r="B452" s="59"/>
      <c r="C452" s="24">
        <f t="shared" si="66"/>
        <v>1</v>
      </c>
      <c r="D452" s="719"/>
      <c r="E452" s="24">
        <f t="shared" si="67"/>
        <v>1</v>
      </c>
      <c r="F452" s="719"/>
      <c r="G452" s="24">
        <f t="shared" si="68"/>
        <v>1</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158"/>
      <c r="B453" s="59"/>
      <c r="C453" s="24">
        <f t="shared" si="66"/>
        <v>1</v>
      </c>
      <c r="D453" s="719"/>
      <c r="E453" s="24">
        <f t="shared" si="67"/>
        <v>1</v>
      </c>
      <c r="F453" s="719"/>
      <c r="G453" s="24">
        <f t="shared" si="68"/>
        <v>1</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158"/>
      <c r="B454" s="59"/>
      <c r="C454" s="24">
        <f t="shared" si="66"/>
        <v>1</v>
      </c>
      <c r="D454" s="719"/>
      <c r="E454" s="24">
        <f t="shared" si="67"/>
        <v>1</v>
      </c>
      <c r="F454" s="719"/>
      <c r="G454" s="24">
        <f t="shared" si="68"/>
        <v>1</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158"/>
      <c r="B455" s="59"/>
      <c r="C455" s="24">
        <f t="shared" si="66"/>
        <v>1</v>
      </c>
      <c r="D455" s="719"/>
      <c r="E455" s="24">
        <f t="shared" si="67"/>
        <v>1</v>
      </c>
      <c r="F455" s="719"/>
      <c r="G455" s="24">
        <f t="shared" si="68"/>
        <v>1</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158"/>
      <c r="B456" s="59"/>
      <c r="C456" s="24">
        <f t="shared" si="66"/>
        <v>1</v>
      </c>
      <c r="D456" s="719"/>
      <c r="E456" s="24">
        <f t="shared" si="67"/>
        <v>1</v>
      </c>
      <c r="F456" s="719"/>
      <c r="G456" s="24">
        <f t="shared" si="68"/>
        <v>1</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158"/>
      <c r="B457" s="59"/>
      <c r="C457" s="24">
        <f t="shared" si="66"/>
        <v>1</v>
      </c>
      <c r="D457" s="719"/>
      <c r="E457" s="24">
        <f t="shared" si="67"/>
        <v>1</v>
      </c>
      <c r="F457" s="719"/>
      <c r="G457" s="24">
        <f t="shared" si="68"/>
        <v>1</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158"/>
      <c r="B458" s="59"/>
      <c r="C458" s="24">
        <f t="shared" si="66"/>
        <v>1</v>
      </c>
      <c r="D458" s="719"/>
      <c r="E458" s="24">
        <f t="shared" si="67"/>
        <v>1</v>
      </c>
      <c r="F458" s="719"/>
      <c r="G458" s="24">
        <f t="shared" si="68"/>
        <v>1</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158"/>
      <c r="B459" s="59"/>
      <c r="C459" s="24">
        <f t="shared" si="66"/>
        <v>1</v>
      </c>
      <c r="D459" s="719"/>
      <c r="E459" s="24">
        <f t="shared" si="67"/>
        <v>1</v>
      </c>
      <c r="F459" s="719"/>
      <c r="G459" s="24">
        <f t="shared" si="68"/>
        <v>1</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158"/>
      <c r="B460" s="59"/>
      <c r="C460" s="24">
        <f t="shared" si="66"/>
        <v>1</v>
      </c>
      <c r="D460" s="719"/>
      <c r="E460" s="24">
        <f t="shared" si="67"/>
        <v>1</v>
      </c>
      <c r="F460" s="719"/>
      <c r="G460" s="24">
        <f t="shared" si="68"/>
        <v>1</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158"/>
      <c r="B461" s="59"/>
      <c r="C461" s="24">
        <f t="shared" si="66"/>
        <v>1</v>
      </c>
      <c r="D461" s="719"/>
      <c r="E461" s="24">
        <f t="shared" si="67"/>
        <v>1</v>
      </c>
      <c r="F461" s="719"/>
      <c r="G461" s="24">
        <f t="shared" si="68"/>
        <v>1</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158"/>
      <c r="B462" s="59"/>
      <c r="C462" s="24">
        <f t="shared" si="66"/>
        <v>1</v>
      </c>
      <c r="D462" s="719"/>
      <c r="E462" s="24">
        <f t="shared" si="67"/>
        <v>1</v>
      </c>
      <c r="F462" s="719"/>
      <c r="G462" s="24">
        <f t="shared" si="68"/>
        <v>1</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158"/>
      <c r="B463" s="59"/>
      <c r="C463" s="24">
        <f t="shared" si="66"/>
        <v>1</v>
      </c>
      <c r="D463" s="719"/>
      <c r="E463" s="24">
        <f t="shared" si="67"/>
        <v>1</v>
      </c>
      <c r="F463" s="719"/>
      <c r="G463" s="24">
        <f t="shared" si="68"/>
        <v>1</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158"/>
      <c r="B464" s="59"/>
      <c r="C464" s="24">
        <f t="shared" si="66"/>
        <v>1</v>
      </c>
      <c r="D464" s="719"/>
      <c r="E464" s="24">
        <f t="shared" si="67"/>
        <v>1</v>
      </c>
      <c r="F464" s="719"/>
      <c r="G464" s="24">
        <f t="shared" si="68"/>
        <v>1</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158"/>
      <c r="B465" s="59"/>
      <c r="C465" s="24">
        <f t="shared" si="66"/>
        <v>1</v>
      </c>
      <c r="D465" s="719"/>
      <c r="E465" s="24">
        <f t="shared" si="67"/>
        <v>1</v>
      </c>
      <c r="F465" s="719"/>
      <c r="G465" s="24">
        <f t="shared" si="68"/>
        <v>1</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158"/>
      <c r="B466" s="59"/>
      <c r="C466" s="24">
        <f t="shared" si="66"/>
        <v>1</v>
      </c>
      <c r="D466" s="719"/>
      <c r="E466" s="24">
        <f t="shared" si="67"/>
        <v>1</v>
      </c>
      <c r="F466" s="719"/>
      <c r="G466" s="24">
        <f t="shared" si="68"/>
        <v>1</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158"/>
      <c r="B467" s="59"/>
      <c r="C467" s="24">
        <f t="shared" si="66"/>
        <v>1</v>
      </c>
      <c r="D467" s="719"/>
      <c r="E467" s="24">
        <f t="shared" si="67"/>
        <v>1</v>
      </c>
      <c r="F467" s="719"/>
      <c r="G467" s="24">
        <f t="shared" si="68"/>
        <v>1</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158"/>
      <c r="B468" s="59"/>
      <c r="C468" s="24">
        <f t="shared" si="66"/>
        <v>1</v>
      </c>
      <c r="D468" s="719"/>
      <c r="E468" s="24">
        <f t="shared" si="67"/>
        <v>1</v>
      </c>
      <c r="F468" s="719"/>
      <c r="G468" s="24">
        <f t="shared" si="68"/>
        <v>1</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158"/>
      <c r="B469" s="59"/>
      <c r="C469" s="24">
        <f t="shared" si="66"/>
        <v>1</v>
      </c>
      <c r="D469" s="719"/>
      <c r="E469" s="24">
        <f t="shared" si="67"/>
        <v>1</v>
      </c>
      <c r="F469" s="719"/>
      <c r="G469" s="24">
        <f t="shared" si="68"/>
        <v>1</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158"/>
      <c r="B470" s="59"/>
      <c r="C470" s="24">
        <f t="shared" si="66"/>
        <v>1</v>
      </c>
      <c r="D470" s="719"/>
      <c r="E470" s="24">
        <f t="shared" si="67"/>
        <v>1</v>
      </c>
      <c r="F470" s="719"/>
      <c r="G470" s="24">
        <f t="shared" si="68"/>
        <v>1</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158"/>
      <c r="B471" s="59"/>
      <c r="C471" s="24">
        <f t="shared" si="66"/>
        <v>1</v>
      </c>
      <c r="D471" s="719"/>
      <c r="E471" s="24">
        <f t="shared" si="67"/>
        <v>1</v>
      </c>
      <c r="F471" s="719"/>
      <c r="G471" s="24">
        <f t="shared" si="68"/>
        <v>1</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158"/>
      <c r="B472" s="59"/>
      <c r="C472" s="24">
        <f t="shared" si="66"/>
        <v>1</v>
      </c>
      <c r="D472" s="719"/>
      <c r="E472" s="24">
        <f t="shared" si="67"/>
        <v>1</v>
      </c>
      <c r="F472" s="719"/>
      <c r="G472" s="24">
        <f t="shared" si="68"/>
        <v>1</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158"/>
      <c r="B473" s="59"/>
      <c r="C473" s="24">
        <f t="shared" si="66"/>
        <v>1</v>
      </c>
      <c r="D473" s="719"/>
      <c r="E473" s="24">
        <f t="shared" si="67"/>
        <v>1</v>
      </c>
      <c r="F473" s="719"/>
      <c r="G473" s="24">
        <f t="shared" si="68"/>
        <v>1</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1</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158"/>
      <c r="B475" s="59"/>
      <c r="C475" s="24">
        <f t="shared" si="76"/>
        <v>1</v>
      </c>
      <c r="D475" s="719"/>
      <c r="E475" s="24">
        <f t="shared" si="77"/>
        <v>1</v>
      </c>
      <c r="F475" s="719"/>
      <c r="G475" s="24">
        <f t="shared" si="78"/>
        <v>1</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158"/>
      <c r="B476" s="59"/>
      <c r="C476" s="24">
        <f t="shared" si="76"/>
        <v>1</v>
      </c>
      <c r="D476" s="719"/>
      <c r="E476" s="24">
        <f t="shared" si="77"/>
        <v>1</v>
      </c>
      <c r="F476" s="719"/>
      <c r="G476" s="24">
        <f t="shared" si="78"/>
        <v>1</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158"/>
      <c r="B477" s="59"/>
      <c r="C477" s="24">
        <f t="shared" si="76"/>
        <v>1</v>
      </c>
      <c r="D477" s="719"/>
      <c r="E477" s="24">
        <f t="shared" si="77"/>
        <v>1</v>
      </c>
      <c r="F477" s="719"/>
      <c r="G477" s="24">
        <f t="shared" si="78"/>
        <v>1</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158"/>
      <c r="B478" s="59"/>
      <c r="C478" s="24">
        <f t="shared" si="76"/>
        <v>1</v>
      </c>
      <c r="D478" s="719"/>
      <c r="E478" s="24">
        <f t="shared" si="77"/>
        <v>1</v>
      </c>
      <c r="F478" s="719"/>
      <c r="G478" s="24">
        <f t="shared" si="78"/>
        <v>1</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158"/>
      <c r="B479" s="59"/>
      <c r="C479" s="24">
        <f t="shared" si="76"/>
        <v>1</v>
      </c>
      <c r="D479" s="719"/>
      <c r="E479" s="24">
        <f t="shared" si="77"/>
        <v>1</v>
      </c>
      <c r="F479" s="719"/>
      <c r="G479" s="24">
        <f t="shared" si="78"/>
        <v>1</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158"/>
      <c r="B480" s="59"/>
      <c r="C480" s="24">
        <f t="shared" si="76"/>
        <v>1</v>
      </c>
      <c r="D480" s="719"/>
      <c r="E480" s="24">
        <f t="shared" si="77"/>
        <v>1</v>
      </c>
      <c r="F480" s="719"/>
      <c r="G480" s="24">
        <f t="shared" si="78"/>
        <v>1</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158"/>
      <c r="B481" s="59"/>
      <c r="C481" s="24">
        <f t="shared" si="76"/>
        <v>1</v>
      </c>
      <c r="D481" s="719"/>
      <c r="E481" s="24">
        <f t="shared" si="77"/>
        <v>1</v>
      </c>
      <c r="F481" s="719"/>
      <c r="G481" s="24">
        <f t="shared" si="78"/>
        <v>1</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158"/>
      <c r="B482" s="59"/>
      <c r="C482" s="24">
        <f t="shared" si="76"/>
        <v>1</v>
      </c>
      <c r="D482" s="719"/>
      <c r="E482" s="24">
        <f t="shared" si="77"/>
        <v>1</v>
      </c>
      <c r="F482" s="719"/>
      <c r="G482" s="24">
        <f t="shared" si="78"/>
        <v>1</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158"/>
      <c r="B483" s="59"/>
      <c r="C483" s="24">
        <f t="shared" si="76"/>
        <v>1</v>
      </c>
      <c r="D483" s="719"/>
      <c r="E483" s="24">
        <f t="shared" si="77"/>
        <v>1</v>
      </c>
      <c r="F483" s="719"/>
      <c r="G483" s="24">
        <f t="shared" si="78"/>
        <v>1</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158"/>
      <c r="B484" s="59"/>
      <c r="C484" s="24">
        <f t="shared" si="76"/>
        <v>1</v>
      </c>
      <c r="D484" s="719"/>
      <c r="E484" s="24">
        <f t="shared" si="77"/>
        <v>1</v>
      </c>
      <c r="F484" s="719"/>
      <c r="G484" s="24">
        <f t="shared" si="78"/>
        <v>1</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158"/>
      <c r="B485" s="59"/>
      <c r="C485" s="24">
        <f t="shared" si="76"/>
        <v>1</v>
      </c>
      <c r="D485" s="719"/>
      <c r="E485" s="24">
        <f t="shared" si="77"/>
        <v>1</v>
      </c>
      <c r="F485" s="719"/>
      <c r="G485" s="24">
        <f t="shared" si="78"/>
        <v>1</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158"/>
      <c r="B486" s="59"/>
      <c r="C486" s="24">
        <f t="shared" si="76"/>
        <v>1</v>
      </c>
      <c r="D486" s="719"/>
      <c r="E486" s="24">
        <f t="shared" si="77"/>
        <v>1</v>
      </c>
      <c r="F486" s="719"/>
      <c r="G486" s="24">
        <f t="shared" si="78"/>
        <v>1</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158"/>
      <c r="B487" s="59"/>
      <c r="C487" s="24">
        <f t="shared" si="76"/>
        <v>1</v>
      </c>
      <c r="D487" s="719"/>
      <c r="E487" s="24">
        <f t="shared" si="77"/>
        <v>1</v>
      </c>
      <c r="F487" s="719"/>
      <c r="G487" s="24">
        <f t="shared" si="78"/>
        <v>1</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158"/>
      <c r="B488" s="59"/>
      <c r="C488" s="24">
        <f t="shared" si="76"/>
        <v>1</v>
      </c>
      <c r="D488" s="719"/>
      <c r="E488" s="24">
        <f t="shared" si="77"/>
        <v>1</v>
      </c>
      <c r="F488" s="719"/>
      <c r="G488" s="24">
        <f t="shared" si="78"/>
        <v>1</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158"/>
      <c r="B489" s="59"/>
      <c r="C489" s="24">
        <f t="shared" si="76"/>
        <v>1</v>
      </c>
      <c r="D489" s="719"/>
      <c r="E489" s="24">
        <f t="shared" si="77"/>
        <v>1</v>
      </c>
      <c r="F489" s="719"/>
      <c r="G489" s="24">
        <f t="shared" si="78"/>
        <v>1</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158"/>
      <c r="B490" s="59"/>
      <c r="C490" s="24">
        <f t="shared" si="76"/>
        <v>1</v>
      </c>
      <c r="D490" s="719"/>
      <c r="E490" s="24">
        <f t="shared" si="77"/>
        <v>1</v>
      </c>
      <c r="F490" s="719"/>
      <c r="G490" s="24">
        <f t="shared" si="78"/>
        <v>1</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158"/>
      <c r="B491" s="59"/>
      <c r="C491" s="24">
        <f t="shared" si="76"/>
        <v>1</v>
      </c>
      <c r="D491" s="719"/>
      <c r="E491" s="24">
        <f t="shared" si="77"/>
        <v>1</v>
      </c>
      <c r="F491" s="719"/>
      <c r="G491" s="24">
        <f t="shared" si="78"/>
        <v>1</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158"/>
      <c r="B492" s="59"/>
      <c r="C492" s="24">
        <f t="shared" si="76"/>
        <v>1</v>
      </c>
      <c r="D492" s="719"/>
      <c r="E492" s="24">
        <f t="shared" si="77"/>
        <v>1</v>
      </c>
      <c r="F492" s="719"/>
      <c r="G492" s="24">
        <f t="shared" si="78"/>
        <v>1</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158"/>
      <c r="B493" s="59"/>
      <c r="C493" s="24">
        <f t="shared" si="76"/>
        <v>1</v>
      </c>
      <c r="D493" s="719"/>
      <c r="E493" s="24">
        <f t="shared" si="77"/>
        <v>1</v>
      </c>
      <c r="F493" s="719"/>
      <c r="G493" s="24">
        <f t="shared" si="78"/>
        <v>1</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158"/>
      <c r="B494" s="59"/>
      <c r="C494" s="24">
        <f t="shared" si="76"/>
        <v>1</v>
      </c>
      <c r="D494" s="719"/>
      <c r="E494" s="24">
        <f t="shared" si="77"/>
        <v>1</v>
      </c>
      <c r="F494" s="719"/>
      <c r="G494" s="24">
        <f t="shared" si="78"/>
        <v>1</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158"/>
      <c r="B495" s="59"/>
      <c r="C495" s="24">
        <f t="shared" si="76"/>
        <v>1</v>
      </c>
      <c r="D495" s="719"/>
      <c r="E495" s="24">
        <f t="shared" si="77"/>
        <v>1</v>
      </c>
      <c r="F495" s="719"/>
      <c r="G495" s="24">
        <f t="shared" si="78"/>
        <v>1</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158"/>
      <c r="B496" s="59"/>
      <c r="C496" s="24">
        <f t="shared" si="76"/>
        <v>1</v>
      </c>
      <c r="D496" s="719"/>
      <c r="E496" s="24">
        <f t="shared" si="77"/>
        <v>1</v>
      </c>
      <c r="F496" s="719"/>
      <c r="G496" s="24">
        <f t="shared" si="78"/>
        <v>1</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158"/>
      <c r="B497" s="59"/>
      <c r="C497" s="24">
        <f t="shared" si="76"/>
        <v>1</v>
      </c>
      <c r="D497" s="719"/>
      <c r="E497" s="24">
        <f t="shared" si="77"/>
        <v>1</v>
      </c>
      <c r="F497" s="719"/>
      <c r="G497" s="24">
        <f t="shared" si="78"/>
        <v>1</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158"/>
      <c r="B498" s="59"/>
      <c r="C498" s="24">
        <f t="shared" si="76"/>
        <v>1</v>
      </c>
      <c r="D498" s="719"/>
      <c r="E498" s="24">
        <f t="shared" si="77"/>
        <v>1</v>
      </c>
      <c r="F498" s="719"/>
      <c r="G498" s="24">
        <f t="shared" si="78"/>
        <v>1</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158"/>
      <c r="B499" s="59"/>
      <c r="C499" s="24">
        <f t="shared" si="76"/>
        <v>1</v>
      </c>
      <c r="D499" s="719"/>
      <c r="E499" s="24">
        <f t="shared" si="77"/>
        <v>1</v>
      </c>
      <c r="F499" s="719"/>
      <c r="G499" s="24">
        <f t="shared" si="78"/>
        <v>1</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158"/>
      <c r="B500" s="59"/>
      <c r="C500" s="24">
        <f t="shared" si="76"/>
        <v>1</v>
      </c>
      <c r="D500" s="719"/>
      <c r="E500" s="24">
        <f t="shared" si="77"/>
        <v>1</v>
      </c>
      <c r="F500" s="719"/>
      <c r="G500" s="24">
        <f t="shared" si="78"/>
        <v>1</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158"/>
      <c r="B501" s="59"/>
      <c r="C501" s="24">
        <f t="shared" si="76"/>
        <v>1</v>
      </c>
      <c r="D501" s="719"/>
      <c r="E501" s="24">
        <f t="shared" si="77"/>
        <v>1</v>
      </c>
      <c r="F501" s="719"/>
      <c r="G501" s="24">
        <f t="shared" si="78"/>
        <v>1</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158"/>
      <c r="B502" s="59"/>
      <c r="C502" s="24">
        <f t="shared" si="76"/>
        <v>1</v>
      </c>
      <c r="D502" s="719"/>
      <c r="E502" s="24">
        <f t="shared" si="77"/>
        <v>1</v>
      </c>
      <c r="F502" s="719"/>
      <c r="G502" s="24">
        <f t="shared" si="78"/>
        <v>1</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158"/>
      <c r="B503" s="59"/>
      <c r="C503" s="24">
        <f t="shared" si="76"/>
        <v>1</v>
      </c>
      <c r="D503" s="719"/>
      <c r="E503" s="24">
        <f t="shared" si="77"/>
        <v>1</v>
      </c>
      <c r="F503" s="719"/>
      <c r="G503" s="24">
        <f t="shared" si="78"/>
        <v>1</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158"/>
      <c r="B504" s="59"/>
      <c r="C504" s="24">
        <f t="shared" si="76"/>
        <v>1</v>
      </c>
      <c r="D504" s="719"/>
      <c r="E504" s="24">
        <f t="shared" si="77"/>
        <v>1</v>
      </c>
      <c r="F504" s="719"/>
      <c r="G504" s="24">
        <f t="shared" si="78"/>
        <v>1</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158"/>
      <c r="B505" s="59"/>
      <c r="C505" s="24">
        <f t="shared" si="76"/>
        <v>1</v>
      </c>
      <c r="D505" s="719"/>
      <c r="E505" s="24">
        <f t="shared" si="77"/>
        <v>1</v>
      </c>
      <c r="F505" s="719"/>
      <c r="G505" s="24">
        <f t="shared" si="78"/>
        <v>1</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158"/>
      <c r="B506" s="59"/>
      <c r="C506" s="24">
        <f t="shared" si="76"/>
        <v>1</v>
      </c>
      <c r="D506" s="719"/>
      <c r="E506" s="24">
        <f t="shared" si="77"/>
        <v>1</v>
      </c>
      <c r="F506" s="719"/>
      <c r="G506" s="24">
        <f t="shared" si="78"/>
        <v>1</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158"/>
      <c r="B507" s="59"/>
      <c r="C507" s="24">
        <f t="shared" si="76"/>
        <v>1</v>
      </c>
      <c r="D507" s="719"/>
      <c r="E507" s="24">
        <f t="shared" si="77"/>
        <v>1</v>
      </c>
      <c r="F507" s="719"/>
      <c r="G507" s="24">
        <f t="shared" si="78"/>
        <v>1</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158"/>
      <c r="B508" s="59"/>
      <c r="C508" s="24">
        <f t="shared" si="76"/>
        <v>1</v>
      </c>
      <c r="D508" s="719"/>
      <c r="E508" s="24">
        <f t="shared" si="77"/>
        <v>1</v>
      </c>
      <c r="F508" s="719"/>
      <c r="G508" s="24">
        <f t="shared" si="78"/>
        <v>1</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158"/>
      <c r="B509" s="59"/>
      <c r="C509" s="24">
        <f t="shared" si="76"/>
        <v>1</v>
      </c>
      <c r="D509" s="719"/>
      <c r="E509" s="24">
        <f t="shared" si="77"/>
        <v>1</v>
      </c>
      <c r="F509" s="719"/>
      <c r="G509" s="24">
        <f t="shared" si="78"/>
        <v>1</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158"/>
      <c r="B510" s="59"/>
      <c r="C510" s="24">
        <f t="shared" si="76"/>
        <v>1</v>
      </c>
      <c r="D510" s="719"/>
      <c r="E510" s="24">
        <f t="shared" si="77"/>
        <v>1</v>
      </c>
      <c r="F510" s="719"/>
      <c r="G510" s="24">
        <f t="shared" si="78"/>
        <v>1</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158"/>
      <c r="B511" s="59"/>
      <c r="C511" s="24">
        <f t="shared" si="76"/>
        <v>1</v>
      </c>
      <c r="D511" s="719"/>
      <c r="E511" s="24">
        <f t="shared" si="77"/>
        <v>1</v>
      </c>
      <c r="F511" s="719"/>
      <c r="G511" s="24">
        <f t="shared" si="78"/>
        <v>1</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158"/>
      <c r="B512" s="59"/>
      <c r="C512" s="24">
        <f t="shared" si="76"/>
        <v>1</v>
      </c>
      <c r="D512" s="719"/>
      <c r="E512" s="24">
        <f t="shared" si="77"/>
        <v>1</v>
      </c>
      <c r="F512" s="719"/>
      <c r="G512" s="24">
        <f t="shared" si="78"/>
        <v>1</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158"/>
      <c r="B513" s="59"/>
      <c r="C513" s="24">
        <f t="shared" si="76"/>
        <v>1</v>
      </c>
      <c r="D513" s="719"/>
      <c r="E513" s="24">
        <f t="shared" si="77"/>
        <v>1</v>
      </c>
      <c r="F513" s="719"/>
      <c r="G513" s="24">
        <f t="shared" si="78"/>
        <v>1</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158"/>
      <c r="B514" s="59"/>
      <c r="C514" s="24">
        <f t="shared" si="76"/>
        <v>1</v>
      </c>
      <c r="D514" s="719"/>
      <c r="E514" s="24">
        <f t="shared" si="77"/>
        <v>1</v>
      </c>
      <c r="F514" s="719"/>
      <c r="G514" s="24">
        <f t="shared" si="78"/>
        <v>1</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158"/>
      <c r="B515" s="59"/>
      <c r="C515" s="24">
        <f t="shared" si="76"/>
        <v>1</v>
      </c>
      <c r="D515" s="719"/>
      <c r="E515" s="24">
        <f t="shared" si="77"/>
        <v>1</v>
      </c>
      <c r="F515" s="719"/>
      <c r="G515" s="24">
        <f t="shared" si="78"/>
        <v>1</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158"/>
      <c r="B516" s="59"/>
      <c r="C516" s="24">
        <f t="shared" si="76"/>
        <v>1</v>
      </c>
      <c r="D516" s="719"/>
      <c r="E516" s="24">
        <f t="shared" si="77"/>
        <v>1</v>
      </c>
      <c r="F516" s="719"/>
      <c r="G516" s="24">
        <f t="shared" si="78"/>
        <v>1</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158"/>
      <c r="B517" s="59"/>
      <c r="C517" s="24">
        <f t="shared" si="76"/>
        <v>1</v>
      </c>
      <c r="D517" s="719"/>
      <c r="E517" s="24">
        <f t="shared" si="77"/>
        <v>1</v>
      </c>
      <c r="F517" s="719"/>
      <c r="G517" s="24">
        <f t="shared" si="78"/>
        <v>1</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158"/>
      <c r="B518" s="59"/>
      <c r="C518" s="24">
        <f t="shared" si="76"/>
        <v>1</v>
      </c>
      <c r="D518" s="719"/>
      <c r="E518" s="24">
        <f t="shared" si="77"/>
        <v>1</v>
      </c>
      <c r="F518" s="719"/>
      <c r="G518" s="24">
        <f t="shared" si="78"/>
        <v>1</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158"/>
      <c r="B519" s="59"/>
      <c r="C519" s="24">
        <f t="shared" si="76"/>
        <v>1</v>
      </c>
      <c r="D519" s="719"/>
      <c r="E519" s="24">
        <f t="shared" si="77"/>
        <v>1</v>
      </c>
      <c r="F519" s="719"/>
      <c r="G519" s="24">
        <f t="shared" si="78"/>
        <v>1</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158"/>
      <c r="B520" s="59"/>
      <c r="C520" s="24">
        <f t="shared" si="76"/>
        <v>1</v>
      </c>
      <c r="D520" s="719"/>
      <c r="E520" s="24">
        <f t="shared" si="77"/>
        <v>1</v>
      </c>
      <c r="F520" s="719"/>
      <c r="G520" s="24">
        <f t="shared" si="78"/>
        <v>1</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158"/>
      <c r="B521" s="59"/>
      <c r="C521" s="24">
        <f t="shared" si="76"/>
        <v>1</v>
      </c>
      <c r="D521" s="719"/>
      <c r="E521" s="24">
        <f t="shared" si="77"/>
        <v>1</v>
      </c>
      <c r="F521" s="719"/>
      <c r="G521" s="24">
        <f t="shared" si="78"/>
        <v>1</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158"/>
      <c r="B522" s="59"/>
      <c r="C522" s="24">
        <f t="shared" si="76"/>
        <v>1</v>
      </c>
      <c r="D522" s="719"/>
      <c r="E522" s="24">
        <f t="shared" si="77"/>
        <v>1</v>
      </c>
      <c r="F522" s="719"/>
      <c r="G522" s="24">
        <f t="shared" si="78"/>
        <v>1</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158"/>
      <c r="B523" s="59"/>
      <c r="C523" s="24">
        <f t="shared" si="76"/>
        <v>1</v>
      </c>
      <c r="D523" s="719"/>
      <c r="E523" s="24">
        <f t="shared" si="77"/>
        <v>1</v>
      </c>
      <c r="F523" s="719"/>
      <c r="G523" s="24">
        <f t="shared" si="78"/>
        <v>1</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158"/>
      <c r="B524" s="59"/>
      <c r="C524" s="24">
        <f t="shared" si="76"/>
        <v>1</v>
      </c>
      <c r="D524" s="719"/>
      <c r="E524" s="24">
        <f t="shared" si="77"/>
        <v>1</v>
      </c>
      <c r="F524" s="719"/>
      <c r="G524" s="24">
        <f t="shared" si="78"/>
        <v>1</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E118" sqref="E118"/>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2114</v>
      </c>
      <c r="B1" s="2416"/>
      <c r="C1" s="2417"/>
      <c r="D1" s="2416"/>
      <c r="E1" s="2416"/>
      <c r="F1" s="2418" t="s">
        <v>2115</v>
      </c>
      <c r="G1" s="2068" t="s">
        <v>3216</v>
      </c>
      <c r="H1" s="2419" t="str">
        <f>IF(G1="现房","——","估价对象范围")</f>
        <v>——</v>
      </c>
      <c r="I1" s="2420"/>
    </row>
    <row r="2" spans="1:12" ht="21.75" customHeight="1" thickBot="1">
      <c r="A2" s="3213" t="str">
        <f>项目基本情况!S2</f>
        <v>北京市朝阳区北苑路28号院1号楼房地产</v>
      </c>
      <c r="B2" s="3214"/>
      <c r="C2" s="3214"/>
      <c r="D2" s="3214"/>
      <c r="E2" s="3214"/>
      <c r="F2" s="3214"/>
      <c r="G2" s="3214"/>
      <c r="H2" s="3214"/>
      <c r="I2" s="3215"/>
    </row>
    <row r="3" spans="1:12" ht="12.75">
      <c r="A3" s="3216" t="s">
        <v>2116</v>
      </c>
      <c r="B3" s="3217"/>
      <c r="C3" s="3217"/>
      <c r="D3" s="3217"/>
      <c r="E3" s="3217"/>
      <c r="F3" s="3217"/>
      <c r="G3" s="3217"/>
      <c r="H3" s="3217"/>
      <c r="I3" s="3217"/>
    </row>
    <row r="4" spans="1:12" ht="14.25">
      <c r="A4" s="2423" t="s">
        <v>2117</v>
      </c>
      <c r="B4" s="2424" t="s">
        <v>2118</v>
      </c>
      <c r="C4" s="2425" t="s">
        <v>3211</v>
      </c>
      <c r="D4" s="2425" t="s">
        <v>3219</v>
      </c>
      <c r="E4" s="3197" t="s">
        <v>2119</v>
      </c>
      <c r="F4" s="3210"/>
      <c r="G4" s="3210"/>
      <c r="H4" s="3210"/>
      <c r="I4" s="3198"/>
      <c r="K4" s="2426" t="str">
        <f>IF(ISNUMBER(FIND("比较法",'结果表 (3)'!C4)),"比较法",IF(ISNUMBER(FIND("成本法",'结果表 (3)'!C4)),"成本法",IF(ISNUMBER(FIND("假设开发法",'结果表 (3)'!C4)),"假设开发法",IF(ISNUMBER(FIND("收益法",'结果表 (3)'!C4)),"收益法","基准地价系数修正法"))))</f>
        <v>收益法</v>
      </c>
      <c r="L4" s="2426" t="str">
        <f>IF(ISNUMBER(FIND("比较法",'结果表 (3)'!D4)),"比较法",IF(ISNUMBER(FIND("成本法",'结果表 (3)'!D4)),"成本法",IF(ISNUMBER(FIND("假设开发法",'结果表 (3)'!D4)),"假设开发法",IF(ISNUMBER(FIND("收益法",'结果表 (3)'!D4)),"收益法","基准地价系数修正法"))))</f>
        <v>基准地价系数修正法</v>
      </c>
    </row>
    <row r="5" spans="1:12" ht="12.75">
      <c r="A5" s="3188" t="s">
        <v>2120</v>
      </c>
      <c r="B5" s="3114">
        <v>25</v>
      </c>
      <c r="C5" s="3218"/>
      <c r="D5" s="3206"/>
      <c r="E5" s="139" t="s">
        <v>2121</v>
      </c>
      <c r="F5" s="2427"/>
      <c r="G5" s="2427"/>
      <c r="H5" s="2427"/>
      <c r="I5" s="1830"/>
    </row>
    <row r="6" spans="1:12" ht="12.75">
      <c r="A6" s="3188"/>
      <c r="B6" s="3114"/>
      <c r="C6" s="3220"/>
      <c r="D6" s="3206"/>
      <c r="E6" s="139" t="s">
        <v>2122</v>
      </c>
      <c r="F6" s="2427"/>
      <c r="G6" s="2427"/>
      <c r="H6" s="2427"/>
      <c r="I6" s="1830"/>
    </row>
    <row r="7" spans="1:12" ht="12.75">
      <c r="A7" s="3188"/>
      <c r="B7" s="3114"/>
      <c r="C7" s="3219"/>
      <c r="D7" s="3206"/>
      <c r="E7" s="139" t="s">
        <v>2123</v>
      </c>
      <c r="F7" s="2427"/>
      <c r="G7" s="2427"/>
      <c r="H7" s="2427"/>
      <c r="I7" s="1830"/>
    </row>
    <row r="8" spans="1:12" ht="12.75">
      <c r="A8" s="3188" t="s">
        <v>2124</v>
      </c>
      <c r="B8" s="3114">
        <v>15</v>
      </c>
      <c r="C8" s="3218"/>
      <c r="D8" s="3206"/>
      <c r="E8" s="139" t="s">
        <v>2125</v>
      </c>
      <c r="F8" s="2427"/>
      <c r="G8" s="2427"/>
      <c r="H8" s="2427"/>
      <c r="I8" s="1830"/>
    </row>
    <row r="9" spans="1:12" ht="12.75">
      <c r="A9" s="3188"/>
      <c r="B9" s="3114"/>
      <c r="C9" s="3219"/>
      <c r="D9" s="3206"/>
      <c r="E9" s="139" t="s">
        <v>2126</v>
      </c>
      <c r="F9" s="2427"/>
      <c r="G9" s="2427"/>
      <c r="H9" s="2427"/>
      <c r="I9" s="1830"/>
    </row>
    <row r="10" spans="1:12" ht="12.75">
      <c r="A10" s="3188" t="s">
        <v>2127</v>
      </c>
      <c r="B10" s="3114">
        <v>15</v>
      </c>
      <c r="C10" s="3218"/>
      <c r="D10" s="3206"/>
      <c r="E10" s="139" t="s">
        <v>2128</v>
      </c>
      <c r="F10" s="2427"/>
      <c r="G10" s="2427"/>
      <c r="H10" s="2427"/>
      <c r="I10" s="1830"/>
    </row>
    <row r="11" spans="1:12" ht="12.75">
      <c r="A11" s="3188"/>
      <c r="B11" s="3114"/>
      <c r="C11" s="3219"/>
      <c r="D11" s="3206"/>
      <c r="E11" s="139" t="s">
        <v>2129</v>
      </c>
      <c r="F11" s="2427"/>
      <c r="G11" s="2427"/>
      <c r="H11" s="2427"/>
      <c r="I11" s="1830"/>
    </row>
    <row r="12" spans="1:12" ht="12.75">
      <c r="A12" s="3188" t="s">
        <v>2130</v>
      </c>
      <c r="B12" s="3114">
        <v>15</v>
      </c>
      <c r="C12" s="3218"/>
      <c r="D12" s="3206"/>
      <c r="E12" s="139" t="s">
        <v>2131</v>
      </c>
      <c r="F12" s="2427"/>
      <c r="G12" s="2427"/>
      <c r="H12" s="2427"/>
      <c r="I12" s="1830"/>
    </row>
    <row r="13" spans="1:12" ht="12.75">
      <c r="A13" s="3188"/>
      <c r="B13" s="3114"/>
      <c r="C13" s="3219"/>
      <c r="D13" s="3206"/>
      <c r="E13" s="139" t="s">
        <v>2132</v>
      </c>
      <c r="F13" s="2427"/>
      <c r="G13" s="2427"/>
      <c r="H13" s="2427"/>
      <c r="I13" s="1830"/>
    </row>
    <row r="14" spans="1:12" ht="12.75">
      <c r="A14" s="3188" t="s">
        <v>2133</v>
      </c>
      <c r="B14" s="3114">
        <v>30</v>
      </c>
      <c r="C14" s="3218">
        <v>4</v>
      </c>
      <c r="D14" s="3206">
        <v>6</v>
      </c>
      <c r="E14" s="139" t="s">
        <v>2134</v>
      </c>
      <c r="F14" s="2427"/>
      <c r="G14" s="2427"/>
      <c r="H14" s="2427"/>
      <c r="I14" s="1830"/>
    </row>
    <row r="15" spans="1:12" ht="12.75">
      <c r="A15" s="3188"/>
      <c r="B15" s="3114"/>
      <c r="C15" s="3220"/>
      <c r="D15" s="3206"/>
      <c r="E15" s="139" t="s">
        <v>2135</v>
      </c>
      <c r="F15" s="2427"/>
      <c r="G15" s="2427"/>
      <c r="H15" s="2427"/>
      <c r="I15" s="1830"/>
    </row>
    <row r="16" spans="1:12" ht="12.75">
      <c r="A16" s="3188"/>
      <c r="B16" s="3114"/>
      <c r="C16" s="3219"/>
      <c r="D16" s="3206"/>
      <c r="E16" s="139" t="s">
        <v>2136</v>
      </c>
      <c r="F16" s="2427"/>
      <c r="G16" s="2427"/>
      <c r="H16" s="2427"/>
      <c r="I16" s="1830"/>
    </row>
    <row r="17" spans="1:35" ht="15">
      <c r="A17" s="2428" t="s">
        <v>2137</v>
      </c>
      <c r="B17" s="64"/>
      <c r="C17" s="140">
        <f>SUM(C5:C16)</f>
        <v>4</v>
      </c>
      <c r="D17" s="140">
        <f>SUM(D5:D16)</f>
        <v>6</v>
      </c>
      <c r="E17" s="137"/>
      <c r="F17" s="137"/>
      <c r="G17" s="137"/>
      <c r="H17" s="137"/>
      <c r="I17" s="137"/>
      <c r="K17" s="2426"/>
      <c r="L17" s="2429" t="s">
        <v>2138</v>
      </c>
      <c r="M17" s="2429" t="s">
        <v>2139</v>
      </c>
    </row>
    <row r="18" spans="1:35" ht="15.75" thickBot="1">
      <c r="A18" s="2430" t="s">
        <v>2140</v>
      </c>
      <c r="B18" s="2431"/>
      <c r="C18" s="141">
        <f>ROUND(C17/SUM(C17:D17),2)</f>
        <v>0.4</v>
      </c>
      <c r="D18" s="141">
        <f>1-C18</f>
        <v>0.6</v>
      </c>
      <c r="E18" s="137"/>
      <c r="F18" s="137"/>
      <c r="G18" s="137"/>
      <c r="H18" s="137"/>
      <c r="I18" s="137"/>
      <c r="K18" s="2426" t="s">
        <v>2141</v>
      </c>
      <c r="L18" s="2426">
        <f>IF(C1="",'数据-汇总表'!E3,SUMIF(项目类型,C1,'数据-汇总表'!E17:E26)+SUMIF(项目类型,C1,'数据-汇总表'!I17:I26))</f>
        <v>34740.85</v>
      </c>
      <c r="M18" s="2426">
        <f>IF(C1="",'数据-汇总表'!E3,SUMIF(项目类型,C1,'数据-汇总表'!E17:E26))</f>
        <v>34740.85</v>
      </c>
    </row>
    <row r="19" spans="1:35" ht="15">
      <c r="A19" s="2432" t="s">
        <v>2142</v>
      </c>
      <c r="B19" s="2433" t="s">
        <v>2143</v>
      </c>
      <c r="C19" s="142">
        <f ca="1">SUMIF(INDIRECT("'"&amp;C4&amp;"'"&amp;"!A:A"),'结果表 (3)'!B19,INDIRECT("'"&amp;C4&amp;"'"&amp;"!B:B"))</f>
        <v>733</v>
      </c>
      <c r="D19" s="143">
        <f ca="1">SUMIF(INDIRECT("'"&amp;D4&amp;"'"&amp;"!A:A"),'结果表 (3)'!B19,INDIRECT("'"&amp;D4&amp;"'"&amp;"!B:B"))</f>
        <v>3327</v>
      </c>
      <c r="E19" s="2432" t="s">
        <v>2144</v>
      </c>
      <c r="F19" s="2433" t="s">
        <v>2143</v>
      </c>
      <c r="G19" s="144">
        <f ca="1">结果表!H118+'结果表 (2)'!G19</f>
        <v>90461</v>
      </c>
      <c r="H19" s="2434" t="s">
        <v>2145</v>
      </c>
      <c r="I19" s="137"/>
      <c r="K19" s="2426" t="s">
        <v>2146</v>
      </c>
      <c r="L19" s="2426">
        <f>IF(C1="",'数据-汇总表'!D3,SUMIF(项目类型,C1,'数据-汇总表'!D17:D26)+SUMIF(项目类型,C1,'数据-汇总表'!H17:H27))</f>
        <v>10186.06</v>
      </c>
      <c r="M19" s="2426">
        <f>IF(C1="",'数据-汇总表'!D3,SUMIF(项目类型,C1,'数据-汇总表'!D17:D26))</f>
        <v>10186.06</v>
      </c>
    </row>
    <row r="20" spans="1:35" ht="15">
      <c r="A20" s="2435"/>
      <c r="B20" s="1246" t="s">
        <v>2147</v>
      </c>
      <c r="C20" s="145">
        <f ca="1">SUMIF(INDIRECT("'"&amp;C4&amp;"'"&amp;"!A:A"),'结果表 (3)'!B20,INDIRECT("'"&amp;C4&amp;"'"&amp;"!B:B"))</f>
        <v>2060</v>
      </c>
      <c r="D20" s="146">
        <f ca="1">SUMIF(INDIRECT("'"&amp;D4&amp;"'"&amp;"!A:A"),'结果表 (3)'!B20,INDIRECT("'"&amp;D4&amp;"'"&amp;"!B:B"))</f>
        <v>9347</v>
      </c>
      <c r="E20" s="2435"/>
      <c r="F20" s="1246" t="s">
        <v>2147</v>
      </c>
      <c r="G20" s="147">
        <f ca="1">ROUND(C20*$C$18+D20*$D$18,0)</f>
        <v>6432</v>
      </c>
      <c r="H20" s="979" t="s">
        <v>2148</v>
      </c>
      <c r="I20" s="137"/>
    </row>
    <row r="21" spans="1:35" ht="15" customHeight="1" thickBot="1">
      <c r="A21" s="999"/>
      <c r="B21" s="2436" t="s">
        <v>2149</v>
      </c>
      <c r="C21" s="788">
        <f ca="1">ROUND(C19*10000/L19,0)</f>
        <v>720</v>
      </c>
      <c r="D21" s="789">
        <f ca="1">ROUND(D19*10000/L19,0)</f>
        <v>3266</v>
      </c>
      <c r="E21" s="999"/>
      <c r="F21" s="2436" t="s">
        <v>2149</v>
      </c>
      <c r="G21" s="148">
        <f ca="1">ROUND(G19*10000/L19,0)</f>
        <v>88809</v>
      </c>
      <c r="H21" s="2437" t="s">
        <v>2148</v>
      </c>
      <c r="I21" s="137"/>
    </row>
    <row r="22" spans="1:35" ht="15" thickBot="1">
      <c r="A22" s="2278" t="s">
        <v>2150</v>
      </c>
      <c r="B22" s="2438"/>
      <c r="C22" s="2439"/>
      <c r="D22" s="790">
        <f ca="1">IF(C19&lt;D19,D19/C19-1,C19/D19-1)</f>
        <v>3.5388813096862206</v>
      </c>
      <c r="E22" s="137"/>
      <c r="F22" s="137"/>
      <c r="G22" s="137"/>
      <c r="H22" s="137"/>
      <c r="I22" s="137"/>
    </row>
    <row r="23" spans="1:35" ht="13.5" thickBot="1">
      <c r="A23" s="2416"/>
      <c r="B23" s="2416"/>
      <c r="C23" s="2416"/>
      <c r="D23" s="2416"/>
      <c r="E23" s="137"/>
      <c r="F23" s="137"/>
      <c r="G23" s="137"/>
      <c r="H23" s="137"/>
      <c r="I23" s="137"/>
    </row>
    <row r="24" spans="1:35" ht="14.25">
      <c r="A24" s="3227" t="s">
        <v>2151</v>
      </c>
      <c r="B24" s="2433" t="s">
        <v>2143</v>
      </c>
      <c r="C24" s="144">
        <f>IF(B30=0,0,D30)</f>
        <v>0</v>
      </c>
      <c r="D24" s="2440"/>
      <c r="E24" s="137"/>
      <c r="F24" s="137"/>
      <c r="G24" s="137"/>
      <c r="H24" s="137"/>
      <c r="I24" s="137"/>
    </row>
    <row r="25" spans="1:35" ht="14.25">
      <c r="A25" s="3228"/>
      <c r="B25" s="1246" t="s">
        <v>2147</v>
      </c>
      <c r="C25" s="149">
        <f>IF(B30=0,0,C30)</f>
        <v>0</v>
      </c>
      <c r="D25" s="2441"/>
      <c r="E25" s="137"/>
      <c r="F25" s="137"/>
      <c r="G25" s="137"/>
      <c r="H25" s="137"/>
      <c r="I25" s="137"/>
    </row>
    <row r="26" spans="1:35" ht="13.5" customHeight="1">
      <c r="A26" s="2442" t="s">
        <v>2152</v>
      </c>
      <c r="B26" s="150" t="s">
        <v>2153</v>
      </c>
      <c r="C26" s="150" t="s">
        <v>2154</v>
      </c>
      <c r="D26" s="151" t="s">
        <v>2155</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2156</v>
      </c>
      <c r="B30" s="150"/>
      <c r="C30" s="150"/>
      <c r="D30" s="150"/>
      <c r="E30" s="2915" t="s">
        <v>3032</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2157</v>
      </c>
      <c r="B32" s="2446"/>
      <c r="C32" s="152">
        <f ca="1">IF(D32="总价",G19-C24,G20-C25)</f>
        <v>90461</v>
      </c>
      <c r="D32" s="2447" t="s">
        <v>2158</v>
      </c>
      <c r="E32" s="137"/>
      <c r="F32" s="137"/>
      <c r="G32" s="137"/>
      <c r="H32" s="137"/>
      <c r="I32" s="137"/>
    </row>
    <row r="33" spans="1:15" ht="15">
      <c r="A33" s="956" t="s">
        <v>2159</v>
      </c>
      <c r="B33" s="2448"/>
      <c r="C33" s="2449" t="s">
        <v>3278</v>
      </c>
      <c r="D33" s="2450"/>
      <c r="E33" s="2451" t="s">
        <v>2160</v>
      </c>
      <c r="F33" s="2966" t="str">
        <f>IF(D32="楼面单价","取值（单价）","取值（总价）")</f>
        <v>取值（总价）</v>
      </c>
      <c r="G33" s="137"/>
      <c r="H33" s="137"/>
      <c r="I33" s="137"/>
    </row>
    <row r="34" spans="1:15" ht="15">
      <c r="A34" s="2453"/>
      <c r="B34" s="2454" t="s">
        <v>2161</v>
      </c>
      <c r="C34" s="156">
        <f ca="1">IF(C33="自定义",F34,C32-C35)</f>
        <v>89272</v>
      </c>
      <c r="D34" s="1054">
        <f ca="1">IF(C33="自定义",ROUND(C34/C32,3),IF(C33="收益比率",SUMIF(INDIRECT("'"&amp;D33&amp;"'"&amp;"!b:b"),"土地收益比率",INDIRECT("'"&amp;D33&amp;"'"&amp;"!c:c")),SUMIF(INDIRECT("'"&amp;D33&amp;"'"&amp;"!b:b"),"土地成本比率",INDIRECT("'"&amp;D33&amp;"'"&amp;"!c:c"))))</f>
        <v>0.98699999999999999</v>
      </c>
      <c r="E34" s="2455" t="s">
        <v>2162</v>
      </c>
      <c r="F34" s="1735">
        <f ca="1">G19-F35</f>
        <v>89272</v>
      </c>
      <c r="G34" s="137"/>
      <c r="H34" s="137"/>
      <c r="I34" s="137"/>
    </row>
    <row r="35" spans="1:15" ht="15.75" thickBot="1">
      <c r="A35" s="2456"/>
      <c r="B35" s="2457" t="s">
        <v>2163</v>
      </c>
      <c r="C35" s="1440">
        <f ca="1">IF(C33="自定义",F35,ROUND(C32*D35,0))</f>
        <v>1189</v>
      </c>
      <c r="D35" s="1441">
        <f ca="1">IF(C33="自定义",ROUND(C35/C32,3),IF(C33="收益比率",SUMIF(INDIRECT("'"&amp;D33&amp;"'"&amp;"!b:b"),"建筑物收益比率",INDIRECT("'"&amp;D33&amp;"'"&amp;"!c:c")),SUMIF(INDIRECT("'"&amp;D33&amp;"'"&amp;"!b:b"),"建筑物成本比率",INDIRECT("'"&amp;D33&amp;"'"&amp;"!c:c"))))</f>
        <v>1.2999999999999999E-2</v>
      </c>
      <c r="E35" s="2458" t="s">
        <v>2164</v>
      </c>
      <c r="F35" s="162">
        <f ca="1">ROUND('收益法 (元)'!C29/10000,0)</f>
        <v>1189</v>
      </c>
      <c r="G35" s="137"/>
      <c r="H35" s="137"/>
      <c r="I35" s="137"/>
    </row>
    <row r="36" spans="1:15" ht="15.75" thickBot="1">
      <c r="A36" s="3207" t="s">
        <v>2165</v>
      </c>
      <c r="B36" s="2459" t="s">
        <v>2166</v>
      </c>
      <c r="C36" s="153"/>
      <c r="D36" s="2460"/>
      <c r="E36" s="2461"/>
      <c r="F36" s="2462"/>
      <c r="G36" s="137"/>
      <c r="H36" s="137"/>
      <c r="I36" s="137"/>
    </row>
    <row r="37" spans="1:15" ht="15.75" thickBot="1">
      <c r="A37" s="3208"/>
      <c r="B37" s="2264" t="s">
        <v>2167</v>
      </c>
      <c r="C37" s="155"/>
      <c r="D37" s="1391"/>
      <c r="E37" s="1391"/>
      <c r="F37" s="2462"/>
      <c r="G37" s="137"/>
      <c r="H37" s="137"/>
      <c r="I37" s="137"/>
    </row>
    <row r="38" spans="1:15" ht="15.75" thickBot="1">
      <c r="A38" s="3209"/>
      <c r="B38" s="2463" t="s">
        <v>2168</v>
      </c>
      <c r="C38" s="726"/>
      <c r="D38" s="2464" t="s">
        <v>2169</v>
      </c>
      <c r="E38" s="1391"/>
      <c r="F38" s="2462"/>
      <c r="G38" s="137"/>
      <c r="H38" s="137"/>
      <c r="I38" s="137"/>
    </row>
    <row r="39" spans="1:15" ht="15">
      <c r="A39" s="2435" t="s">
        <v>2170</v>
      </c>
      <c r="B39" s="2465" t="s">
        <v>2153</v>
      </c>
      <c r="C39" s="2466" t="s">
        <v>2154</v>
      </c>
      <c r="D39" s="2466" t="s">
        <v>2173</v>
      </c>
      <c r="E39" s="2467" t="s">
        <v>2155</v>
      </c>
      <c r="F39" s="2462"/>
      <c r="G39" s="137"/>
      <c r="H39" s="137"/>
      <c r="I39" s="137"/>
    </row>
    <row r="40" spans="1:15" ht="14.25">
      <c r="A40" s="2468" t="s">
        <v>2175</v>
      </c>
      <c r="B40" s="157"/>
      <c r="C40" s="158"/>
      <c r="D40" s="158"/>
      <c r="E40" s="159"/>
      <c r="F40" s="2462"/>
      <c r="G40" s="137"/>
      <c r="H40" s="137"/>
      <c r="I40" s="137"/>
    </row>
    <row r="41" spans="1:15" ht="14.25">
      <c r="A41" s="2468" t="s">
        <v>2176</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2"/>
      <c r="B43" s="2162"/>
      <c r="C43" s="2162"/>
      <c r="D43" s="2162"/>
      <c r="E43" s="2162"/>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224" t="s">
        <v>2179</v>
      </c>
      <c r="B45" s="3225"/>
      <c r="C45" s="3226"/>
      <c r="D45" s="163">
        <f ca="1">ROUND(H101*F45,0)</f>
        <v>90461</v>
      </c>
      <c r="E45" s="164" t="s">
        <v>2180</v>
      </c>
      <c r="F45" s="165">
        <v>1</v>
      </c>
      <c r="G45" s="166" t="s">
        <v>2181</v>
      </c>
      <c r="H45" s="137"/>
      <c r="I45" s="137"/>
      <c r="J45" s="3143" t="s">
        <v>2182</v>
      </c>
      <c r="K45" s="3143"/>
      <c r="L45" s="3143"/>
      <c r="M45" s="3143"/>
      <c r="N45" s="3143"/>
      <c r="O45" s="3143"/>
    </row>
    <row r="46" spans="1:15" ht="14.25" customHeight="1">
      <c r="A46" s="3221" t="s">
        <v>2183</v>
      </c>
      <c r="B46" s="3222"/>
      <c r="C46" s="3222"/>
      <c r="D46" s="3222"/>
      <c r="E46" s="3222"/>
      <c r="F46" s="3222"/>
      <c r="G46" s="3223"/>
      <c r="H46" s="2478"/>
      <c r="I46" s="167"/>
      <c r="J46" s="2976">
        <v>1</v>
      </c>
      <c r="K46" s="3143" t="s">
        <v>2184</v>
      </c>
      <c r="L46" s="3143"/>
      <c r="M46" s="3144"/>
      <c r="N46" s="3144"/>
      <c r="O46" s="3144"/>
    </row>
    <row r="47" spans="1:15" ht="12" customHeight="1">
      <c r="A47" s="168" t="s">
        <v>2185</v>
      </c>
      <c r="B47" s="169"/>
      <c r="C47" s="170"/>
      <c r="D47" s="171" t="s">
        <v>2186</v>
      </c>
      <c r="E47" s="24" t="s">
        <v>2187</v>
      </c>
      <c r="F47" s="172" t="s">
        <v>2188</v>
      </c>
      <c r="G47" s="173" t="s">
        <v>2189</v>
      </c>
      <c r="H47" s="2478"/>
      <c r="I47" s="167"/>
      <c r="J47" s="2976">
        <v>2</v>
      </c>
      <c r="K47" s="3143" t="s">
        <v>2190</v>
      </c>
      <c r="L47" s="3143"/>
      <c r="M47" s="3145">
        <f>'数据-取费表'!B2</f>
        <v>43634</v>
      </c>
      <c r="N47" s="3145"/>
      <c r="O47" s="3145"/>
    </row>
    <row r="48" spans="1:15" ht="25.5">
      <c r="A48" s="3211" t="s">
        <v>2191</v>
      </c>
      <c r="B48" s="3212"/>
      <c r="C48" s="3212"/>
      <c r="D48" s="139">
        <f ca="1">IF(H48="情况1",0,IF(H48="情况2",D52,IF(H48="情况3",D53,IF(H48="情况4",D54))))</f>
        <v>4825</v>
      </c>
      <c r="E48" s="2970" t="str">
        <f>IF(H48="情况4","(销售额-原购置价)×税（费）率","销售额×税（费）率")</f>
        <v>(销售额-原购置价)×税（费）率</v>
      </c>
      <c r="F48" s="174">
        <f>IF(H48="情况1","免征",'数据-取费表'!B41)</f>
        <v>5.6000000000000001E-2</v>
      </c>
      <c r="G48" s="2479" t="s">
        <v>2192</v>
      </c>
      <c r="H48" s="2480" t="s">
        <v>3279</v>
      </c>
      <c r="I48" s="2478"/>
      <c r="J48" s="2976">
        <v>3</v>
      </c>
      <c r="K48" s="3143" t="s">
        <v>2194</v>
      </c>
      <c r="L48" s="3143"/>
      <c r="M48" s="3146">
        <f ca="1">H101</f>
        <v>90461</v>
      </c>
      <c r="N48" s="3146"/>
      <c r="O48" s="3146"/>
    </row>
    <row r="49" spans="1:35" ht="25.5" customHeight="1">
      <c r="A49" s="175" t="s">
        <v>2195</v>
      </c>
      <c r="B49" s="3191" t="s">
        <v>2196</v>
      </c>
      <c r="C49" s="3191"/>
      <c r="D49" s="176">
        <v>0</v>
      </c>
      <c r="E49" s="23" t="s">
        <v>2197</v>
      </c>
      <c r="F49" s="28" t="s">
        <v>34</v>
      </c>
      <c r="G49" s="3172"/>
      <c r="H49" s="137"/>
      <c r="I49" s="2481"/>
      <c r="J49" s="2976">
        <v>4</v>
      </c>
      <c r="K49" s="3143" t="str">
        <f>IF(项目基本情况!E8="房地产抵押价值","房地产抵押价值","抵押担保权已注销时的房地产抵押价值")</f>
        <v>房地产抵押价值</v>
      </c>
      <c r="L49" s="3143"/>
      <c r="M49" s="3146">
        <f ca="1">IF(项目基本情况!E8="房地产抵押价值",H107,H109)</f>
        <v>90461</v>
      </c>
      <c r="N49" s="3146"/>
      <c r="O49" s="3146"/>
    </row>
    <row r="50" spans="1:35" ht="25.5" customHeight="1">
      <c r="A50" s="177"/>
      <c r="B50" s="3191" t="s">
        <v>2198</v>
      </c>
      <c r="C50" s="3191"/>
      <c r="D50" s="178"/>
      <c r="E50" s="31"/>
      <c r="F50" s="179"/>
      <c r="G50" s="3173"/>
      <c r="H50" s="137"/>
      <c r="I50" s="2481"/>
      <c r="J50" s="3143" t="s">
        <v>2199</v>
      </c>
      <c r="K50" s="3143"/>
      <c r="L50" s="3143"/>
      <c r="M50" s="3143"/>
      <c r="N50" s="3143"/>
      <c r="O50" s="3143"/>
    </row>
    <row r="51" spans="1:35" ht="12" customHeight="1">
      <c r="A51" s="180"/>
      <c r="B51" s="3191" t="s">
        <v>2200</v>
      </c>
      <c r="C51" s="3191"/>
      <c r="D51" s="181"/>
      <c r="E51" s="30"/>
      <c r="F51" s="179"/>
      <c r="G51" s="3174"/>
      <c r="H51" s="137"/>
      <c r="I51" s="2481"/>
      <c r="J51" s="2975" t="s">
        <v>2201</v>
      </c>
      <c r="K51" s="3143" t="s">
        <v>2202</v>
      </c>
      <c r="L51" s="3143"/>
      <c r="M51" s="2975" t="s">
        <v>2203</v>
      </c>
      <c r="N51" s="2975" t="s">
        <v>2204</v>
      </c>
      <c r="O51" s="2975" t="s">
        <v>2205</v>
      </c>
    </row>
    <row r="52" spans="1:35" ht="24" customHeight="1">
      <c r="A52" s="182" t="s">
        <v>2206</v>
      </c>
      <c r="B52" s="3191" t="s">
        <v>2207</v>
      </c>
      <c r="C52" s="3191"/>
      <c r="D52" s="181">
        <f ca="1">ROUND(D45*'数据-取费表'!B41/(1+'数据-取费表'!C42),0)</f>
        <v>4825</v>
      </c>
      <c r="E52" s="11" t="s">
        <v>2208</v>
      </c>
      <c r="F52" s="183">
        <f>'数据-取费表'!B41</f>
        <v>5.6000000000000001E-2</v>
      </c>
      <c r="G52" s="2483"/>
      <c r="H52" s="137"/>
      <c r="I52" s="2481"/>
      <c r="J52" s="2976">
        <v>1</v>
      </c>
      <c r="K52" s="3166" t="s">
        <v>2209</v>
      </c>
      <c r="L52" s="3166"/>
      <c r="M52" s="1750">
        <f ca="1">D48</f>
        <v>4825</v>
      </c>
      <c r="N52" s="2976" t="str">
        <f>E48</f>
        <v>(销售额-原购置价)×税（费）率</v>
      </c>
      <c r="O52" s="1751">
        <f>F48</f>
        <v>5.6000000000000001E-2</v>
      </c>
    </row>
    <row r="53" spans="1:35" ht="12" customHeight="1">
      <c r="A53" s="182" t="s">
        <v>2210</v>
      </c>
      <c r="B53" s="3192" t="s">
        <v>2211</v>
      </c>
      <c r="C53" s="3193"/>
      <c r="D53" s="181">
        <f ca="1">ROUND(D45*'数据-取费表'!B41/(1+'数据-取费表'!C42),0)</f>
        <v>4825</v>
      </c>
      <c r="E53" s="11" t="s">
        <v>2208</v>
      </c>
      <c r="F53" s="183">
        <f>'数据-取费表'!B41</f>
        <v>5.6000000000000001E-2</v>
      </c>
      <c r="G53" s="2483"/>
      <c r="H53" s="137"/>
      <c r="I53" s="2481"/>
      <c r="J53" s="2976">
        <v>2</v>
      </c>
      <c r="K53" s="3166" t="s">
        <v>2212</v>
      </c>
      <c r="L53" s="3166"/>
      <c r="M53" s="1750">
        <f t="shared" ref="M53:O54" ca="1" si="0">D55</f>
        <v>45</v>
      </c>
      <c r="N53" s="2976" t="str">
        <f t="shared" si="0"/>
        <v>销售额×税（费）率</v>
      </c>
      <c r="O53" s="1751">
        <f t="shared" si="0"/>
        <v>5.0000000000000001E-4</v>
      </c>
    </row>
    <row r="54" spans="1:35" ht="12" customHeight="1">
      <c r="A54" s="182" t="s">
        <v>2213</v>
      </c>
      <c r="B54" s="3192" t="s">
        <v>2214</v>
      </c>
      <c r="C54" s="3193"/>
      <c r="D54" s="181">
        <f ca="1">C68</f>
        <v>4825</v>
      </c>
      <c r="E54" s="30" t="s">
        <v>2215</v>
      </c>
      <c r="F54" s="183">
        <f>'数据-取费表'!B41</f>
        <v>5.6000000000000001E-2</v>
      </c>
      <c r="G54" s="2483"/>
      <c r="H54" s="2484"/>
      <c r="I54" s="2481"/>
      <c r="J54" s="2976">
        <v>3</v>
      </c>
      <c r="K54" s="3166" t="s">
        <v>2216</v>
      </c>
      <c r="L54" s="3166"/>
      <c r="M54" s="1750">
        <f t="shared" ca="1" si="0"/>
        <v>665</v>
      </c>
      <c r="N54" s="2976" t="str">
        <f t="shared" si="0"/>
        <v>增值额×税（费）率</v>
      </c>
      <c r="O54" s="1752" t="str">
        <f t="shared" si="0"/>
        <v>——</v>
      </c>
    </row>
    <row r="55" spans="1:35" ht="24" customHeight="1">
      <c r="A55" s="3230" t="s">
        <v>2217</v>
      </c>
      <c r="B55" s="3212"/>
      <c r="C55" s="3212"/>
      <c r="D55" s="184">
        <f ca="1">IF(H55="个人住宅",0,ROUND(D45*I55,0))</f>
        <v>45</v>
      </c>
      <c r="E55" s="11" t="s">
        <v>2218</v>
      </c>
      <c r="F55" s="183">
        <f>IF(H55="正常",I55,"免征")</f>
        <v>5.0000000000000001E-4</v>
      </c>
      <c r="G55" s="2483"/>
      <c r="H55" s="2480" t="s">
        <v>2219</v>
      </c>
      <c r="I55" s="185">
        <f>'数据-取费表'!B49</f>
        <v>5.0000000000000001E-4</v>
      </c>
      <c r="J55" s="2976" t="str">
        <f>IF(H59="非个人房产","",4)</f>
        <v/>
      </c>
      <c r="K55" s="3166" t="str">
        <f>IF(H59="非个人房产","——","个人所得税")</f>
        <v>——</v>
      </c>
      <c r="L55" s="3166"/>
      <c r="M55" s="1753" t="str">
        <f>D59</f>
        <v>——</v>
      </c>
      <c r="N55" s="2977" t="str">
        <f>E59</f>
        <v>——</v>
      </c>
      <c r="O55" s="1754" t="str">
        <f>F59</f>
        <v>——</v>
      </c>
    </row>
    <row r="56" spans="1:35" ht="24.75">
      <c r="A56" s="3230" t="s">
        <v>2220</v>
      </c>
      <c r="B56" s="3212"/>
      <c r="C56" s="3212"/>
      <c r="D56" s="184">
        <f ca="1">IF(H56="个人住宅",D57,D58)</f>
        <v>665</v>
      </c>
      <c r="E56" s="11" t="s">
        <v>2221</v>
      </c>
      <c r="F56" s="183" t="str">
        <f>IF(H56="正常",F58,"免征")</f>
        <v>——</v>
      </c>
      <c r="G56" s="2485" t="s">
        <v>2222</v>
      </c>
      <c r="H56" s="2486" t="s">
        <v>2219</v>
      </c>
      <c r="I56" s="2487"/>
      <c r="J56" s="2976" t="str">
        <f>IF(项目基本情况!K6="上海银行",IF(J55="",4,J55+1),"")</f>
        <v/>
      </c>
      <c r="K56" s="3149" t="str">
        <f>IF(项目基本情况!K6="上海银行","其他处置费用","")</f>
        <v/>
      </c>
      <c r="L56" s="3150"/>
      <c r="M56" s="1750" t="str">
        <f>IF(项目基本情况!K6="上海银行",M69,"")</f>
        <v/>
      </c>
      <c r="N56" s="3152" t="str">
        <f>IF(项目基本情况!K6="上海银行","包含处置中涉及的律师、诉讼、拍卖、评估等费用","")</f>
        <v/>
      </c>
      <c r="O56" s="3153"/>
    </row>
    <row r="57" spans="1:35" ht="12.75">
      <c r="A57" s="182" t="s">
        <v>2195</v>
      </c>
      <c r="B57" s="3197" t="s">
        <v>2223</v>
      </c>
      <c r="C57" s="3198"/>
      <c r="D57" s="186">
        <v>0</v>
      </c>
      <c r="E57" s="23" t="s">
        <v>2197</v>
      </c>
      <c r="F57" s="154"/>
      <c r="G57" s="2483"/>
      <c r="H57" s="2487"/>
      <c r="I57" s="2487"/>
      <c r="J57" s="3166">
        <f>IF(AND(J55="",J56=""),4,IF(项目基本情况!K6="上海银行",'结果表 (3)'!J56+1,'结果表 (3)'!J55+1))</f>
        <v>4</v>
      </c>
      <c r="K57" s="3166" t="s">
        <v>2224</v>
      </c>
      <c r="L57" s="2488" t="s">
        <v>2225</v>
      </c>
      <c r="M57" s="1755"/>
      <c r="N57" s="1756">
        <f ca="1">SUMIF(M52:M56,"&lt;9e307")</f>
        <v>5535</v>
      </c>
      <c r="O57" s="2489"/>
      <c r="P57" s="1749">
        <f ca="1">N57/M49</f>
        <v>6.1186588695681013E-2</v>
      </c>
    </row>
    <row r="58" spans="1:35" ht="24.75">
      <c r="A58" s="182" t="s">
        <v>2206</v>
      </c>
      <c r="B58" s="3197" t="s">
        <v>2226</v>
      </c>
      <c r="C58" s="3210"/>
      <c r="D58" s="184">
        <f ca="1">IF(H58="转让取得",C81,C97)</f>
        <v>665</v>
      </c>
      <c r="E58" s="11" t="s">
        <v>2221</v>
      </c>
      <c r="F58" s="24" t="s">
        <v>34</v>
      </c>
      <c r="G58" s="2483"/>
      <c r="H58" s="2486" t="s">
        <v>3280</v>
      </c>
      <c r="I58" s="2487"/>
      <c r="J58" s="3166"/>
      <c r="K58" s="3166"/>
      <c r="L58" s="2488" t="s">
        <v>2228</v>
      </c>
      <c r="M58" s="1757"/>
      <c r="N58" s="2490" t="str">
        <f ca="1">NUMBERSTRING(INT(N57*10000),2)&amp;"元整"</f>
        <v>伍仟伍佰叁拾伍万元整</v>
      </c>
      <c r="O58" s="2491"/>
    </row>
    <row r="59" spans="1:35" ht="24.75" thickBot="1">
      <c r="A59" s="3170" t="s">
        <v>2229</v>
      </c>
      <c r="B59" s="3171"/>
      <c r="C59" s="3171"/>
      <c r="D59" s="187" t="str">
        <f>IF(H59="非个人房产","——",IF(H59="个人住宅",0,ROUND(D45*I59,0)))</f>
        <v>——</v>
      </c>
      <c r="E59" s="188" t="str">
        <f>IF(H59="非个人房产","——","销售额×税（费）率")</f>
        <v>——</v>
      </c>
      <c r="F59" s="189" t="str">
        <f>IF(H59="非个人房产","——",IF(H59="个人住宅","免征",I59))</f>
        <v>——</v>
      </c>
      <c r="G59" s="2492" t="s">
        <v>2222</v>
      </c>
      <c r="H59" s="2486" t="s">
        <v>2230</v>
      </c>
      <c r="I59" s="190">
        <v>0.01</v>
      </c>
      <c r="J59" s="3168">
        <f>J57+1</f>
        <v>5</v>
      </c>
      <c r="K59" s="3166" t="s">
        <v>2231</v>
      </c>
      <c r="L59" s="2976" t="s">
        <v>2225</v>
      </c>
      <c r="M59" s="1758"/>
      <c r="N59" s="1759">
        <f ca="1">M49-N57</f>
        <v>84926</v>
      </c>
      <c r="O59" s="2493"/>
    </row>
    <row r="60" spans="1:35" ht="12" customHeight="1">
      <c r="A60" s="2494"/>
      <c r="B60" s="2416"/>
      <c r="C60" s="2416"/>
      <c r="D60" s="2416"/>
      <c r="E60" s="2163"/>
      <c r="F60" s="2487"/>
      <c r="G60" s="2487"/>
      <c r="H60" s="2495"/>
      <c r="I60" s="137"/>
      <c r="J60" s="3169"/>
      <c r="K60" s="3166"/>
      <c r="L60" s="2488" t="s">
        <v>2228</v>
      </c>
      <c r="M60" s="1757"/>
      <c r="N60" s="2490" t="str">
        <f ca="1">NUMBERSTRING(INT(N59*10000),2)&amp;"元整"</f>
        <v>捌亿肆仟玖佰贰拾陆万元整</v>
      </c>
      <c r="O60" s="2491"/>
    </row>
    <row r="61" spans="1:35" ht="13.5" thickBot="1">
      <c r="A61" s="3229" t="s">
        <v>2232</v>
      </c>
      <c r="B61" s="3229"/>
      <c r="C61" s="3229"/>
      <c r="D61" s="3229"/>
      <c r="E61" s="3229"/>
      <c r="F61" s="2487"/>
      <c r="G61" s="2487"/>
      <c r="H61" s="2495"/>
      <c r="I61" s="137"/>
      <c r="J61" s="2976">
        <f>J59+1</f>
        <v>6</v>
      </c>
      <c r="K61" s="3166" t="s">
        <v>2233</v>
      </c>
      <c r="L61" s="3166"/>
      <c r="M61" s="1760"/>
      <c r="N61" s="1761">
        <f ca="1">ROUND(N59*10000/'数据-汇总表'!E3,0)</f>
        <v>24446</v>
      </c>
      <c r="O61" s="2496"/>
    </row>
    <row r="62" spans="1:35" ht="12.75">
      <c r="A62" s="3186" t="s">
        <v>2234</v>
      </c>
      <c r="B62" s="3187"/>
      <c r="C62" s="2973"/>
      <c r="D62" s="2973" t="s">
        <v>2235</v>
      </c>
      <c r="E62" s="191" t="s">
        <v>2236</v>
      </c>
      <c r="F62" s="2487"/>
      <c r="G62" s="2487"/>
      <c r="H62" s="2495"/>
      <c r="I62" s="137"/>
    </row>
    <row r="63" spans="1:35" ht="12.75">
      <c r="A63" s="202" t="s">
        <v>775</v>
      </c>
      <c r="B63" s="192" t="s">
        <v>2237</v>
      </c>
      <c r="C63" s="193">
        <f ca="1">ROUND((C64+C65)/(1+'数据-取费表'!C42),0)</f>
        <v>86153</v>
      </c>
      <c r="D63" s="194"/>
      <c r="E63" s="195"/>
      <c r="F63" s="2487"/>
      <c r="G63" s="2487"/>
      <c r="H63" s="2495"/>
      <c r="I63" s="137"/>
      <c r="J63" s="3151" t="s">
        <v>2238</v>
      </c>
      <c r="K63" s="2978" t="s">
        <v>2239</v>
      </c>
      <c r="L63" s="1748">
        <f ca="1">IF(M49&gt;10000,M49*0.5%,IF(AND(M49&gt;1000,M49&lt;=10000),M49*1%,IF(AND(M49&gt;100,M49&lt;=1000),M49*3%,IF(AND(M49&gt;10,M49&lt;=100),M49*5%,M49*8%))))</f>
        <v>452.30500000000001</v>
      </c>
      <c r="M63" s="24">
        <f ca="1">ROUND(L63,1)</f>
        <v>452.3</v>
      </c>
      <c r="Z63" s="2421"/>
      <c r="AI63" s="2422"/>
    </row>
    <row r="64" spans="1:35" ht="14.25" customHeight="1">
      <c r="A64" s="196" t="s">
        <v>770</v>
      </c>
      <c r="B64" s="197" t="s">
        <v>2240</v>
      </c>
      <c r="C64" s="198">
        <f ca="1">D45</f>
        <v>90461</v>
      </c>
      <c r="D64" s="199" t="s">
        <v>32</v>
      </c>
      <c r="E64" s="200"/>
      <c r="F64" s="2487"/>
      <c r="G64" s="2487"/>
      <c r="H64" s="2495"/>
      <c r="I64" s="137"/>
      <c r="J64" s="3151"/>
      <c r="K64" s="2978" t="s">
        <v>2241</v>
      </c>
      <c r="L64" s="1748">
        <f ca="1">IF(M49&gt;2000,M49*0.5%,IF(AND(M49&gt;1000,M49&lt;=2000),M49*0.6%,IF(AND(M49&gt;500,M49&lt;=1000),M49*0.7%,IF(AND(M49&gt;200,M49&lt;=500),M49*0.8%,IF(AND(M49&gt;100,M49&lt;=200),M49*0.9%,IF(AND(M49&gt;50,M49&lt;=100),M49*1%,IF(AND(M49&gt;20,M49&lt;=50),M49*1.5%,IF(AND(M49&gt;10,M49&lt;=20),M49*2%,IF(AND(M49&gt;1,M49&lt;=10),M49*2.5%)))))))))</f>
        <v>452.30500000000001</v>
      </c>
      <c r="M64" s="24">
        <f t="shared" ref="M64:M65" ca="1" si="1">ROUND(L64,1)</f>
        <v>452.3</v>
      </c>
      <c r="N64" s="137" t="s">
        <v>2242</v>
      </c>
      <c r="Z64" s="2421"/>
      <c r="AI64" s="2422"/>
    </row>
    <row r="65" spans="1:35" ht="14.25" customHeight="1">
      <c r="A65" s="196" t="s">
        <v>771</v>
      </c>
      <c r="B65" s="197" t="s">
        <v>2243</v>
      </c>
      <c r="C65" s="201"/>
      <c r="D65" s="199"/>
      <c r="E65" s="200"/>
      <c r="F65" s="2487"/>
      <c r="G65" s="2487"/>
      <c r="H65" s="2495"/>
      <c r="I65" s="137"/>
      <c r="J65" s="3151"/>
      <c r="K65" s="2978" t="s">
        <v>2244</v>
      </c>
      <c r="L65" s="1748">
        <f ca="1">IF(M49&gt;1000,M49*0.1%,IF(AND(M49&gt;500,M49&lt;=1000),M49*0.5%,IF(AND(M49&gt;50,M49&lt;=500),M49*1%,IF(AND(M49&gt;1,M49&lt;=50),M49*1.5%))))</f>
        <v>90.460999999999999</v>
      </c>
      <c r="M65" s="24">
        <f t="shared" ca="1" si="1"/>
        <v>90.5</v>
      </c>
      <c r="N65" s="137" t="s">
        <v>2242</v>
      </c>
      <c r="Z65" s="2421"/>
      <c r="AI65" s="2422"/>
    </row>
    <row r="66" spans="1:35" ht="14.25" customHeight="1">
      <c r="A66" s="202" t="s">
        <v>772</v>
      </c>
      <c r="B66" s="203" t="s">
        <v>2245</v>
      </c>
      <c r="C66" s="204"/>
      <c r="D66" s="205" t="s">
        <v>32</v>
      </c>
      <c r="E66" s="1772" t="s">
        <v>1367</v>
      </c>
      <c r="F66" s="2487"/>
      <c r="G66" s="2487"/>
      <c r="H66" s="2495"/>
      <c r="I66" s="137"/>
      <c r="J66" s="3151"/>
      <c r="K66" s="2978" t="s">
        <v>2246</v>
      </c>
      <c r="L66" s="1748">
        <f ca="1">M49*0.5%</f>
        <v>452.30500000000001</v>
      </c>
      <c r="M66" s="24">
        <f ca="1">IF(L66&gt;0.5,0.5,ROUND(L66,0))</f>
        <v>0.5</v>
      </c>
      <c r="N66" s="137" t="s">
        <v>2247</v>
      </c>
      <c r="Z66" s="2421"/>
      <c r="AI66" s="2422"/>
    </row>
    <row r="67" spans="1:35" ht="14.25" customHeight="1">
      <c r="A67" s="202" t="s">
        <v>773</v>
      </c>
      <c r="B67" s="203" t="s">
        <v>2248</v>
      </c>
      <c r="C67" s="206">
        <f ca="1">C63-C66</f>
        <v>86153</v>
      </c>
      <c r="D67" s="199" t="s">
        <v>32</v>
      </c>
      <c r="E67" s="200"/>
      <c r="F67" s="2487"/>
      <c r="G67" s="2487"/>
      <c r="H67" s="2495"/>
      <c r="I67" s="137"/>
      <c r="J67" s="3151"/>
      <c r="K67" s="2978" t="s">
        <v>2249</v>
      </c>
      <c r="L67" s="1748">
        <f ca="1">IF(M49&gt;=10000,(8.25+(M49-10000)*0.01%),IF(AND(M49&gt;=8000,M49&lt;10000),(7.85+(M49-8000)*0.02%),IF(AND(M49&gt;=5000,M49&lt;8000),(6.65+(M49-5000)*0.04%),IF(AND(M49&gt;=2000,M49&lt;5000),(4.25+(PM49-2000)*0.08%),IF(AND(M49&gt;=1000,M49&lt;2000),(2.75+(M49-1000)*0.15%),IF(AND(M49&gt;=100,M49&lt;1000),(0.5+(M49-100)*0.25%),IF(AND(M49&gt;0,M49&lt;100),M49*0.5%)))))))</f>
        <v>16.296100000000003</v>
      </c>
      <c r="M67" s="24">
        <f ca="1">ROUND(L67*0.9,1)</f>
        <v>14.7</v>
      </c>
      <c r="Z67" s="2421"/>
      <c r="AI67" s="2422"/>
    </row>
    <row r="68" spans="1:35" ht="14.25" customHeight="1" thickBot="1">
      <c r="A68" s="207" t="s">
        <v>774</v>
      </c>
      <c r="B68" s="208" t="s">
        <v>2250</v>
      </c>
      <c r="C68" s="209">
        <f ca="1">IF(C67&lt;=0,0,ROUND(C67*D68,0))</f>
        <v>4825</v>
      </c>
      <c r="D68" s="210">
        <f>'数据-取费表'!B41</f>
        <v>5.6000000000000001E-2</v>
      </c>
      <c r="E68" s="211"/>
      <c r="F68" s="2487"/>
      <c r="G68" s="2487"/>
      <c r="H68" s="2495"/>
      <c r="I68" s="137"/>
      <c r="J68" s="3151"/>
      <c r="K68" s="2978" t="s">
        <v>2251</v>
      </c>
      <c r="L68" s="1748">
        <f ca="1">IF(M49&gt;10000,M49*0.5%,IF(AND(M49&gt;5000,M49&lt;=10000),M49*1%,IF(AND(M49&gt;1000,M49&lt;=5000),M49*2%,IF(AND(M49&gt;200,M49&lt;=1000),M49*3%,M49*5%))))</f>
        <v>452.30500000000001</v>
      </c>
      <c r="M68" s="24">
        <f ca="1">ROUND(L68,1)</f>
        <v>452.3</v>
      </c>
      <c r="Z68" s="2421"/>
      <c r="AI68" s="2422"/>
    </row>
    <row r="69" spans="1:35" s="2444" customFormat="1" ht="16.5" customHeight="1">
      <c r="A69" s="2498"/>
      <c r="B69" s="2499"/>
      <c r="C69" s="2500"/>
      <c r="D69" s="2501"/>
      <c r="E69" s="2502"/>
      <c r="F69" s="2163"/>
      <c r="G69" s="2163"/>
      <c r="H69" s="2162"/>
      <c r="I69" s="2416"/>
      <c r="J69" s="3151"/>
      <c r="K69" s="2978" t="s">
        <v>2252</v>
      </c>
      <c r="L69" s="2503"/>
      <c r="M69" s="24">
        <f ca="1">ROUND(SUM(M63:M68),0)</f>
        <v>1463</v>
      </c>
      <c r="N69" s="1749">
        <f ca="1">M69/M49</f>
        <v>1.617271531378163E-2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95" t="s">
        <v>2253</v>
      </c>
      <c r="B70" s="3196"/>
      <c r="C70" s="3196"/>
      <c r="D70" s="3196"/>
      <c r="E70" s="3196"/>
      <c r="F70" s="3196"/>
      <c r="G70" s="3196"/>
      <c r="H70" s="319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86" t="s">
        <v>2234</v>
      </c>
      <c r="B71" s="3187"/>
      <c r="C71" s="2973"/>
      <c r="D71" s="2973" t="s">
        <v>2235</v>
      </c>
      <c r="E71" s="212" t="s">
        <v>2236</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2254</v>
      </c>
      <c r="C72" s="206">
        <f ca="1">ROUND(D45/(1+'数据-取费表'!C42),0)</f>
        <v>86153</v>
      </c>
      <c r="D72" s="199" t="s">
        <v>32</v>
      </c>
      <c r="E72" s="2972"/>
      <c r="F72" s="2967"/>
      <c r="G72" s="2967"/>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2255</v>
      </c>
      <c r="C73" s="206">
        <f ca="1">C74+C78</f>
        <v>83938</v>
      </c>
      <c r="D73" s="199" t="s">
        <v>32</v>
      </c>
      <c r="E73" s="2972"/>
      <c r="F73" s="2967"/>
      <c r="G73" s="2967"/>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2256</v>
      </c>
      <c r="C74" s="199">
        <f>ROUND(IF(G77="2016年5月1日后购买",C75/(1+'数据-取费表'!C42)+C76+C77,C75+C76+C77),0)</f>
        <v>83421</v>
      </c>
      <c r="D74" s="199" t="s">
        <v>32</v>
      </c>
      <c r="E74" s="2972"/>
      <c r="F74" s="2967"/>
      <c r="G74" s="2967"/>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2257</v>
      </c>
      <c r="C75" s="217">
        <v>85000</v>
      </c>
      <c r="D75" s="199" t="s">
        <v>32</v>
      </c>
      <c r="E75" s="218" t="s">
        <v>2258</v>
      </c>
      <c r="F75" s="2509" t="s">
        <v>2259</v>
      </c>
      <c r="G75" s="218" t="s">
        <v>2260</v>
      </c>
      <c r="H75" s="219">
        <v>0</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2261</v>
      </c>
      <c r="C76" s="199">
        <f>IF(F75="购房发票",ROUND(C75*H75*D76,0),0)</f>
        <v>0</v>
      </c>
      <c r="D76" s="221">
        <v>0.05</v>
      </c>
      <c r="E76" s="3192" t="s">
        <v>2262</v>
      </c>
      <c r="F76" s="3191"/>
      <c r="G76" s="3191"/>
      <c r="H76" s="319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2263</v>
      </c>
      <c r="C77" s="199">
        <f>ROUND(IF(G77="个人住宅",0,IF(G77="2016年5月1日前购买",C75*D77,C75*D77/(1+'数据-取费表'!C42))),0)</f>
        <v>2469</v>
      </c>
      <c r="D77" s="222">
        <f>'数据-取费表'!B48+'数据-取费表'!B49</f>
        <v>3.0499999999999999E-2</v>
      </c>
      <c r="E77" s="2979" t="s">
        <v>2264</v>
      </c>
      <c r="F77" s="223"/>
      <c r="G77" s="2511" t="s">
        <v>2265</v>
      </c>
      <c r="H77" s="297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2266</v>
      </c>
      <c r="C78" s="224">
        <f ca="1">ROUND(D45*D78/(1+'数据-取费表'!C42),0)</f>
        <v>517</v>
      </c>
      <c r="D78" s="225">
        <f>'数据-取费表'!B43</f>
        <v>6.000000000000001E-3</v>
      </c>
      <c r="E78" s="3183" t="s">
        <v>2267</v>
      </c>
      <c r="F78" s="3184"/>
      <c r="G78" s="3184"/>
      <c r="H78" s="318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3" t="s">
        <v>2268</v>
      </c>
      <c r="C79" s="206">
        <f ca="1">C72-C73</f>
        <v>2215</v>
      </c>
      <c r="D79" s="199" t="s">
        <v>32</v>
      </c>
      <c r="E79" s="2972"/>
      <c r="F79" s="2967"/>
      <c r="G79" s="2967"/>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2269</v>
      </c>
      <c r="C80" s="226">
        <f ca="1">IF(C79&lt;=0,0,C79/C73)</f>
        <v>2.6388524863589793E-2</v>
      </c>
      <c r="D80" s="199" t="s">
        <v>32</v>
      </c>
      <c r="E80" s="2979" t="str">
        <f ca="1">IF(C80&gt;=200%,"增值额超过扣除项目金额200%",IF(C80&gt;=100%,"增值额超过扣除项目金额100%，未超过200%",IF(C80&gt;=50%,"增值额超过扣除项目金额50%，未超过100%",IF(C80&lt;50%,"增值额未超过扣除项目金额50%"))))</f>
        <v>增值额未超过扣除项目金额50%</v>
      </c>
      <c r="F80" s="2967"/>
      <c r="G80" s="2967"/>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2270</v>
      </c>
      <c r="C81" s="227">
        <f ca="1">ROUND(IF(C79&lt;=0,0,IF(C80&gt;=200%,C79*60%-C73*35%,IF(C80&gt;=100%,C79*50%-C73*15%,IF(C80&gt;=50%,C79*40%-C73*5%,IF(C80&lt;50%,C79*30%,0))))),0)</f>
        <v>665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95" t="s">
        <v>2271</v>
      </c>
      <c r="B83" s="3196"/>
      <c r="C83" s="3196"/>
      <c r="D83" s="3196"/>
      <c r="E83" s="3196"/>
      <c r="F83" s="3196"/>
      <c r="G83" s="3196"/>
      <c r="H83" s="319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86" t="s">
        <v>2234</v>
      </c>
      <c r="B84" s="3187"/>
      <c r="C84" s="2973"/>
      <c r="D84" s="2973" t="s">
        <v>2235</v>
      </c>
      <c r="E84" s="212" t="s">
        <v>2236</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2254</v>
      </c>
      <c r="C85" s="206">
        <f ca="1">ROUND(D45/(1+'数据-取费表'!C42),0)</f>
        <v>86153</v>
      </c>
      <c r="D85" s="199" t="s">
        <v>32</v>
      </c>
      <c r="E85" s="2972"/>
      <c r="F85" s="2967"/>
      <c r="G85" s="2967"/>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2255</v>
      </c>
      <c r="C86" s="206">
        <f ca="1">IF(H88="仅含出让金",C87+C90+C91+C92+C93+C94,C87+C91+C92+C93+C94)</f>
        <v>517</v>
      </c>
      <c r="D86" s="234"/>
      <c r="E86" s="2972"/>
      <c r="F86" s="2967"/>
      <c r="G86" s="2967"/>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2272</v>
      </c>
      <c r="C87" s="224">
        <f>C88+C89</f>
        <v>0</v>
      </c>
      <c r="D87" s="225"/>
      <c r="E87" s="2968"/>
      <c r="F87" s="2969"/>
      <c r="G87" s="2969"/>
      <c r="H87" s="297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2273</v>
      </c>
      <c r="C88" s="235"/>
      <c r="D88" s="225"/>
      <c r="E88" s="236" t="s">
        <v>2274</v>
      </c>
      <c r="F88" s="2969"/>
      <c r="G88" s="237"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2263</v>
      </c>
      <c r="C89" s="224">
        <f>ROUND(C88*D89,0)</f>
        <v>0</v>
      </c>
      <c r="D89" s="225">
        <f>'数据-取费表'!B48+'数据-取费表'!B49</f>
        <v>3.0499999999999999E-2</v>
      </c>
      <c r="E89" s="236" t="s">
        <v>2276</v>
      </c>
      <c r="F89" s="2969"/>
      <c r="G89" s="2969"/>
      <c r="H89" s="297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2277</v>
      </c>
      <c r="C90" s="235"/>
      <c r="D90" s="225"/>
      <c r="E90" s="236" t="str">
        <f>IF(H88="-","土地取得成本中已包含该笔费用"," ")</f>
        <v xml:space="preserve"> </v>
      </c>
      <c r="F90" s="2969"/>
      <c r="G90" s="2969"/>
      <c r="H90" s="297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2278</v>
      </c>
      <c r="B91" s="197" t="s">
        <v>2279</v>
      </c>
      <c r="C91" s="224">
        <f>IF(H91="——",成本法!C33,I91)</f>
        <v>0</v>
      </c>
      <c r="D91" s="225"/>
      <c r="E91" s="3183" t="s">
        <v>2280</v>
      </c>
      <c r="F91" s="3184"/>
      <c r="G91" s="3184"/>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2282</v>
      </c>
      <c r="B92" s="197" t="s">
        <v>2283</v>
      </c>
      <c r="C92" s="224">
        <f>ROUND((C87+C90+C91)*D92,0)</f>
        <v>0</v>
      </c>
      <c r="D92" s="225">
        <v>0.1</v>
      </c>
      <c r="E92" s="3183" t="s">
        <v>2284</v>
      </c>
      <c r="F92" s="3184"/>
      <c r="G92" s="3184"/>
      <c r="H92" s="318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2285</v>
      </c>
      <c r="B93" s="197" t="s">
        <v>2266</v>
      </c>
      <c r="C93" s="224">
        <f ca="1">ROUND(D45*D93/(1+'数据-取费表'!C42),0)</f>
        <v>517</v>
      </c>
      <c r="D93" s="225">
        <f>'数据-取费表'!B43</f>
        <v>6.000000000000001E-3</v>
      </c>
      <c r="E93" s="3183" t="s">
        <v>2267</v>
      </c>
      <c r="F93" s="3184"/>
      <c r="G93" s="3184"/>
      <c r="H93" s="318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2286</v>
      </c>
      <c r="B94" s="197" t="s">
        <v>2287</v>
      </c>
      <c r="C94" s="235">
        <f>ROUND((C87+C90+C91)*D94,0)</f>
        <v>0</v>
      </c>
      <c r="D94" s="225">
        <v>0.2</v>
      </c>
      <c r="E94" s="3231" t="s">
        <v>2288</v>
      </c>
      <c r="F94" s="3232"/>
      <c r="G94" s="3232"/>
      <c r="H94" s="323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3" t="s">
        <v>2268</v>
      </c>
      <c r="C95" s="206">
        <f ca="1">ROUND(C85-C86,0)</f>
        <v>85636</v>
      </c>
      <c r="D95" s="199" t="s">
        <v>32</v>
      </c>
      <c r="E95" s="2972"/>
      <c r="F95" s="2967"/>
      <c r="G95" s="2967"/>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2269</v>
      </c>
      <c r="C96" s="226">
        <f ca="1">IF(C95&lt;=0,0,C95/C86)</f>
        <v>165.64023210831721</v>
      </c>
      <c r="D96" s="199" t="s">
        <v>32</v>
      </c>
      <c r="E96" s="2979"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2270</v>
      </c>
      <c r="C97" s="227">
        <f ca="1">ROUND(IF(C95&lt;=0,0,IF(C96&gt;=200%,C95*60%-C86*35%,IF(C96&gt;=100%,C95*50%-C86*15%,IF(C96&gt;=50%,C95*40%-C86*5%,IF(C96&lt;50%,C95*30%,0))))),0)</f>
        <v>51201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7"/>
    </row>
    <row r="99" spans="1:35" ht="21.75" customHeight="1" thickBot="1">
      <c r="A99" s="2472" t="s">
        <v>2289</v>
      </c>
      <c r="B99" s="2416"/>
      <c r="C99" s="2416"/>
      <c r="D99" s="2416"/>
      <c r="E99" s="2163"/>
      <c r="F99" s="2163"/>
      <c r="G99" s="2163"/>
      <c r="H99" s="2162"/>
      <c r="I99" s="137"/>
    </row>
    <row r="100" spans="1:35" ht="18.75" customHeight="1">
      <c r="A100" s="3135" t="s">
        <v>2290</v>
      </c>
      <c r="B100" s="3136"/>
      <c r="C100" s="3136"/>
      <c r="D100" s="3167"/>
      <c r="E100" s="3136" t="s">
        <v>2291</v>
      </c>
      <c r="F100" s="3136"/>
      <c r="G100" s="3136"/>
      <c r="H100" s="3167"/>
      <c r="I100" s="137"/>
    </row>
    <row r="101" spans="1:35" ht="18.75" customHeight="1">
      <c r="A101" s="3175" t="s">
        <v>2292</v>
      </c>
      <c r="B101" s="3176"/>
      <c r="C101" s="735" t="str">
        <f>C4</f>
        <v>收益法 (元)</v>
      </c>
      <c r="D101" s="736" t="str">
        <f>D4</f>
        <v>典型户型修正车位</v>
      </c>
      <c r="E101" s="3147" t="s">
        <v>2293</v>
      </c>
      <c r="F101" s="3148"/>
      <c r="G101" s="2518" t="s">
        <v>2294</v>
      </c>
      <c r="H101" s="1044">
        <f ca="1">H118</f>
        <v>90461</v>
      </c>
      <c r="I101" s="137"/>
    </row>
    <row r="102" spans="1:35" ht="18.75" customHeight="1">
      <c r="A102" s="3177" t="s">
        <v>2295</v>
      </c>
      <c r="B102" s="2518" t="s">
        <v>2294</v>
      </c>
      <c r="C102" s="735">
        <f ca="1">C19</f>
        <v>733</v>
      </c>
      <c r="D102" s="736">
        <f ca="1">D19</f>
        <v>3327</v>
      </c>
      <c r="E102" s="3147"/>
      <c r="F102" s="3148"/>
      <c r="G102" s="2518" t="s">
        <v>2296</v>
      </c>
      <c r="H102" s="370">
        <f ca="1">I118</f>
        <v>26039</v>
      </c>
      <c r="I102" s="137"/>
    </row>
    <row r="103" spans="1:35" ht="42.75" customHeight="1">
      <c r="A103" s="3177"/>
      <c r="B103" s="2518" t="s">
        <v>2296</v>
      </c>
      <c r="C103" s="737">
        <f ca="1">C20</f>
        <v>2060</v>
      </c>
      <c r="D103" s="738">
        <f ca="1">D20</f>
        <v>9347</v>
      </c>
      <c r="E103" s="3141" t="s">
        <v>2297</v>
      </c>
      <c r="F103" s="3142"/>
      <c r="G103" s="2519" t="s">
        <v>2298</v>
      </c>
      <c r="H103" s="1044">
        <f>IF(D36="正常操作",H104+H105+H106,H105+H106)</f>
        <v>0</v>
      </c>
      <c r="I103" s="137"/>
    </row>
    <row r="104" spans="1:35" ht="18.75" customHeight="1">
      <c r="A104" s="3177" t="s">
        <v>2299</v>
      </c>
      <c r="B104" s="2520" t="s">
        <v>2294</v>
      </c>
      <c r="C104" s="739">
        <f ca="1">H118</f>
        <v>90461</v>
      </c>
      <c r="D104" s="740"/>
      <c r="E104" s="2264" t="s">
        <v>2300</v>
      </c>
      <c r="F104" s="2255"/>
      <c r="G104" s="2519" t="s">
        <v>2298</v>
      </c>
      <c r="H104" s="1045">
        <f>IF(D36="同一抵押权人同一抵押物续贷",C36&amp;"（未扣减，详见特别提示）",C36)</f>
        <v>0</v>
      </c>
      <c r="I104" s="137"/>
    </row>
    <row r="105" spans="1:35" ht="18.75" customHeight="1" thickBot="1">
      <c r="A105" s="3189"/>
      <c r="B105" s="2521" t="s">
        <v>2296</v>
      </c>
      <c r="C105" s="741">
        <f ca="1">I118</f>
        <v>26039</v>
      </c>
      <c r="D105" s="742"/>
      <c r="E105" s="2264" t="s">
        <v>2301</v>
      </c>
      <c r="F105" s="2255"/>
      <c r="G105" s="2519" t="s">
        <v>2298</v>
      </c>
      <c r="H105" s="1045">
        <f>C37</f>
        <v>0</v>
      </c>
      <c r="I105" s="137"/>
    </row>
    <row r="106" spans="1:35" ht="18.75" customHeight="1">
      <c r="A106" s="2416" t="s">
        <v>2302</v>
      </c>
      <c r="B106" s="2416"/>
      <c r="C106" s="2416"/>
      <c r="D106" s="2416"/>
      <c r="E106" s="2522" t="s">
        <v>2303</v>
      </c>
      <c r="F106" s="2255"/>
      <c r="G106" s="2519" t="s">
        <v>2298</v>
      </c>
      <c r="H106" s="1045">
        <f>C38</f>
        <v>0</v>
      </c>
      <c r="I106" s="137"/>
    </row>
    <row r="107" spans="1:35" ht="18.75" customHeight="1">
      <c r="A107" s="137"/>
      <c r="B107" s="137"/>
      <c r="C107" s="137"/>
      <c r="D107" s="137"/>
      <c r="E107" s="3178" t="str">
        <f>IF(项目基本情况!E8="已注销","——","3.房地产抵押价值")</f>
        <v>3.房地产抵押价值</v>
      </c>
      <c r="F107" s="3148"/>
      <c r="G107" s="2518" t="s">
        <v>2294</v>
      </c>
      <c r="H107" s="1044">
        <f ca="1">IF(E107="——","——",H101-H103)</f>
        <v>90461</v>
      </c>
      <c r="I107" s="137"/>
    </row>
    <row r="108" spans="1:35" ht="18.75" customHeight="1">
      <c r="A108" s="137"/>
      <c r="B108" s="137"/>
      <c r="C108" s="137"/>
      <c r="D108" s="137"/>
      <c r="E108" s="3178"/>
      <c r="F108" s="3148"/>
      <c r="G108" s="2518" t="s">
        <v>2296</v>
      </c>
      <c r="H108" s="370">
        <f ca="1">ROUND(H107*10000/'数据-汇总表'!E3,0)</f>
        <v>26039</v>
      </c>
      <c r="I108" s="137"/>
    </row>
    <row r="109" spans="1:35" ht="18.75" customHeight="1">
      <c r="A109" s="137"/>
      <c r="B109" s="137"/>
      <c r="C109" s="137"/>
      <c r="D109" s="137"/>
      <c r="E109" s="3178" t="str">
        <f>IF(项目基本情况!E8="已注销及未注销","4.抵押担保权已注销时的房地产抵押价值",IF(项目基本情况!E8="已注销","3.抵押担保权已注销时的房地产抵押价值","——"))</f>
        <v>——</v>
      </c>
      <c r="F109" s="3148"/>
      <c r="G109" s="2518" t="s">
        <v>2294</v>
      </c>
      <c r="H109" s="347" t="str">
        <f>IF(E109="——","——",H101-H105-H106)</f>
        <v>——</v>
      </c>
      <c r="I109" s="137"/>
    </row>
    <row r="110" spans="1:35" ht="18.75" customHeight="1">
      <c r="A110" s="137"/>
      <c r="B110" s="137"/>
      <c r="C110" s="137"/>
      <c r="D110" s="137"/>
      <c r="E110" s="3178"/>
      <c r="F110" s="3148"/>
      <c r="G110" s="2518" t="s">
        <v>2296</v>
      </c>
      <c r="H110" s="370" t="str">
        <f>IF(H109="——","——",ROUND(H109*10000/'数据-汇总表'!E3,0))</f>
        <v>——</v>
      </c>
      <c r="I110" s="137"/>
    </row>
    <row r="111" spans="1:35" ht="18.75" customHeight="1">
      <c r="A111" s="137"/>
      <c r="B111" s="137"/>
      <c r="C111" s="137"/>
      <c r="D111" s="137"/>
      <c r="E111" s="3179" t="str">
        <f>IF(项目基本情况!E9="抵押净值",IF(OR(项目基本情况!E8="已注销",项目基本情况!E8="房地产抵押价值"),"4.抵押净值","5.抵押净值"),"——")</f>
        <v>4.抵押净值</v>
      </c>
      <c r="F111" s="3180"/>
      <c r="G111" s="2518" t="s">
        <v>2294</v>
      </c>
      <c r="H111" s="1044">
        <f ca="1">IF(E111="——","——",N59)</f>
        <v>84926</v>
      </c>
      <c r="I111" s="137"/>
    </row>
    <row r="112" spans="1:35" ht="18.75" customHeight="1" thickBot="1">
      <c r="A112" s="137"/>
      <c r="B112" s="137"/>
      <c r="C112" s="137"/>
      <c r="D112" s="137"/>
      <c r="E112" s="3181"/>
      <c r="F112" s="3182"/>
      <c r="G112" s="2523" t="s">
        <v>2296</v>
      </c>
      <c r="H112" s="789">
        <f ca="1">IF(E111="——","——",N61)</f>
        <v>24446</v>
      </c>
      <c r="I112" s="137"/>
    </row>
    <row r="113" spans="1:11" ht="18.75" customHeight="1">
      <c r="A113" s="137"/>
      <c r="B113" s="137"/>
      <c r="C113" s="137"/>
      <c r="D113" s="137"/>
      <c r="E113" s="3190" t="s">
        <v>2302</v>
      </c>
      <c r="F113" s="3190"/>
      <c r="G113" s="3190"/>
      <c r="H113" s="3190"/>
      <c r="I113" s="137"/>
    </row>
    <row r="114" spans="1:11" ht="3.75" customHeight="1">
      <c r="A114" s="2416"/>
      <c r="B114" s="2416"/>
      <c r="C114" s="2416"/>
      <c r="D114" s="2416"/>
      <c r="E114" s="2494"/>
      <c r="F114" s="2494"/>
      <c r="G114" s="2494"/>
      <c r="H114" s="2494"/>
      <c r="I114" s="2416"/>
    </row>
    <row r="115" spans="1:11" ht="18.75" customHeight="1">
      <c r="A115" s="3203" t="s">
        <v>2304</v>
      </c>
      <c r="B115" s="3204"/>
      <c r="C115" s="3204"/>
      <c r="D115" s="3204"/>
      <c r="E115" s="3204"/>
      <c r="F115" s="3204"/>
      <c r="G115" s="3204"/>
      <c r="H115" s="3204"/>
      <c r="I115" s="3205"/>
    </row>
    <row r="116" spans="1:11" ht="27" customHeight="1">
      <c r="A116" s="3114" t="s">
        <v>2305</v>
      </c>
      <c r="B116" s="3157" t="s">
        <v>3282</v>
      </c>
      <c r="C116" s="3157" t="s">
        <v>3283</v>
      </c>
      <c r="D116" s="3163" t="s">
        <v>2308</v>
      </c>
      <c r="E116" s="3164"/>
      <c r="F116" s="3199" t="s">
        <v>3281</v>
      </c>
      <c r="G116" s="3199"/>
      <c r="H116" s="3114" t="s">
        <v>2310</v>
      </c>
      <c r="I116" s="3114"/>
    </row>
    <row r="117" spans="1:11" ht="18.75" customHeight="1">
      <c r="A117" s="3114"/>
      <c r="B117" s="3158"/>
      <c r="C117" s="3158"/>
      <c r="D117" s="2965" t="s">
        <v>2311</v>
      </c>
      <c r="E117" s="2965" t="s">
        <v>2312</v>
      </c>
      <c r="F117" s="2965" t="s">
        <v>2311</v>
      </c>
      <c r="G117" s="2965" t="s">
        <v>2313</v>
      </c>
      <c r="H117" s="2965" t="s">
        <v>2311</v>
      </c>
      <c r="I117" s="2965" t="s">
        <v>2313</v>
      </c>
    </row>
    <row r="118" spans="1:11" ht="24.75" customHeight="1">
      <c r="A118" s="2524" t="str">
        <f>项目基本情况!S2</f>
        <v>北京市朝阳区北苑路28号院1号楼房地产</v>
      </c>
      <c r="B118" s="2965">
        <f>M18</f>
        <v>34740.85</v>
      </c>
      <c r="C118" s="2965">
        <f>M19</f>
        <v>10186.06</v>
      </c>
      <c r="D118" s="2965">
        <f ca="1">结果表!D118+'结果表 (2)'!D118</f>
        <v>70051</v>
      </c>
      <c r="E118" s="2965">
        <f ca="1">ROUND(IF(C33="自定义",IF(D32="楼面单价",C34,D118*10000/B118),I118-G118),0)</f>
        <v>20164</v>
      </c>
      <c r="F118" s="2965">
        <f ca="1">结果表!F118+'结果表 (2)'!F118</f>
        <v>20410</v>
      </c>
      <c r="G118" s="2965">
        <f ca="1">ROUND(IF(D32="楼面单价",C35,F118*10000/B118),0)</f>
        <v>5875</v>
      </c>
      <c r="H118" s="2965">
        <f ca="1">结果表!H118+'结果表 (2)'!H118</f>
        <v>90461</v>
      </c>
      <c r="I118" s="2965">
        <f ca="1">ROUND(IF(D32="楼面单价",C32,H118*10000/B118),0)</f>
        <v>26039</v>
      </c>
    </row>
    <row r="119" spans="1:11" ht="18.75" customHeight="1">
      <c r="A119" s="3114" t="s">
        <v>2314</v>
      </c>
      <c r="B119" s="3114"/>
      <c r="C119" s="3114"/>
      <c r="D119" s="3159" t="str">
        <f ca="1">NUMBERSTRING(INT(D118*10000),2)&amp;"元整"</f>
        <v>柒亿零伍拾壹万元整</v>
      </c>
      <c r="E119" s="3160"/>
      <c r="F119" s="3159" t="str">
        <f ca="1">NUMBERSTRING(INT(F118*10000),2)&amp;"元整"</f>
        <v>贰亿零肆佰壹拾万元整</v>
      </c>
      <c r="G119" s="3160"/>
      <c r="H119" s="3159" t="str">
        <f ca="1">NUMBERSTRING(INT(H118*10000),2)&amp;"元整"</f>
        <v>玖亿零肆佰陆拾壹万元整</v>
      </c>
      <c r="I119" s="3160"/>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1" t="str">
        <f>IF(D120=0,"故，本次评估不存在"&amp;A120,"故，本次评估"&amp;A120&amp;"为人民币"&amp;D120&amp;"万元整。")</f>
        <v>故，本次评估不存在估价师知悉的法定优先受偿款</v>
      </c>
    </row>
    <row r="121" spans="1:11" ht="18.75" customHeight="1">
      <c r="A121" s="3200" t="s">
        <v>2314</v>
      </c>
      <c r="B121" s="3201"/>
      <c r="C121" s="3202"/>
      <c r="D121" s="3159" t="str">
        <f>IF(D120=0,"零元整",NUMBERSTRING(INT(D120*10000),2)&amp;"元整")</f>
        <v>零元整</v>
      </c>
      <c r="E121" s="3161"/>
      <c r="F121" s="3161"/>
      <c r="G121" s="3161"/>
      <c r="H121" s="3161"/>
      <c r="I121" s="3160"/>
    </row>
    <row r="122" spans="1:11" ht="18.75" customHeight="1">
      <c r="A122" s="3165" t="str">
        <f>IF(项目基本情况!B9="房地产市场价值","",MID(E107,3,LEN(E107)-2))</f>
        <v>房地产抵押价值</v>
      </c>
      <c r="B122" s="3165"/>
      <c r="C122" s="3165"/>
      <c r="D122" s="3154">
        <f ca="1">H107</f>
        <v>90461</v>
      </c>
      <c r="E122" s="3155"/>
      <c r="F122" s="3155"/>
      <c r="G122" s="3155"/>
      <c r="H122" s="3155"/>
      <c r="I122" s="3156"/>
    </row>
    <row r="123" spans="1:11" ht="18.75" customHeight="1">
      <c r="A123" s="3114" t="s">
        <v>2314</v>
      </c>
      <c r="B123" s="3114"/>
      <c r="C123" s="3114"/>
      <c r="D123" s="3159" t="str">
        <f ca="1">NUMBERSTRING(INT(D122*10000),2)&amp;"元整"</f>
        <v>玖亿零肆佰陆拾壹万元整</v>
      </c>
      <c r="E123" s="3161"/>
      <c r="F123" s="3161"/>
      <c r="G123" s="3161"/>
      <c r="H123" s="3161"/>
      <c r="I123" s="3160"/>
    </row>
    <row r="124" spans="1:11" ht="18.75" customHeight="1">
      <c r="A124" s="3165" t="str">
        <f>IF(项目基本情况!B9="房地产市场价值","",MID(E109,3,LEN(E109)-2))</f>
        <v/>
      </c>
      <c r="B124" s="3165"/>
      <c r="C124" s="3165"/>
      <c r="D124" s="3154" t="str">
        <f>H109</f>
        <v>——</v>
      </c>
      <c r="E124" s="3155"/>
      <c r="F124" s="3155"/>
      <c r="G124" s="3155"/>
      <c r="H124" s="3155"/>
      <c r="I124" s="3156"/>
    </row>
    <row r="125" spans="1:11" ht="18.75" customHeight="1">
      <c r="A125" s="3114" t="s">
        <v>2314</v>
      </c>
      <c r="B125" s="3114"/>
      <c r="C125" s="3114"/>
      <c r="D125" s="3159" t="e">
        <f>NUMBERSTRING(INT(D124*10000),2)&amp;"元整"</f>
        <v>#VALUE!</v>
      </c>
      <c r="E125" s="3161"/>
      <c r="F125" s="3161"/>
      <c r="G125" s="3161"/>
      <c r="H125" s="3161"/>
      <c r="I125" s="3160"/>
    </row>
    <row r="126" spans="1:11" ht="18.75" customHeight="1">
      <c r="A126" s="3165" t="str">
        <f>IF(项目基本情况!B9="房地产市场价值","",MID(E111,3,LEN(E111)-2))</f>
        <v>抵押净值</v>
      </c>
      <c r="B126" s="3165"/>
      <c r="C126" s="3165"/>
      <c r="D126" s="3154">
        <f ca="1">H111</f>
        <v>84926</v>
      </c>
      <c r="E126" s="3155"/>
      <c r="F126" s="3155"/>
      <c r="G126" s="3155"/>
      <c r="H126" s="3155"/>
      <c r="I126" s="3156"/>
    </row>
    <row r="127" spans="1:11" ht="18.75" customHeight="1">
      <c r="A127" s="3114" t="s">
        <v>2314</v>
      </c>
      <c r="B127" s="3114"/>
      <c r="C127" s="3114"/>
      <c r="D127" s="3159" t="str">
        <f ca="1">NUMBERSTRING(INT(D126*10000),2)&amp;"元整"</f>
        <v>捌亿肆仟玖佰贰拾陆万元整</v>
      </c>
      <c r="E127" s="3161"/>
      <c r="F127" s="3161"/>
      <c r="G127" s="3161"/>
      <c r="H127" s="3161"/>
      <c r="I127" s="3160"/>
    </row>
    <row r="128" spans="1:11" ht="21.75" customHeight="1">
      <c r="A128" s="3162" t="s">
        <v>2315</v>
      </c>
      <c r="B128" s="3162"/>
      <c r="C128" s="3162"/>
      <c r="D128" s="3162"/>
      <c r="E128" s="3162"/>
      <c r="F128" s="3162"/>
      <c r="G128" s="3162"/>
      <c r="H128" s="3162"/>
      <c r="I128" s="3162"/>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2318</v>
      </c>
      <c r="G135" s="2542"/>
      <c r="H135" s="2542"/>
      <c r="I135" s="2543" t="s">
        <v>2319</v>
      </c>
    </row>
    <row r="136" spans="1:35" ht="21.75" customHeight="1">
      <c r="A136" s="794"/>
      <c r="B136" s="2544"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2321</v>
      </c>
    </row>
    <row r="139" spans="1:35" ht="21.75" customHeight="1">
      <c r="A139" s="794"/>
      <c r="B139" s="2544" t="s">
        <v>2322</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2321</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128"/>
  <sheetViews>
    <sheetView workbookViewId="0">
      <selection activeCell="G10" sqref="G10"/>
    </sheetView>
  </sheetViews>
  <sheetFormatPr defaultRowHeight="16.5"/>
  <cols>
    <col min="1" max="4" width="9" style="2983"/>
    <col min="5" max="5" width="9.75" style="2983" bestFit="1" customWidth="1"/>
    <col min="6" max="6" width="9" style="2983"/>
    <col min="7" max="7" width="10.625" style="2983" bestFit="1" customWidth="1"/>
    <col min="8" max="16384" width="9" style="2983"/>
  </cols>
  <sheetData>
    <row r="5" spans="4:8">
      <c r="D5" s="2983" t="s">
        <v>3073</v>
      </c>
      <c r="E5" s="2983" t="s">
        <v>3074</v>
      </c>
      <c r="F5" s="2983" t="s">
        <v>3075</v>
      </c>
    </row>
    <row r="6" spans="4:8">
      <c r="D6" s="2983">
        <v>1</v>
      </c>
      <c r="E6" s="2983">
        <v>5971.11</v>
      </c>
      <c r="F6" s="3387">
        <v>8</v>
      </c>
      <c r="G6" s="2983">
        <v>1</v>
      </c>
    </row>
    <row r="7" spans="4:8">
      <c r="D7" s="2983">
        <v>2</v>
      </c>
      <c r="E7" s="2983">
        <v>5964.67</v>
      </c>
      <c r="F7" s="2983">
        <f>$F$6*G7</f>
        <v>5.6</v>
      </c>
      <c r="G7" s="2983">
        <f>典型户型修正商业!D18/100</f>
        <v>0.7</v>
      </c>
    </row>
    <row r="8" spans="4:8">
      <c r="D8" s="2983">
        <v>3</v>
      </c>
      <c r="E8" s="2983">
        <v>6506.73</v>
      </c>
      <c r="F8" s="2983">
        <f t="shared" ref="F8:F10" si="0">$F$6*G8</f>
        <v>4.8</v>
      </c>
      <c r="G8" s="2983">
        <f>典型户型修正商业!E18/100</f>
        <v>0.6</v>
      </c>
    </row>
    <row r="9" spans="4:8">
      <c r="D9" s="2983">
        <v>4</v>
      </c>
      <c r="E9" s="2983">
        <v>6522.04</v>
      </c>
      <c r="F9" s="2983">
        <f t="shared" si="0"/>
        <v>4</v>
      </c>
      <c r="G9" s="2983">
        <f>典型户型修正商业!F18/100</f>
        <v>0.5</v>
      </c>
      <c r="H9" s="2983">
        <f>E6+E7+E8+E9</f>
        <v>24964.55</v>
      </c>
    </row>
    <row r="10" spans="4:8">
      <c r="D10" s="2983" t="s">
        <v>3076</v>
      </c>
      <c r="E10" s="2983">
        <v>6216.72</v>
      </c>
      <c r="F10" s="2983">
        <f t="shared" si="0"/>
        <v>4</v>
      </c>
      <c r="G10" s="2983">
        <f>典型户型修正商业!G18/100</f>
        <v>0.5</v>
      </c>
    </row>
    <row r="11" spans="4:8">
      <c r="D11" s="2983" t="s">
        <v>3072</v>
      </c>
      <c r="E11" s="3387">
        <v>3559.58</v>
      </c>
      <c r="F11" s="3387"/>
      <c r="G11" s="3387"/>
    </row>
    <row r="12" spans="4:8">
      <c r="D12" s="2983" t="s">
        <v>3077</v>
      </c>
      <c r="E12" s="2983">
        <f>SUM(E6:E11)</f>
        <v>34740.85</v>
      </c>
      <c r="F12" s="2983">
        <f>ROUND((E6*F6+E7*F7+E8*F8+E9*F9+E10*F10)/H12,2)</f>
        <v>5.24</v>
      </c>
      <c r="H12" s="2983">
        <f>SUM(E6:E10)</f>
        <v>31181.27</v>
      </c>
    </row>
    <row r="119" spans="1:9" ht="17.25" thickBot="1"/>
    <row r="120" spans="1:9" ht="25.5" customHeight="1" thickTop="1">
      <c r="A120" s="3391" t="s">
        <v>3292</v>
      </c>
      <c r="B120" s="3391" t="s">
        <v>3282</v>
      </c>
      <c r="C120" s="3391" t="s">
        <v>3293</v>
      </c>
      <c r="D120" s="3393" t="s">
        <v>3294</v>
      </c>
      <c r="E120" s="3394"/>
      <c r="F120" s="3393" t="s">
        <v>3281</v>
      </c>
      <c r="G120" s="3394"/>
      <c r="H120" s="3393" t="s">
        <v>3295</v>
      </c>
      <c r="I120" s="3394"/>
    </row>
    <row r="121" spans="1:9">
      <c r="A121" s="3392"/>
      <c r="B121" s="3392"/>
      <c r="C121" s="3392"/>
      <c r="D121" s="3388" t="s">
        <v>3296</v>
      </c>
      <c r="E121" s="3388" t="s">
        <v>3297</v>
      </c>
      <c r="F121" s="3388" t="s">
        <v>3298</v>
      </c>
      <c r="G121" s="3388" t="s">
        <v>3297</v>
      </c>
      <c r="H121" s="3388" t="s">
        <v>3298</v>
      </c>
      <c r="I121" s="3388" t="s">
        <v>3297</v>
      </c>
    </row>
    <row r="122" spans="1:9" ht="63.75">
      <c r="A122" s="3389" t="s">
        <v>3299</v>
      </c>
      <c r="B122" s="3390">
        <v>34740.85</v>
      </c>
      <c r="C122" s="3390">
        <v>10186.06</v>
      </c>
      <c r="D122" s="3390">
        <f ca="1">'结果表 (2)'!D118+结果表!D118</f>
        <v>70051</v>
      </c>
      <c r="E122" s="3390">
        <f ca="1">ROUND(D122/B122*10000,0)</f>
        <v>20164</v>
      </c>
      <c r="F122" s="3390">
        <f ca="1">结果表!F118+'结果表 (2)'!F118</f>
        <v>20410</v>
      </c>
      <c r="G122" s="3390">
        <f ca="1">ROUND(F122/B122*10000,0)</f>
        <v>5875</v>
      </c>
      <c r="H122" s="3390">
        <f ca="1">D122+F122</f>
        <v>90461</v>
      </c>
      <c r="I122" s="3390">
        <f ca="1">E122+G122</f>
        <v>26039</v>
      </c>
    </row>
    <row r="123" spans="1:9" ht="22.5" customHeight="1">
      <c r="A123" s="3395" t="s">
        <v>3300</v>
      </c>
      <c r="B123" s="3396"/>
      <c r="C123" s="3397"/>
      <c r="D123" s="3411">
        <f ca="1">D122*10000</f>
        <v>700510000</v>
      </c>
      <c r="E123" s="3412"/>
      <c r="F123" s="3411">
        <f ca="1">F122*10000</f>
        <v>204100000</v>
      </c>
      <c r="G123" s="3412"/>
      <c r="H123" s="3413">
        <f ca="1">H122*10000</f>
        <v>904610000</v>
      </c>
      <c r="I123" s="3414"/>
    </row>
    <row r="124" spans="1:9">
      <c r="A124" s="3400" t="s">
        <v>3301</v>
      </c>
      <c r="B124" s="3401"/>
      <c r="C124" s="3402"/>
      <c r="D124" s="3403">
        <v>0</v>
      </c>
      <c r="E124" s="3404"/>
      <c r="F124" s="3404"/>
      <c r="G124" s="3404"/>
      <c r="H124" s="3404"/>
      <c r="I124" s="3405"/>
    </row>
    <row r="125" spans="1:9">
      <c r="A125" s="3395" t="s">
        <v>3300</v>
      </c>
      <c r="B125" s="3396"/>
      <c r="C125" s="3397"/>
      <c r="D125" s="3398" t="s">
        <v>3302</v>
      </c>
      <c r="E125" s="3406"/>
      <c r="F125" s="3406"/>
      <c r="G125" s="3406"/>
      <c r="H125" s="3406"/>
      <c r="I125" s="3399"/>
    </row>
    <row r="126" spans="1:9" ht="25.5" customHeight="1">
      <c r="A126" s="3400" t="s">
        <v>3303</v>
      </c>
      <c r="B126" s="3401"/>
      <c r="C126" s="3402"/>
      <c r="D126" s="3407">
        <f ca="1">H122</f>
        <v>90461</v>
      </c>
      <c r="E126" s="3408"/>
      <c r="F126" s="3408"/>
      <c r="G126" s="3408"/>
      <c r="H126" s="3408"/>
      <c r="I126" s="3409"/>
    </row>
    <row r="127" spans="1:9">
      <c r="A127" s="3395" t="s">
        <v>3300</v>
      </c>
      <c r="B127" s="3396"/>
      <c r="C127" s="3397"/>
      <c r="D127" s="3413">
        <f ca="1">H123</f>
        <v>904610000</v>
      </c>
      <c r="E127" s="3396"/>
      <c r="F127" s="3396"/>
      <c r="G127" s="3396"/>
      <c r="H127" s="3396"/>
      <c r="I127" s="3397"/>
    </row>
    <row r="128" spans="1:9">
      <c r="A128" s="3410" t="s">
        <v>3304</v>
      </c>
      <c r="B128"/>
      <c r="C128"/>
      <c r="D128"/>
      <c r="E128"/>
      <c r="F128"/>
      <c r="G128"/>
      <c r="H128"/>
      <c r="I128"/>
    </row>
  </sheetData>
  <mergeCells count="18">
    <mergeCell ref="A125:C125"/>
    <mergeCell ref="D125:I125"/>
    <mergeCell ref="A126:C126"/>
    <mergeCell ref="D126:I126"/>
    <mergeCell ref="A127:C127"/>
    <mergeCell ref="D127:I127"/>
    <mergeCell ref="A123:C123"/>
    <mergeCell ref="D123:E123"/>
    <mergeCell ref="F123:G123"/>
    <mergeCell ref="H123:I123"/>
    <mergeCell ref="A124:C124"/>
    <mergeCell ref="D124:I124"/>
    <mergeCell ref="A120:A121"/>
    <mergeCell ref="B120:B121"/>
    <mergeCell ref="C120:C121"/>
    <mergeCell ref="D120:E120"/>
    <mergeCell ref="F120:G120"/>
    <mergeCell ref="H120:I120"/>
  </mergeCells>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7"/>
  <sheetViews>
    <sheetView workbookViewId="0">
      <selection activeCell="C20" sqref="C20"/>
    </sheetView>
  </sheetViews>
  <sheetFormatPr defaultRowHeight="13.5"/>
  <cols>
    <col min="1" max="1" width="8.75" style="1737" bestFit="1" customWidth="1"/>
    <col min="2" max="2" width="14.75" style="1737" bestFit="1" customWidth="1"/>
    <col min="3" max="3" width="20.625" style="1737" bestFit="1" customWidth="1"/>
    <col min="4" max="4" width="15.625" style="1737" bestFit="1" customWidth="1"/>
    <col min="5" max="5" width="10.875" style="1737" bestFit="1" customWidth="1"/>
    <col min="6" max="8" width="9" style="1737"/>
    <col min="9" max="9" width="10.5" style="1737" bestFit="1" customWidth="1"/>
    <col min="10" max="10" width="11.875" style="1737" customWidth="1"/>
    <col min="11" max="11" width="13.875" style="1737" customWidth="1"/>
    <col min="12" max="16384" width="9" style="1737"/>
  </cols>
  <sheetData>
    <row r="3" spans="1:11">
      <c r="A3" s="1737" t="s">
        <v>3078</v>
      </c>
      <c r="B3" s="2984">
        <v>1</v>
      </c>
    </row>
    <row r="4" spans="1:11">
      <c r="A4" s="1737" t="s">
        <v>3079</v>
      </c>
      <c r="B4" s="2984">
        <v>0</v>
      </c>
    </row>
    <row r="6" spans="1:11">
      <c r="A6" s="1737" t="s">
        <v>3080</v>
      </c>
      <c r="B6" s="1737" t="s">
        <v>3081</v>
      </c>
      <c r="C6" s="1737" t="s">
        <v>3082</v>
      </c>
      <c r="D6" s="1737" t="s">
        <v>3083</v>
      </c>
      <c r="E6" s="1737" t="s">
        <v>3084</v>
      </c>
    </row>
    <row r="7" spans="1:11">
      <c r="A7" s="2984" t="s">
        <v>27</v>
      </c>
      <c r="B7" s="2985">
        <v>19170.71</v>
      </c>
      <c r="C7" s="2985">
        <v>6.132676776471996</v>
      </c>
      <c r="D7" s="2985">
        <v>117567.76800547946</v>
      </c>
      <c r="E7" s="2985">
        <v>8</v>
      </c>
      <c r="I7" s="2986"/>
    </row>
    <row r="8" spans="1:11">
      <c r="A8" s="2984" t="s">
        <v>1373</v>
      </c>
      <c r="B8" s="2985">
        <v>8336.16</v>
      </c>
      <c r="C8" s="2985">
        <v>4.9361339329589811</v>
      </c>
      <c r="D8" s="2985">
        <v>41148.402246575337</v>
      </c>
      <c r="E8" s="2985">
        <v>20</v>
      </c>
      <c r="I8" s="2986"/>
      <c r="J8" s="2986"/>
      <c r="K8" s="2986"/>
    </row>
    <row r="9" spans="1:11">
      <c r="A9" s="2984" t="s">
        <v>3085</v>
      </c>
      <c r="B9" s="2987">
        <v>27506.87</v>
      </c>
      <c r="C9" s="2988">
        <v>5.7700556352669263</v>
      </c>
      <c r="D9" s="2989">
        <v>158716.17025205476</v>
      </c>
      <c r="E9" s="2989">
        <v>28</v>
      </c>
      <c r="I9" s="2986"/>
    </row>
    <row r="10" spans="1:11">
      <c r="I10" s="2986"/>
    </row>
    <row r="11" spans="1:11">
      <c r="I11" s="2986"/>
    </row>
    <row r="15" spans="1:11">
      <c r="B15" s="2986"/>
      <c r="C15" s="2988"/>
    </row>
    <row r="16" spans="1:11">
      <c r="B16" s="2986"/>
      <c r="C16" s="2988"/>
    </row>
    <row r="17" spans="3:3">
      <c r="C17" s="2988"/>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59" t="str">
        <f>IF(项目基本情况!B9="房地产市场价值","估价结果一览表","结果表-2")</f>
        <v>结果表-2</v>
      </c>
      <c r="B1" s="3059"/>
      <c r="C1" s="3059"/>
      <c r="D1" s="3059"/>
      <c r="E1" s="3059"/>
      <c r="F1" s="3059"/>
      <c r="G1" s="3059"/>
      <c r="H1" s="3059"/>
      <c r="I1" s="3059"/>
    </row>
    <row r="2" spans="1:9" ht="30" customHeight="1" thickTop="1">
      <c r="A2" s="3060" t="s">
        <v>1637</v>
      </c>
      <c r="B2" s="3060" t="s">
        <v>1638</v>
      </c>
      <c r="C2" s="3060" t="s">
        <v>1639</v>
      </c>
      <c r="D2" s="3060" t="str">
        <f>结果表!D116</f>
        <v>出让国有建设用地使用权价值</v>
      </c>
      <c r="E2" s="3060"/>
      <c r="F2" s="3060" t="str">
        <f>结果表!F116</f>
        <v>在建建筑物价值</v>
      </c>
      <c r="G2" s="3060"/>
      <c r="H2" s="3060" t="str">
        <f>IF(项目基本情况!B9="房地产市场价值","房地产市场价值","房地产价值")</f>
        <v>房地产价值</v>
      </c>
      <c r="I2" s="3060"/>
    </row>
    <row r="3" spans="1:9" ht="15">
      <c r="A3" s="3061"/>
      <c r="B3" s="3061"/>
      <c r="C3" s="3061"/>
      <c r="D3" s="1043" t="s">
        <v>1634</v>
      </c>
      <c r="E3" s="1043" t="s">
        <v>1640</v>
      </c>
      <c r="F3" s="1043" t="s">
        <v>1634</v>
      </c>
      <c r="G3" s="1043" t="s">
        <v>1635</v>
      </c>
      <c r="H3" s="1043" t="s">
        <v>1634</v>
      </c>
      <c r="I3" s="1043" t="s">
        <v>1635</v>
      </c>
    </row>
    <row r="4" spans="1:9" ht="30">
      <c r="A4" s="1972" t="str">
        <f>项目基本情况!S2</f>
        <v>北京市朝阳区北苑路28号院1号楼房地产</v>
      </c>
      <c r="B4" s="1043">
        <f>项目基本情况!C17</f>
        <v>34740.85</v>
      </c>
      <c r="C4" s="1043">
        <f>项目基本情况!C18</f>
        <v>10186.06</v>
      </c>
      <c r="D4" s="1043">
        <f ca="1">结果表!D118</f>
        <v>68951</v>
      </c>
      <c r="E4" s="1043">
        <f ca="1">结果表!E118</f>
        <v>22113</v>
      </c>
      <c r="F4" s="1043">
        <f ca="1">结果表!F118</f>
        <v>19221</v>
      </c>
      <c r="G4" s="1043">
        <f ca="1">结果表!G118</f>
        <v>6164</v>
      </c>
      <c r="H4" s="1043">
        <f ca="1">结果表!H118</f>
        <v>88172</v>
      </c>
      <c r="I4" s="1043">
        <f ca="1">结果表!I118</f>
        <v>28277</v>
      </c>
    </row>
    <row r="5" spans="1:9" ht="30" customHeight="1">
      <c r="A5" s="3061" t="s">
        <v>1636</v>
      </c>
      <c r="B5" s="3061"/>
      <c r="C5" s="3061"/>
      <c r="D5" s="3062" t="str">
        <f ca="1">结果表!D119</f>
        <v>陆亿捌仟玖佰伍拾壹万元整</v>
      </c>
      <c r="E5" s="3062"/>
      <c r="F5" s="3062" t="str">
        <f ca="1">结果表!F119</f>
        <v>壹亿玖仟贰佰贰拾壹万元整</v>
      </c>
      <c r="G5" s="3062"/>
      <c r="H5" s="3062" t="str">
        <f ca="1">结果表!H119</f>
        <v>捌亿捌仟壹佰柒拾贰万元整</v>
      </c>
      <c r="I5" s="3062"/>
    </row>
    <row r="6" spans="1:9" ht="15.75">
      <c r="A6" s="3063" t="str">
        <f>结果表!A120</f>
        <v>估价师知悉的法定优先受偿款</v>
      </c>
      <c r="B6" s="3063"/>
      <c r="C6" s="3063"/>
      <c r="D6" s="3063">
        <f>结果表!D120</f>
        <v>0</v>
      </c>
      <c r="E6" s="3063"/>
      <c r="F6" s="3063"/>
      <c r="G6" s="3063"/>
      <c r="H6" s="3063"/>
      <c r="I6" s="3063"/>
    </row>
    <row r="7" spans="1:9" ht="15">
      <c r="A7" s="3061" t="s">
        <v>1636</v>
      </c>
      <c r="B7" s="3061"/>
      <c r="C7" s="3061"/>
      <c r="D7" s="3064" t="str">
        <f>结果表!D121</f>
        <v>零元整</v>
      </c>
      <c r="E7" s="3065"/>
      <c r="F7" s="3065"/>
      <c r="G7" s="3065"/>
      <c r="H7" s="3065"/>
      <c r="I7" s="3066"/>
    </row>
    <row r="8" spans="1:9" ht="15.75">
      <c r="A8" s="3063" t="str">
        <f>结果表!A122</f>
        <v>房地产抵押价值</v>
      </c>
      <c r="B8" s="3063"/>
      <c r="C8" s="3063"/>
      <c r="D8" s="3063">
        <f ca="1">结果表!D122</f>
        <v>88172</v>
      </c>
      <c r="E8" s="3063"/>
      <c r="F8" s="3063"/>
      <c r="G8" s="3063"/>
      <c r="H8" s="3063"/>
      <c r="I8" s="3063"/>
    </row>
    <row r="9" spans="1:9" ht="15">
      <c r="A9" s="3061" t="s">
        <v>1636</v>
      </c>
      <c r="B9" s="3061"/>
      <c r="C9" s="3061"/>
      <c r="D9" s="3062" t="str">
        <f ca="1">结果表!D123</f>
        <v>捌亿捌仟壹佰柒拾贰万元整</v>
      </c>
      <c r="E9" s="3062"/>
      <c r="F9" s="3062"/>
      <c r="G9" s="3062"/>
      <c r="H9" s="3062"/>
      <c r="I9" s="3062"/>
    </row>
    <row r="10" spans="1:9" ht="15.75">
      <c r="A10" s="3063" t="str">
        <f>结果表!A124</f>
        <v/>
      </c>
      <c r="B10" s="3063"/>
      <c r="C10" s="3063"/>
      <c r="D10" s="3063" t="str">
        <f>结果表!D124</f>
        <v>——</v>
      </c>
      <c r="E10" s="3063"/>
      <c r="F10" s="3063"/>
      <c r="G10" s="3063"/>
      <c r="H10" s="3063"/>
      <c r="I10" s="3063"/>
    </row>
    <row r="11" spans="1:9" ht="15">
      <c r="A11" s="3061" t="s">
        <v>1636</v>
      </c>
      <c r="B11" s="3061"/>
      <c r="C11" s="3061"/>
      <c r="D11" s="3062" t="e">
        <f>结果表!D125</f>
        <v>#VALUE!</v>
      </c>
      <c r="E11" s="3062"/>
      <c r="F11" s="3062"/>
      <c r="G11" s="3062"/>
      <c r="H11" s="3062"/>
      <c r="I11" s="3062"/>
    </row>
    <row r="12" spans="1:9" ht="15.75">
      <c r="A12" s="3063" t="str">
        <f>结果表!A126</f>
        <v>抵押净值</v>
      </c>
      <c r="B12" s="3063"/>
      <c r="C12" s="3063"/>
      <c r="D12" s="3063">
        <f ca="1">结果表!D126</f>
        <v>38223</v>
      </c>
      <c r="E12" s="3063"/>
      <c r="F12" s="3063"/>
      <c r="G12" s="3063"/>
      <c r="H12" s="3063"/>
      <c r="I12" s="3063"/>
    </row>
    <row r="13" spans="1:9" ht="15.75" thickBot="1">
      <c r="A13" s="3067" t="s">
        <v>1636</v>
      </c>
      <c r="B13" s="3067"/>
      <c r="C13" s="3067"/>
      <c r="D13" s="3068" t="str">
        <f ca="1">结果表!D127</f>
        <v>叁亿捌仟贰佰贰拾叁万元整</v>
      </c>
      <c r="E13" s="3068"/>
      <c r="F13" s="3068"/>
      <c r="G13" s="3068"/>
      <c r="H13" s="3068"/>
      <c r="I13" s="3068"/>
    </row>
    <row r="14" spans="1:9" ht="15" thickTop="1">
      <c r="A14" s="3069" t="s">
        <v>1641</v>
      </c>
      <c r="B14" s="3069"/>
      <c r="C14" s="3069"/>
      <c r="D14" s="3069"/>
      <c r="E14" s="3069"/>
      <c r="F14" s="3069"/>
      <c r="G14" s="3069"/>
      <c r="H14" s="3069"/>
      <c r="I14" s="3069"/>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88"/>
  <sheetViews>
    <sheetView zoomScale="80" zoomScaleNormal="80" workbookViewId="0">
      <pane xSplit="1" ySplit="4" topLeftCell="B23" activePane="bottomRight" state="frozen"/>
      <selection activeCell="C8" sqref="C8"/>
      <selection pane="topRight" activeCell="C8" sqref="C8"/>
      <selection pane="bottomLeft" activeCell="C8" sqref="C8"/>
      <selection pane="bottomRight" activeCell="F19" sqref="F19"/>
    </sheetView>
  </sheetViews>
  <sheetFormatPr defaultRowHeight="13.5"/>
  <cols>
    <col min="1" max="5" width="9" style="1737"/>
    <col min="6" max="6" width="16.875" style="1737" customWidth="1"/>
    <col min="7" max="7" width="9" style="1737"/>
    <col min="8" max="8" width="8.875" style="1737" bestFit="1" customWidth="1"/>
    <col min="9" max="9" width="10" style="1737" customWidth="1"/>
    <col min="10" max="10" width="12" style="1737" customWidth="1"/>
    <col min="11" max="11" width="13.25" style="1737" customWidth="1"/>
    <col min="12" max="12" width="8.875" style="3009" bestFit="1" customWidth="1"/>
    <col min="13" max="13" width="11.25" style="3009" customWidth="1"/>
    <col min="14" max="14" width="9.625" style="1737" bestFit="1" customWidth="1"/>
    <col min="15" max="15" width="19" style="1737" bestFit="1" customWidth="1"/>
    <col min="16" max="16" width="14.125" style="1737" customWidth="1"/>
    <col min="17" max="16384" width="9" style="1737"/>
  </cols>
  <sheetData>
    <row r="4" spans="2:17" ht="14.25">
      <c r="B4" s="1737" t="s">
        <v>3086</v>
      </c>
      <c r="C4" s="1737" t="s">
        <v>3087</v>
      </c>
      <c r="D4" s="1737" t="s">
        <v>3088</v>
      </c>
      <c r="E4" s="1737" t="s">
        <v>3089</v>
      </c>
      <c r="F4" s="2990" t="s">
        <v>3090</v>
      </c>
      <c r="G4" s="2990" t="s">
        <v>3091</v>
      </c>
      <c r="H4" s="2990" t="s">
        <v>3092</v>
      </c>
      <c r="I4" s="2990" t="s">
        <v>3093</v>
      </c>
      <c r="J4" s="2990" t="s">
        <v>3094</v>
      </c>
      <c r="K4" s="2990" t="s">
        <v>3095</v>
      </c>
      <c r="L4" s="2991" t="s">
        <v>3096</v>
      </c>
      <c r="M4" s="2992" t="s">
        <v>3097</v>
      </c>
      <c r="N4" s="2991" t="s">
        <v>3098</v>
      </c>
      <c r="Q4" s="2993"/>
    </row>
    <row r="5" spans="2:17" ht="14.25">
      <c r="B5" s="1737" t="s">
        <v>3099</v>
      </c>
      <c r="C5" s="1737">
        <f>IF(F5="空置",0,1)</f>
        <v>1</v>
      </c>
      <c r="D5" s="1737">
        <v>1</v>
      </c>
      <c r="E5" s="1737">
        <v>0</v>
      </c>
      <c r="F5" s="2993" t="s">
        <v>3100</v>
      </c>
      <c r="G5" s="2994" t="s">
        <v>3101</v>
      </c>
      <c r="H5" s="2995">
        <v>101</v>
      </c>
      <c r="I5" s="2996">
        <v>320</v>
      </c>
      <c r="J5" s="2997">
        <v>43466</v>
      </c>
      <c r="K5" s="2997">
        <v>43830</v>
      </c>
      <c r="L5" s="2998">
        <f>269732.65*4/365/320</f>
        <v>9.237419520547947</v>
      </c>
      <c r="M5" s="2999">
        <f>L5*I5</f>
        <v>2955.9742465753429</v>
      </c>
      <c r="Q5" s="2993"/>
    </row>
    <row r="6" spans="2:17" ht="14.25">
      <c r="B6" s="1737" t="s">
        <v>3099</v>
      </c>
      <c r="C6" s="1737">
        <f t="shared" ref="C6:C72" si="0">IF(F6="空置",0,1)</f>
        <v>1</v>
      </c>
      <c r="D6" s="1737">
        <v>1</v>
      </c>
      <c r="E6" s="1737">
        <v>1</v>
      </c>
      <c r="F6" s="3000" t="str">
        <f t="shared" ref="F6:I14" si="1">F5</f>
        <v>必胜客</v>
      </c>
      <c r="G6" s="3001" t="str">
        <f t="shared" si="1"/>
        <v>1F</v>
      </c>
      <c r="H6" s="3002">
        <f t="shared" si="1"/>
        <v>101</v>
      </c>
      <c r="I6" s="3003">
        <f t="shared" si="1"/>
        <v>320</v>
      </c>
      <c r="J6" s="3004">
        <v>43831</v>
      </c>
      <c r="K6" s="3004">
        <v>44196</v>
      </c>
      <c r="L6" s="2998">
        <f>298483.99*4/365/320</f>
        <v>10.222054452054795</v>
      </c>
      <c r="M6" s="2999">
        <f t="shared" ref="M6:M74" si="2">L6*I6</f>
        <v>3271.0574246575343</v>
      </c>
      <c r="O6" s="2986">
        <f>M5+M15+M17+M19+M22+M24+M26+M28+M30+M32+M34+M37+M39+M42+M45+M46+M50+M54+M57+M58+M61+M64+M66+M68+M70+M72+M74+M75+M76</f>
        <v>184136.33025205479</v>
      </c>
      <c r="Q6" s="2993"/>
    </row>
    <row r="7" spans="2:17" ht="14.25">
      <c r="B7" s="1737" t="s">
        <v>3102</v>
      </c>
      <c r="C7" s="1737">
        <f t="shared" si="0"/>
        <v>1</v>
      </c>
      <c r="D7" s="1737">
        <v>1</v>
      </c>
      <c r="E7" s="1737">
        <v>1</v>
      </c>
      <c r="F7" s="3000" t="str">
        <f t="shared" si="1"/>
        <v>必胜客</v>
      </c>
      <c r="G7" s="3001" t="str">
        <f t="shared" si="1"/>
        <v>1F</v>
      </c>
      <c r="H7" s="3002">
        <f t="shared" si="1"/>
        <v>101</v>
      </c>
      <c r="I7" s="3003">
        <f t="shared" si="1"/>
        <v>320</v>
      </c>
      <c r="J7" s="3005">
        <v>44197</v>
      </c>
      <c r="K7" s="3005">
        <v>44561</v>
      </c>
      <c r="L7" s="2998">
        <f>302935.6*4/365/320</f>
        <v>10.374506849315068</v>
      </c>
      <c r="M7" s="2999">
        <f t="shared" si="2"/>
        <v>3319.8421917808218</v>
      </c>
      <c r="O7" s="3047">
        <f>I5+I15+I17+I19+I22+I24+I26+I28+I30+I32+I34+I37+I39+I42+I45+I46+I50+I54+I57+I58+I61+I64+I66+I68+I70+I72+I74+I76+I44</f>
        <v>27537.87</v>
      </c>
      <c r="Q7" s="2993"/>
    </row>
    <row r="8" spans="2:17" ht="14.25">
      <c r="B8" s="1737" t="s">
        <v>3102</v>
      </c>
      <c r="C8" s="1737">
        <f t="shared" si="0"/>
        <v>1</v>
      </c>
      <c r="D8" s="1737">
        <v>1</v>
      </c>
      <c r="E8" s="1737">
        <v>1</v>
      </c>
      <c r="F8" s="3000" t="str">
        <f t="shared" si="1"/>
        <v>必胜客</v>
      </c>
      <c r="G8" s="3001" t="str">
        <f t="shared" si="1"/>
        <v>1F</v>
      </c>
      <c r="H8" s="3002">
        <f t="shared" si="1"/>
        <v>101</v>
      </c>
      <c r="I8" s="3003">
        <f t="shared" si="1"/>
        <v>320</v>
      </c>
      <c r="J8" s="3005">
        <v>44562</v>
      </c>
      <c r="K8" s="3005">
        <v>44926</v>
      </c>
      <c r="L8" s="2998">
        <f>328332.39*4/365/320</f>
        <v>11.24425993150685</v>
      </c>
      <c r="M8" s="2999">
        <f t="shared" si="2"/>
        <v>3598.1631780821917</v>
      </c>
      <c r="O8" s="3036">
        <f>O6/O7</f>
        <v>6.6866584181004125</v>
      </c>
      <c r="Q8" s="2993"/>
    </row>
    <row r="9" spans="2:17" ht="14.25">
      <c r="B9" s="1737" t="s">
        <v>3102</v>
      </c>
      <c r="C9" s="1737">
        <f t="shared" si="0"/>
        <v>1</v>
      </c>
      <c r="D9" s="1737">
        <v>1</v>
      </c>
      <c r="E9" s="1737">
        <v>1</v>
      </c>
      <c r="F9" s="3000" t="str">
        <f t="shared" si="1"/>
        <v>必胜客</v>
      </c>
      <c r="G9" s="3001" t="str">
        <f t="shared" si="1"/>
        <v>1F</v>
      </c>
      <c r="H9" s="3002">
        <f t="shared" si="1"/>
        <v>101</v>
      </c>
      <c r="I9" s="3003">
        <f t="shared" si="1"/>
        <v>320</v>
      </c>
      <c r="J9" s="3005">
        <v>44927</v>
      </c>
      <c r="K9" s="3005">
        <v>45291</v>
      </c>
      <c r="L9" s="2998">
        <f>333229.16*4/365/320</f>
        <v>11.411957534246575</v>
      </c>
      <c r="M9" s="2999">
        <f t="shared" si="2"/>
        <v>3651.826410958904</v>
      </c>
      <c r="Q9" s="2993"/>
    </row>
    <row r="10" spans="2:17" ht="14.25">
      <c r="B10" s="1737" t="s">
        <v>3102</v>
      </c>
      <c r="C10" s="1737">
        <f t="shared" si="0"/>
        <v>1</v>
      </c>
      <c r="D10" s="1737">
        <v>1</v>
      </c>
      <c r="E10" s="1737">
        <v>1</v>
      </c>
      <c r="F10" s="3000" t="str">
        <f t="shared" si="1"/>
        <v>必胜客</v>
      </c>
      <c r="G10" s="3001" t="str">
        <f t="shared" si="1"/>
        <v>1F</v>
      </c>
      <c r="H10" s="3002">
        <f t="shared" si="1"/>
        <v>101</v>
      </c>
      <c r="I10" s="3003">
        <f t="shared" si="1"/>
        <v>320</v>
      </c>
      <c r="J10" s="3005">
        <v>45292</v>
      </c>
      <c r="K10" s="3005">
        <v>45657</v>
      </c>
      <c r="L10" s="2998">
        <v>12.368685958904109</v>
      </c>
      <c r="M10" s="2999">
        <f t="shared" si="2"/>
        <v>3957.9795068493149</v>
      </c>
      <c r="Q10" s="2993"/>
    </row>
    <row r="11" spans="2:17" ht="14.25">
      <c r="B11" s="1737" t="s">
        <v>3102</v>
      </c>
      <c r="C11" s="1737">
        <f t="shared" si="0"/>
        <v>1</v>
      </c>
      <c r="D11" s="1737">
        <v>1</v>
      </c>
      <c r="E11" s="1737">
        <v>1</v>
      </c>
      <c r="F11" s="3000" t="str">
        <f t="shared" si="1"/>
        <v>必胜客</v>
      </c>
      <c r="G11" s="3001" t="str">
        <f t="shared" si="1"/>
        <v>1F</v>
      </c>
      <c r="H11" s="3002">
        <f t="shared" si="1"/>
        <v>101</v>
      </c>
      <c r="I11" s="3003">
        <f t="shared" si="1"/>
        <v>320</v>
      </c>
      <c r="J11" s="3005">
        <v>45658</v>
      </c>
      <c r="K11" s="3005">
        <v>46022</v>
      </c>
      <c r="L11" s="2998">
        <v>12.552126027397261</v>
      </c>
      <c r="M11" s="2999">
        <f t="shared" si="2"/>
        <v>4016.6803287671237</v>
      </c>
      <c r="Q11" s="2993"/>
    </row>
    <row r="12" spans="2:17" ht="14.25">
      <c r="B12" s="1737" t="s">
        <v>3102</v>
      </c>
      <c r="C12" s="1737">
        <f t="shared" si="0"/>
        <v>1</v>
      </c>
      <c r="D12" s="1737">
        <v>1</v>
      </c>
      <c r="E12" s="1737">
        <v>1</v>
      </c>
      <c r="F12" s="3000" t="str">
        <f t="shared" si="1"/>
        <v>必胜客</v>
      </c>
      <c r="G12" s="3001" t="str">
        <f t="shared" si="1"/>
        <v>1F</v>
      </c>
      <c r="H12" s="3002">
        <f t="shared" si="1"/>
        <v>101</v>
      </c>
      <c r="I12" s="3003">
        <f t="shared" si="1"/>
        <v>320</v>
      </c>
      <c r="J12" s="3005">
        <v>46023</v>
      </c>
      <c r="K12" s="3005">
        <v>46387</v>
      </c>
      <c r="L12" s="2998">
        <v>13.605554794520549</v>
      </c>
      <c r="M12" s="2999">
        <f t="shared" si="2"/>
        <v>4353.7775342465757</v>
      </c>
      <c r="Q12" s="2993"/>
    </row>
    <row r="13" spans="2:17" ht="14.25">
      <c r="B13" s="1737" t="s">
        <v>3102</v>
      </c>
      <c r="C13" s="1737">
        <f t="shared" si="0"/>
        <v>1</v>
      </c>
      <c r="D13" s="1737">
        <v>1</v>
      </c>
      <c r="E13" s="1737">
        <v>1</v>
      </c>
      <c r="F13" s="3000" t="str">
        <f t="shared" si="1"/>
        <v>必胜客</v>
      </c>
      <c r="G13" s="3001" t="str">
        <f t="shared" si="1"/>
        <v>1F</v>
      </c>
      <c r="H13" s="3002">
        <f t="shared" si="1"/>
        <v>101</v>
      </c>
      <c r="I13" s="3003">
        <f t="shared" si="1"/>
        <v>320</v>
      </c>
      <c r="J13" s="3005">
        <v>46388</v>
      </c>
      <c r="K13" s="3005">
        <v>46752</v>
      </c>
      <c r="L13" s="2998">
        <v>13.808469178082191</v>
      </c>
      <c r="M13" s="2999">
        <f t="shared" si="2"/>
        <v>4418.7101369863012</v>
      </c>
      <c r="Q13" s="2993"/>
    </row>
    <row r="14" spans="2:17" ht="14.25">
      <c r="B14" s="1737" t="s">
        <v>3102</v>
      </c>
      <c r="C14" s="1737">
        <f t="shared" si="0"/>
        <v>1</v>
      </c>
      <c r="D14" s="1737">
        <v>1</v>
      </c>
      <c r="E14" s="1737">
        <v>1</v>
      </c>
      <c r="F14" s="3000" t="str">
        <f t="shared" si="1"/>
        <v>必胜客</v>
      </c>
      <c r="G14" s="3001" t="str">
        <f t="shared" si="1"/>
        <v>1F</v>
      </c>
      <c r="H14" s="3002">
        <f t="shared" si="1"/>
        <v>101</v>
      </c>
      <c r="I14" s="3003">
        <f t="shared" si="1"/>
        <v>320</v>
      </c>
      <c r="J14" s="3005">
        <v>46753</v>
      </c>
      <c r="K14" s="3005">
        <v>46812</v>
      </c>
      <c r="L14" s="2998">
        <v>13.578327604166669</v>
      </c>
      <c r="M14" s="2999">
        <f t="shared" si="2"/>
        <v>4345.0648333333338</v>
      </c>
      <c r="Q14" s="2993"/>
    </row>
    <row r="15" spans="2:17" ht="14.25">
      <c r="B15" s="1737" t="s">
        <v>3102</v>
      </c>
      <c r="C15" s="1737">
        <f t="shared" si="0"/>
        <v>1</v>
      </c>
      <c r="D15" s="1737">
        <v>1</v>
      </c>
      <c r="E15" s="1737">
        <v>0</v>
      </c>
      <c r="F15" s="2997" t="s">
        <v>3103</v>
      </c>
      <c r="G15" s="2994" t="s">
        <v>3104</v>
      </c>
      <c r="H15" s="2995">
        <v>102</v>
      </c>
      <c r="I15" s="3006">
        <v>80</v>
      </c>
      <c r="J15" s="2997">
        <v>43180</v>
      </c>
      <c r="K15" s="2997">
        <v>43910</v>
      </c>
      <c r="L15" s="3007">
        <v>14.74</v>
      </c>
      <c r="M15" s="2999">
        <f t="shared" si="2"/>
        <v>1179.2</v>
      </c>
      <c r="Q15" s="2993"/>
    </row>
    <row r="16" spans="2:17" ht="14.25">
      <c r="B16" s="1737" t="s">
        <v>3102</v>
      </c>
      <c r="C16" s="1737">
        <f t="shared" si="0"/>
        <v>1</v>
      </c>
      <c r="D16" s="1737">
        <v>1</v>
      </c>
      <c r="E16" s="1737">
        <v>1</v>
      </c>
      <c r="F16" s="3000" t="str">
        <f t="shared" ref="F16:I16" si="3">F15</f>
        <v>和合谷</v>
      </c>
      <c r="G16" s="3001" t="str">
        <f t="shared" si="3"/>
        <v>1F</v>
      </c>
      <c r="H16" s="3002">
        <f t="shared" si="3"/>
        <v>102</v>
      </c>
      <c r="I16" s="3003">
        <f t="shared" si="3"/>
        <v>80</v>
      </c>
      <c r="J16" s="3005">
        <v>43911</v>
      </c>
      <c r="K16" s="3005">
        <v>44276</v>
      </c>
      <c r="L16" s="3008">
        <v>16.21</v>
      </c>
      <c r="M16" s="2999">
        <f t="shared" si="2"/>
        <v>1296.8000000000002</v>
      </c>
      <c r="Q16" s="2993"/>
    </row>
    <row r="17" spans="2:17" ht="14.25">
      <c r="B17" s="1737" t="s">
        <v>3102</v>
      </c>
      <c r="C17" s="1737">
        <f t="shared" si="0"/>
        <v>1</v>
      </c>
      <c r="D17" s="3009">
        <v>1</v>
      </c>
      <c r="E17" s="3009">
        <v>0</v>
      </c>
      <c r="F17" s="3010" t="s">
        <v>3105</v>
      </c>
      <c r="G17" s="2994" t="s">
        <v>3104</v>
      </c>
      <c r="H17" s="3011">
        <v>103</v>
      </c>
      <c r="I17" s="3006">
        <v>158</v>
      </c>
      <c r="J17" s="3005">
        <v>43160</v>
      </c>
      <c r="K17" s="3005">
        <v>43890</v>
      </c>
      <c r="L17" s="3008">
        <v>14.74</v>
      </c>
      <c r="M17" s="2999">
        <f t="shared" si="2"/>
        <v>2328.92</v>
      </c>
      <c r="Q17" s="2993"/>
    </row>
    <row r="18" spans="2:17" ht="14.25">
      <c r="B18" s="1737" t="s">
        <v>3102</v>
      </c>
      <c r="C18" s="1737">
        <f t="shared" si="0"/>
        <v>1</v>
      </c>
      <c r="D18" s="1737">
        <v>1</v>
      </c>
      <c r="E18" s="1737">
        <v>1</v>
      </c>
      <c r="F18" s="3000" t="str">
        <f t="shared" ref="F18:I18" si="4">F17</f>
        <v>品聚成功（李连贵）</v>
      </c>
      <c r="G18" s="3001" t="str">
        <f t="shared" si="4"/>
        <v>1F</v>
      </c>
      <c r="H18" s="3002">
        <f t="shared" si="4"/>
        <v>103</v>
      </c>
      <c r="I18" s="3003">
        <f t="shared" si="4"/>
        <v>158</v>
      </c>
      <c r="J18" s="3005">
        <f>K17+1</f>
        <v>43891</v>
      </c>
      <c r="K18" s="3005">
        <v>44620</v>
      </c>
      <c r="L18" s="3008">
        <v>16.21</v>
      </c>
      <c r="M18" s="2999">
        <f t="shared" si="2"/>
        <v>2561.1800000000003</v>
      </c>
      <c r="Q18" s="2993"/>
    </row>
    <row r="19" spans="2:17" ht="14.25">
      <c r="B19" s="1737" t="s">
        <v>3106</v>
      </c>
      <c r="C19" s="1737">
        <f t="shared" si="0"/>
        <v>1</v>
      </c>
      <c r="D19" s="1737">
        <v>1</v>
      </c>
      <c r="E19" s="1737">
        <v>0</v>
      </c>
      <c r="F19" s="3012" t="s">
        <v>3107</v>
      </c>
      <c r="G19" s="3013" t="s">
        <v>3108</v>
      </c>
      <c r="H19" s="3014">
        <v>105</v>
      </c>
      <c r="I19" s="3015">
        <v>78</v>
      </c>
      <c r="J19" s="3016">
        <v>43444</v>
      </c>
      <c r="K19" s="3016">
        <v>44174</v>
      </c>
      <c r="L19" s="3017">
        <v>18.3</v>
      </c>
      <c r="M19" s="2999">
        <f t="shared" si="2"/>
        <v>1427.4</v>
      </c>
      <c r="Q19" s="2993"/>
    </row>
    <row r="20" spans="2:17" ht="14.25">
      <c r="B20" s="1737" t="s">
        <v>3109</v>
      </c>
      <c r="C20" s="1737">
        <f t="shared" si="0"/>
        <v>1</v>
      </c>
      <c r="D20" s="1737">
        <v>1</v>
      </c>
      <c r="E20" s="1737">
        <v>1</v>
      </c>
      <c r="F20" s="3012" t="s">
        <v>3107</v>
      </c>
      <c r="G20" s="3013" t="s">
        <v>3108</v>
      </c>
      <c r="H20" s="3014">
        <v>105</v>
      </c>
      <c r="I20" s="3015">
        <v>78</v>
      </c>
      <c r="J20" s="3016">
        <f>K19+1</f>
        <v>44175</v>
      </c>
      <c r="K20" s="3016">
        <v>44904</v>
      </c>
      <c r="L20" s="3017">
        <f>L19*1.1</f>
        <v>20.130000000000003</v>
      </c>
      <c r="M20" s="2999">
        <f t="shared" si="2"/>
        <v>1570.14</v>
      </c>
      <c r="Q20" s="2993"/>
    </row>
    <row r="21" spans="2:17" ht="14.25">
      <c r="B21" s="1737" t="s">
        <v>3110</v>
      </c>
      <c r="C21" s="1737">
        <f t="shared" si="0"/>
        <v>1</v>
      </c>
      <c r="D21" s="1737">
        <v>1</v>
      </c>
      <c r="E21" s="1737">
        <v>1</v>
      </c>
      <c r="F21" s="3012" t="s">
        <v>3111</v>
      </c>
      <c r="G21" s="3013" t="s">
        <v>3112</v>
      </c>
      <c r="H21" s="3014">
        <v>105</v>
      </c>
      <c r="I21" s="3015">
        <v>78</v>
      </c>
      <c r="J21" s="3016">
        <f>K20+1</f>
        <v>44905</v>
      </c>
      <c r="K21" s="3016">
        <v>45269</v>
      </c>
      <c r="L21" s="3017">
        <f>L20*1.1</f>
        <v>22.143000000000004</v>
      </c>
      <c r="M21" s="2999">
        <f t="shared" si="2"/>
        <v>1727.1540000000002</v>
      </c>
      <c r="Q21" s="2993"/>
    </row>
    <row r="22" spans="2:17" ht="14.25">
      <c r="B22" s="1737" t="s">
        <v>3113</v>
      </c>
      <c r="C22" s="1737">
        <f t="shared" si="0"/>
        <v>1</v>
      </c>
      <c r="D22" s="1737">
        <v>0</v>
      </c>
      <c r="E22" s="1737">
        <v>0</v>
      </c>
      <c r="F22" s="2993" t="s">
        <v>3114</v>
      </c>
      <c r="G22" s="2994" t="s">
        <v>3115</v>
      </c>
      <c r="H22" s="3011">
        <v>106</v>
      </c>
      <c r="I22" s="3006">
        <v>196</v>
      </c>
      <c r="J22" s="3005">
        <v>43132</v>
      </c>
      <c r="K22" s="3005">
        <v>43861</v>
      </c>
      <c r="L22" s="3008">
        <v>8.0299999999999994</v>
      </c>
      <c r="M22" s="2999">
        <f t="shared" si="2"/>
        <v>1573.8799999999999</v>
      </c>
      <c r="Q22" s="2993"/>
    </row>
    <row r="23" spans="2:17" ht="14.25">
      <c r="B23" s="1737" t="s">
        <v>3113</v>
      </c>
      <c r="C23" s="1737">
        <f t="shared" si="0"/>
        <v>1</v>
      </c>
      <c r="D23" s="1737">
        <v>0</v>
      </c>
      <c r="E23" s="1737">
        <v>1</v>
      </c>
      <c r="F23" s="3000" t="str">
        <f t="shared" ref="F23:I23" si="5">F22</f>
        <v>拾锅百味</v>
      </c>
      <c r="G23" s="3001" t="str">
        <f t="shared" si="5"/>
        <v>1F</v>
      </c>
      <c r="H23" s="3002">
        <f t="shared" si="5"/>
        <v>106</v>
      </c>
      <c r="I23" s="3003">
        <f t="shared" si="5"/>
        <v>196</v>
      </c>
      <c r="J23" s="3005">
        <f>K22+1</f>
        <v>43862</v>
      </c>
      <c r="K23" s="3005">
        <v>44227</v>
      </c>
      <c r="L23" s="3008">
        <v>8.83</v>
      </c>
      <c r="M23" s="2999">
        <f t="shared" si="2"/>
        <v>1730.68</v>
      </c>
      <c r="Q23" s="2993"/>
    </row>
    <row r="24" spans="2:17" ht="14.25">
      <c r="B24" s="1737" t="s">
        <v>3116</v>
      </c>
      <c r="C24" s="1737">
        <f t="shared" si="0"/>
        <v>1</v>
      </c>
      <c r="D24" s="1737">
        <v>0</v>
      </c>
      <c r="E24" s="1737">
        <v>0</v>
      </c>
      <c r="F24" s="3018" t="s">
        <v>3117</v>
      </c>
      <c r="G24" s="2994" t="s">
        <v>3118</v>
      </c>
      <c r="H24" s="3011">
        <v>107</v>
      </c>
      <c r="I24" s="3006">
        <v>171</v>
      </c>
      <c r="J24" s="3005">
        <v>43344</v>
      </c>
      <c r="K24" s="3005">
        <v>44074</v>
      </c>
      <c r="L24" s="3008">
        <v>7.8</v>
      </c>
      <c r="M24" s="2999">
        <f>L24*I24</f>
        <v>1333.8</v>
      </c>
      <c r="Q24" s="2993"/>
    </row>
    <row r="25" spans="2:17" ht="14.25">
      <c r="B25" s="1737" t="s">
        <v>3116</v>
      </c>
      <c r="C25" s="1737">
        <f t="shared" si="0"/>
        <v>1</v>
      </c>
      <c r="D25" s="1737">
        <v>1</v>
      </c>
      <c r="E25" s="1737">
        <v>1</v>
      </c>
      <c r="F25" s="3019" t="s">
        <v>3117</v>
      </c>
      <c r="G25" s="3020" t="s">
        <v>3119</v>
      </c>
      <c r="H25" s="3002">
        <v>107</v>
      </c>
      <c r="I25" s="3003">
        <v>171</v>
      </c>
      <c r="J25" s="3005">
        <f>K24+1</f>
        <v>44075</v>
      </c>
      <c r="K25" s="3005">
        <v>44736</v>
      </c>
      <c r="L25" s="3008">
        <v>8.58</v>
      </c>
      <c r="M25" s="2999">
        <f>L25*I25</f>
        <v>1467.18</v>
      </c>
      <c r="Q25" s="2993"/>
    </row>
    <row r="26" spans="2:17" ht="14.25">
      <c r="B26" s="1737" t="s">
        <v>3120</v>
      </c>
      <c r="C26" s="1737">
        <f t="shared" si="0"/>
        <v>1</v>
      </c>
      <c r="D26" s="1737">
        <v>0</v>
      </c>
      <c r="E26" s="1737">
        <v>0</v>
      </c>
      <c r="F26" s="2993" t="s">
        <v>3121</v>
      </c>
      <c r="G26" s="2994" t="s">
        <v>3122</v>
      </c>
      <c r="H26" s="3011">
        <v>108</v>
      </c>
      <c r="I26" s="3006">
        <v>171</v>
      </c>
      <c r="J26" s="3005">
        <v>43236</v>
      </c>
      <c r="K26" s="3005">
        <v>43966</v>
      </c>
      <c r="L26" s="3008">
        <v>8.14</v>
      </c>
      <c r="M26" s="2999">
        <f t="shared" si="2"/>
        <v>1391.94</v>
      </c>
      <c r="Q26" s="2993"/>
    </row>
    <row r="27" spans="2:17" ht="14.25">
      <c r="B27" s="1737" t="s">
        <v>3120</v>
      </c>
      <c r="C27" s="1737">
        <f t="shared" si="0"/>
        <v>1</v>
      </c>
      <c r="D27" s="1737">
        <v>0</v>
      </c>
      <c r="E27" s="1737">
        <v>1</v>
      </c>
      <c r="F27" s="3000" t="str">
        <f t="shared" ref="F27:I27" si="6">F26</f>
        <v>秦面轩</v>
      </c>
      <c r="G27" s="3001" t="str">
        <f t="shared" si="6"/>
        <v>1F</v>
      </c>
      <c r="H27" s="3002">
        <f t="shared" si="6"/>
        <v>108</v>
      </c>
      <c r="I27" s="3003">
        <f t="shared" si="6"/>
        <v>171</v>
      </c>
      <c r="J27" s="3005">
        <f>K26+1</f>
        <v>43967</v>
      </c>
      <c r="K27" s="3005">
        <v>44331</v>
      </c>
      <c r="L27" s="3008">
        <v>8.9499999999999993</v>
      </c>
      <c r="M27" s="2999">
        <f t="shared" si="2"/>
        <v>1530.4499999999998</v>
      </c>
      <c r="Q27" s="2993"/>
    </row>
    <row r="28" spans="2:17" ht="14.25">
      <c r="B28" s="1737" t="s">
        <v>3123</v>
      </c>
      <c r="C28" s="1737">
        <f t="shared" si="0"/>
        <v>1</v>
      </c>
      <c r="D28" s="1737">
        <v>0</v>
      </c>
      <c r="E28" s="1737">
        <v>0</v>
      </c>
      <c r="F28" s="2993" t="s">
        <v>3124</v>
      </c>
      <c r="G28" s="2994" t="s">
        <v>3125</v>
      </c>
      <c r="H28" s="3011">
        <v>109</v>
      </c>
      <c r="I28" s="3006">
        <v>177</v>
      </c>
      <c r="J28" s="3005">
        <v>43206</v>
      </c>
      <c r="K28" s="3005">
        <v>43936</v>
      </c>
      <c r="L28" s="3008">
        <v>8.0299999999999994</v>
      </c>
      <c r="M28" s="2999">
        <f t="shared" si="2"/>
        <v>1421.31</v>
      </c>
      <c r="Q28" s="2993"/>
    </row>
    <row r="29" spans="2:17" ht="14.25">
      <c r="B29" s="1737" t="s">
        <v>3123</v>
      </c>
      <c r="C29" s="1737">
        <f t="shared" si="0"/>
        <v>1</v>
      </c>
      <c r="D29" s="1737">
        <v>0</v>
      </c>
      <c r="E29" s="1737">
        <v>1</v>
      </c>
      <c r="F29" s="3000" t="str">
        <f t="shared" ref="F29:I29" si="7">F28</f>
        <v>三和屋</v>
      </c>
      <c r="G29" s="3001" t="str">
        <f t="shared" si="7"/>
        <v>1F</v>
      </c>
      <c r="H29" s="3002">
        <f t="shared" si="7"/>
        <v>109</v>
      </c>
      <c r="I29" s="3003">
        <f t="shared" si="7"/>
        <v>177</v>
      </c>
      <c r="J29" s="3005">
        <v>43937</v>
      </c>
      <c r="K29" s="3005">
        <v>44301</v>
      </c>
      <c r="L29" s="3008">
        <v>8.83</v>
      </c>
      <c r="M29" s="2999">
        <f t="shared" si="2"/>
        <v>1562.91</v>
      </c>
      <c r="Q29" s="2993"/>
    </row>
    <row r="30" spans="2:17" ht="14.25">
      <c r="B30" s="1737" t="s">
        <v>3126</v>
      </c>
      <c r="C30" s="1737">
        <f t="shared" si="0"/>
        <v>1</v>
      </c>
      <c r="D30" s="1737">
        <v>0</v>
      </c>
      <c r="E30" s="1737">
        <v>0</v>
      </c>
      <c r="F30" s="2993" t="s">
        <v>3127</v>
      </c>
      <c r="G30" s="2994" t="s">
        <v>3128</v>
      </c>
      <c r="H30" s="3011">
        <v>111</v>
      </c>
      <c r="I30" s="3006">
        <v>321</v>
      </c>
      <c r="J30" s="3005">
        <v>43160</v>
      </c>
      <c r="K30" s="3005">
        <v>43889</v>
      </c>
      <c r="L30" s="3008">
        <v>5.94</v>
      </c>
      <c r="M30" s="2999">
        <f t="shared" si="2"/>
        <v>1906.7400000000002</v>
      </c>
      <c r="Q30" s="2993"/>
    </row>
    <row r="31" spans="2:17" ht="14.25">
      <c r="B31" s="1737" t="s">
        <v>3126</v>
      </c>
      <c r="C31" s="1737">
        <f t="shared" si="0"/>
        <v>1</v>
      </c>
      <c r="D31" s="1737">
        <v>0</v>
      </c>
      <c r="E31" s="1737">
        <v>1</v>
      </c>
      <c r="F31" s="3000" t="str">
        <f t="shared" ref="F31:I31" si="8">F30</f>
        <v>赣悦汤厨</v>
      </c>
      <c r="G31" s="3001" t="str">
        <f t="shared" si="8"/>
        <v>1F</v>
      </c>
      <c r="H31" s="3002">
        <f t="shared" si="8"/>
        <v>111</v>
      </c>
      <c r="I31" s="3003">
        <f t="shared" si="8"/>
        <v>321</v>
      </c>
      <c r="J31" s="3005">
        <v>43891</v>
      </c>
      <c r="K31" s="3005">
        <v>44620</v>
      </c>
      <c r="L31" s="3008">
        <v>6.53</v>
      </c>
      <c r="M31" s="2999">
        <f t="shared" si="2"/>
        <v>2096.13</v>
      </c>
      <c r="Q31" s="2993"/>
    </row>
    <row r="32" spans="2:17" ht="14.25">
      <c r="B32" s="1737" t="s">
        <v>3129</v>
      </c>
      <c r="C32" s="1737">
        <f t="shared" si="0"/>
        <v>1</v>
      </c>
      <c r="D32" s="1737">
        <v>0</v>
      </c>
      <c r="E32" s="1737">
        <v>0</v>
      </c>
      <c r="F32" s="2993" t="s">
        <v>3130</v>
      </c>
      <c r="G32" s="2994" t="s">
        <v>3131</v>
      </c>
      <c r="H32" s="3011">
        <v>112</v>
      </c>
      <c r="I32" s="3006">
        <v>242</v>
      </c>
      <c r="J32" s="2997">
        <v>43101</v>
      </c>
      <c r="K32" s="2997">
        <v>43830</v>
      </c>
      <c r="L32" s="3008">
        <v>6.38</v>
      </c>
      <c r="M32" s="2999">
        <f t="shared" si="2"/>
        <v>1543.96</v>
      </c>
      <c r="Q32" s="2993"/>
    </row>
    <row r="33" spans="2:17" ht="14.25">
      <c r="B33" s="1737" t="s">
        <v>3129</v>
      </c>
      <c r="C33" s="1737">
        <f t="shared" si="0"/>
        <v>1</v>
      </c>
      <c r="D33" s="1737">
        <v>0</v>
      </c>
      <c r="E33" s="1737">
        <v>1</v>
      </c>
      <c r="F33" s="3000" t="str">
        <f t="shared" ref="F33:I33" si="9">F32</f>
        <v>小院食光</v>
      </c>
      <c r="G33" s="3001" t="str">
        <f t="shared" si="9"/>
        <v>1F</v>
      </c>
      <c r="H33" s="3002">
        <f t="shared" si="9"/>
        <v>112</v>
      </c>
      <c r="I33" s="3003">
        <f t="shared" si="9"/>
        <v>242</v>
      </c>
      <c r="J33" s="3005">
        <v>43831</v>
      </c>
      <c r="K33" s="3005">
        <v>44196</v>
      </c>
      <c r="L33" s="3008">
        <v>7.02</v>
      </c>
      <c r="M33" s="2999">
        <f t="shared" si="2"/>
        <v>1698.84</v>
      </c>
      <c r="Q33" s="2993"/>
    </row>
    <row r="34" spans="2:17" ht="14.25">
      <c r="B34" s="1737" t="s">
        <v>3132</v>
      </c>
      <c r="C34" s="1737">
        <f t="shared" si="0"/>
        <v>1</v>
      </c>
      <c r="D34" s="1737">
        <v>0</v>
      </c>
      <c r="E34" s="1737">
        <v>0</v>
      </c>
      <c r="F34" s="2993" t="s">
        <v>3133</v>
      </c>
      <c r="G34" s="2994" t="s">
        <v>3134</v>
      </c>
      <c r="H34" s="3011">
        <v>115</v>
      </c>
      <c r="I34" s="3006">
        <v>229</v>
      </c>
      <c r="J34" s="3005">
        <v>43132</v>
      </c>
      <c r="K34" s="3005">
        <v>43861</v>
      </c>
      <c r="L34" s="3008">
        <v>9.1300000000000008</v>
      </c>
      <c r="M34" s="2999">
        <f t="shared" si="2"/>
        <v>2090.77</v>
      </c>
      <c r="Q34" s="2993"/>
    </row>
    <row r="35" spans="2:17" ht="14.25">
      <c r="B35" s="1737" t="s">
        <v>3132</v>
      </c>
      <c r="C35" s="1737">
        <f t="shared" si="0"/>
        <v>1</v>
      </c>
      <c r="D35" s="1737">
        <v>0</v>
      </c>
      <c r="E35" s="1737">
        <v>1</v>
      </c>
      <c r="F35" s="3000" t="str">
        <f t="shared" ref="F35:I36" si="10">F34</f>
        <v>雕刻时光</v>
      </c>
      <c r="G35" s="3001" t="str">
        <f t="shared" si="10"/>
        <v>1F</v>
      </c>
      <c r="H35" s="3002">
        <f t="shared" si="10"/>
        <v>115</v>
      </c>
      <c r="I35" s="3003">
        <f t="shared" si="10"/>
        <v>229</v>
      </c>
      <c r="J35" s="3005">
        <v>43862</v>
      </c>
      <c r="K35" s="3005">
        <v>44592</v>
      </c>
      <c r="L35" s="3008">
        <v>10.039999999999999</v>
      </c>
      <c r="M35" s="2999">
        <f t="shared" si="2"/>
        <v>2299.16</v>
      </c>
      <c r="Q35" s="2993"/>
    </row>
    <row r="36" spans="2:17" ht="14.25">
      <c r="B36" s="1737" t="s">
        <v>3135</v>
      </c>
      <c r="C36" s="1737">
        <f t="shared" si="0"/>
        <v>1</v>
      </c>
      <c r="D36" s="1737">
        <v>0</v>
      </c>
      <c r="E36" s="1737">
        <v>1</v>
      </c>
      <c r="F36" s="3000" t="str">
        <f t="shared" si="10"/>
        <v>雕刻时光</v>
      </c>
      <c r="G36" s="3001" t="str">
        <f t="shared" si="10"/>
        <v>1F</v>
      </c>
      <c r="H36" s="3002">
        <f t="shared" si="10"/>
        <v>115</v>
      </c>
      <c r="I36" s="3003">
        <f t="shared" si="10"/>
        <v>229</v>
      </c>
      <c r="J36" s="3005">
        <v>44593</v>
      </c>
      <c r="K36" s="3005">
        <v>45322</v>
      </c>
      <c r="L36" s="3008">
        <v>11.05</v>
      </c>
      <c r="M36" s="2999">
        <f t="shared" si="2"/>
        <v>2530.4500000000003</v>
      </c>
      <c r="Q36" s="2993"/>
    </row>
    <row r="37" spans="2:17" ht="14.25">
      <c r="B37" s="1737" t="s">
        <v>3136</v>
      </c>
      <c r="C37" s="1737">
        <f t="shared" si="0"/>
        <v>1</v>
      </c>
      <c r="D37" s="1737">
        <v>0</v>
      </c>
      <c r="E37" s="1737">
        <v>0</v>
      </c>
      <c r="F37" s="2993" t="s">
        <v>3137</v>
      </c>
      <c r="G37" s="2994" t="s">
        <v>3138</v>
      </c>
      <c r="H37" s="3011">
        <v>116</v>
      </c>
      <c r="I37" s="3006">
        <v>299</v>
      </c>
      <c r="J37" s="3005">
        <v>43101</v>
      </c>
      <c r="K37" s="3005">
        <v>43830</v>
      </c>
      <c r="L37" s="3008">
        <v>6.6</v>
      </c>
      <c r="M37" s="2999">
        <f t="shared" si="2"/>
        <v>1973.3999999999999</v>
      </c>
      <c r="Q37" s="2993"/>
    </row>
    <row r="38" spans="2:17" ht="14.25">
      <c r="B38" s="1737" t="s">
        <v>3136</v>
      </c>
      <c r="C38" s="1737">
        <f t="shared" si="0"/>
        <v>1</v>
      </c>
      <c r="D38" s="1737">
        <v>0</v>
      </c>
      <c r="E38" s="1737">
        <v>1</v>
      </c>
      <c r="F38" s="3000" t="str">
        <f t="shared" ref="F38:I38" si="11">F37</f>
        <v>保护地友好生态科技</v>
      </c>
      <c r="G38" s="3001" t="str">
        <f t="shared" si="11"/>
        <v>1F</v>
      </c>
      <c r="H38" s="3002">
        <f t="shared" si="11"/>
        <v>116</v>
      </c>
      <c r="I38" s="3003">
        <f t="shared" si="11"/>
        <v>299</v>
      </c>
      <c r="J38" s="3004">
        <v>43831</v>
      </c>
      <c r="K38" s="3004">
        <v>44196</v>
      </c>
      <c r="L38" s="3008">
        <v>7.26</v>
      </c>
      <c r="M38" s="2999">
        <f t="shared" si="2"/>
        <v>2170.7399999999998</v>
      </c>
      <c r="Q38" s="2993"/>
    </row>
    <row r="39" spans="2:17" ht="14.25">
      <c r="B39" s="1737" t="s">
        <v>3139</v>
      </c>
      <c r="C39" s="1737">
        <f t="shared" si="0"/>
        <v>1</v>
      </c>
      <c r="D39" s="1737">
        <v>0</v>
      </c>
      <c r="E39" s="1737">
        <v>0</v>
      </c>
      <c r="F39" s="3010" t="s">
        <v>3140</v>
      </c>
      <c r="G39" s="2994" t="s">
        <v>3141</v>
      </c>
      <c r="H39" s="3011">
        <v>117</v>
      </c>
      <c r="I39" s="3006">
        <v>58</v>
      </c>
      <c r="J39" s="3005">
        <v>42917</v>
      </c>
      <c r="K39" s="3005">
        <v>43646</v>
      </c>
      <c r="L39" s="3008">
        <v>7</v>
      </c>
      <c r="M39" s="2999">
        <f t="shared" si="2"/>
        <v>406</v>
      </c>
      <c r="Q39" s="2993"/>
    </row>
    <row r="40" spans="2:17" ht="14.25">
      <c r="B40" s="1737" t="s">
        <v>3139</v>
      </c>
      <c r="C40" s="1737">
        <f t="shared" si="0"/>
        <v>1</v>
      </c>
      <c r="D40" s="1737">
        <v>0</v>
      </c>
      <c r="E40" s="1737">
        <v>1</v>
      </c>
      <c r="F40" s="3000" t="str">
        <f t="shared" ref="F40:I41" si="12">F39</f>
        <v>汉口码头（包房）</v>
      </c>
      <c r="G40" s="3001" t="str">
        <f t="shared" si="12"/>
        <v>1F</v>
      </c>
      <c r="H40" s="3002">
        <f t="shared" si="12"/>
        <v>117</v>
      </c>
      <c r="I40" s="3003">
        <f t="shared" si="12"/>
        <v>58</v>
      </c>
      <c r="J40" s="3005">
        <f>K39+1</f>
        <v>43647</v>
      </c>
      <c r="K40" s="3005">
        <v>44377</v>
      </c>
      <c r="L40" s="3008">
        <v>7.7</v>
      </c>
      <c r="M40" s="2999">
        <f t="shared" si="2"/>
        <v>446.6</v>
      </c>
      <c r="Q40" s="2993"/>
    </row>
    <row r="41" spans="2:17" ht="14.25">
      <c r="B41" s="1737" t="s">
        <v>3142</v>
      </c>
      <c r="C41" s="1737">
        <f t="shared" si="0"/>
        <v>1</v>
      </c>
      <c r="D41" s="1737">
        <v>0</v>
      </c>
      <c r="E41" s="1737">
        <v>1</v>
      </c>
      <c r="F41" s="3000" t="str">
        <f t="shared" si="12"/>
        <v>汉口码头（包房）</v>
      </c>
      <c r="G41" s="3001" t="str">
        <f t="shared" si="12"/>
        <v>1F</v>
      </c>
      <c r="H41" s="3002">
        <f t="shared" si="12"/>
        <v>117</v>
      </c>
      <c r="I41" s="3003">
        <f t="shared" si="12"/>
        <v>58</v>
      </c>
      <c r="J41" s="3005">
        <f>K40+1</f>
        <v>44378</v>
      </c>
      <c r="K41" s="3005">
        <v>44736</v>
      </c>
      <c r="L41" s="3008">
        <v>8.4700000000000006</v>
      </c>
      <c r="M41" s="2999">
        <f t="shared" si="2"/>
        <v>491.26000000000005</v>
      </c>
      <c r="Q41" s="2993"/>
    </row>
    <row r="42" spans="2:17" ht="14.25">
      <c r="B42" s="1737" t="s">
        <v>3143</v>
      </c>
      <c r="C42" s="1737">
        <f t="shared" si="0"/>
        <v>1</v>
      </c>
      <c r="D42" s="1737">
        <v>0</v>
      </c>
      <c r="E42" s="1737">
        <v>0</v>
      </c>
      <c r="F42" s="3010" t="s">
        <v>3144</v>
      </c>
      <c r="G42" s="2994" t="s">
        <v>3145</v>
      </c>
      <c r="H42" s="3011">
        <v>110</v>
      </c>
      <c r="I42" s="3006">
        <v>311</v>
      </c>
      <c r="J42" s="3005">
        <v>43276</v>
      </c>
      <c r="K42" s="3005">
        <v>44006</v>
      </c>
      <c r="L42" s="3008">
        <v>5.72</v>
      </c>
      <c r="M42" s="2999">
        <f t="shared" si="2"/>
        <v>1778.9199999999998</v>
      </c>
      <c r="Q42" s="2993"/>
    </row>
    <row r="43" spans="2:17" ht="14.25">
      <c r="B43" s="1737" t="s">
        <v>3143</v>
      </c>
      <c r="C43" s="1737">
        <f t="shared" si="0"/>
        <v>1</v>
      </c>
      <c r="D43" s="1737">
        <v>0</v>
      </c>
      <c r="E43" s="1737">
        <v>1</v>
      </c>
      <c r="F43" s="3000" t="str">
        <f t="shared" ref="F43:I43" si="13">F42</f>
        <v>汉口码头</v>
      </c>
      <c r="G43" s="3001" t="str">
        <f t="shared" si="13"/>
        <v>1F</v>
      </c>
      <c r="H43" s="3002">
        <f t="shared" si="13"/>
        <v>110</v>
      </c>
      <c r="I43" s="3003">
        <f t="shared" si="13"/>
        <v>311</v>
      </c>
      <c r="J43" s="3005">
        <f>K42+1</f>
        <v>44007</v>
      </c>
      <c r="K43" s="3005">
        <v>44736</v>
      </c>
      <c r="L43" s="3008">
        <v>6.29</v>
      </c>
      <c r="M43" s="2999">
        <f t="shared" si="2"/>
        <v>1956.19</v>
      </c>
      <c r="Q43" s="2993"/>
    </row>
    <row r="44" spans="2:17" ht="14.25">
      <c r="B44" s="1737" t="s">
        <v>3146</v>
      </c>
      <c r="C44" s="1737">
        <f t="shared" si="0"/>
        <v>0</v>
      </c>
      <c r="D44" s="3009">
        <v>0</v>
      </c>
      <c r="E44" s="3009">
        <v>0</v>
      </c>
      <c r="F44" s="3012" t="s">
        <v>3147</v>
      </c>
      <c r="G44" s="3013" t="s">
        <v>3148</v>
      </c>
      <c r="H44" s="3014">
        <v>118</v>
      </c>
      <c r="I44" s="3015">
        <v>31</v>
      </c>
      <c r="J44" s="3016"/>
      <c r="K44" s="3016"/>
      <c r="L44" s="3017"/>
      <c r="M44" s="3021">
        <f t="shared" si="2"/>
        <v>0</v>
      </c>
      <c r="Q44" s="2993"/>
    </row>
    <row r="45" spans="2:17" ht="14.25">
      <c r="B45" s="1737" t="s">
        <v>3146</v>
      </c>
      <c r="C45" s="1737">
        <f t="shared" si="0"/>
        <v>1</v>
      </c>
      <c r="D45" s="1737">
        <v>1</v>
      </c>
      <c r="E45" s="1737">
        <v>0</v>
      </c>
      <c r="F45" s="2993" t="s">
        <v>3149</v>
      </c>
      <c r="G45" s="2994" t="s">
        <v>3148</v>
      </c>
      <c r="H45" s="3011">
        <v>120</v>
      </c>
      <c r="I45" s="3006">
        <v>27.1</v>
      </c>
      <c r="J45" s="3005">
        <v>43435</v>
      </c>
      <c r="K45" s="3005">
        <v>43799</v>
      </c>
      <c r="L45" s="3008">
        <v>18.7</v>
      </c>
      <c r="M45" s="2999">
        <f t="shared" si="2"/>
        <v>506.77</v>
      </c>
      <c r="Q45" s="2993"/>
    </row>
    <row r="46" spans="2:17" ht="14.25">
      <c r="B46" s="1737" t="s">
        <v>3146</v>
      </c>
      <c r="C46" s="1737">
        <f t="shared" si="0"/>
        <v>1</v>
      </c>
      <c r="D46" s="1737">
        <v>0</v>
      </c>
      <c r="E46" s="1737">
        <v>0</v>
      </c>
      <c r="F46" s="2993" t="s">
        <v>3150</v>
      </c>
      <c r="G46" s="3022" t="s">
        <v>3151</v>
      </c>
      <c r="H46" s="3011" t="s">
        <v>3152</v>
      </c>
      <c r="I46" s="3006">
        <v>5010</v>
      </c>
      <c r="J46" s="3005">
        <v>43282</v>
      </c>
      <c r="K46" s="3005">
        <v>43646</v>
      </c>
      <c r="L46" s="3008">
        <v>2.6</v>
      </c>
      <c r="M46" s="2999">
        <f t="shared" si="2"/>
        <v>13026</v>
      </c>
      <c r="Q46" s="2993"/>
    </row>
    <row r="47" spans="2:17" ht="14.25">
      <c r="B47" s="1737" t="s">
        <v>3146</v>
      </c>
      <c r="C47" s="1737">
        <f t="shared" si="0"/>
        <v>1</v>
      </c>
      <c r="D47" s="1737">
        <v>0</v>
      </c>
      <c r="E47" s="1737">
        <v>1</v>
      </c>
      <c r="F47" s="3000" t="str">
        <f t="shared" ref="F47:I49" si="14">F46</f>
        <v>物美超市</v>
      </c>
      <c r="G47" s="3001" t="str">
        <f t="shared" si="14"/>
        <v>B1</v>
      </c>
      <c r="H47" s="3002" t="str">
        <f t="shared" si="14"/>
        <v>B105</v>
      </c>
      <c r="I47" s="3003">
        <f t="shared" si="14"/>
        <v>5010</v>
      </c>
      <c r="J47" s="3005">
        <v>43647</v>
      </c>
      <c r="K47" s="3005">
        <v>44742</v>
      </c>
      <c r="L47" s="3008">
        <v>2.73</v>
      </c>
      <c r="M47" s="2999">
        <f t="shared" si="2"/>
        <v>13677.3</v>
      </c>
      <c r="Q47" s="2993"/>
    </row>
    <row r="48" spans="2:17" ht="14.25">
      <c r="B48" s="1737" t="s">
        <v>3153</v>
      </c>
      <c r="C48" s="1737">
        <f t="shared" si="0"/>
        <v>1</v>
      </c>
      <c r="D48" s="1737">
        <v>0</v>
      </c>
      <c r="E48" s="1737">
        <v>1</v>
      </c>
      <c r="F48" s="3000" t="str">
        <f t="shared" si="14"/>
        <v>物美超市</v>
      </c>
      <c r="G48" s="3001" t="str">
        <f t="shared" si="14"/>
        <v>B1</v>
      </c>
      <c r="H48" s="3002" t="str">
        <f t="shared" si="14"/>
        <v>B105</v>
      </c>
      <c r="I48" s="3003">
        <f t="shared" si="14"/>
        <v>5010</v>
      </c>
      <c r="J48" s="3005">
        <v>44743</v>
      </c>
      <c r="K48" s="3005">
        <v>45838</v>
      </c>
      <c r="L48" s="3008">
        <v>2.8664999999999998</v>
      </c>
      <c r="M48" s="2999">
        <f t="shared" si="2"/>
        <v>14361.164999999999</v>
      </c>
      <c r="Q48" s="2993"/>
    </row>
    <row r="49" spans="2:17" ht="14.25">
      <c r="B49" s="1737" t="s">
        <v>3154</v>
      </c>
      <c r="C49" s="1737">
        <f t="shared" si="0"/>
        <v>1</v>
      </c>
      <c r="D49" s="1737">
        <v>0</v>
      </c>
      <c r="E49" s="1737">
        <v>1</v>
      </c>
      <c r="F49" s="3000" t="str">
        <f t="shared" si="14"/>
        <v>物美超市</v>
      </c>
      <c r="G49" s="3001" t="str">
        <f t="shared" si="14"/>
        <v>B1</v>
      </c>
      <c r="H49" s="3002" t="str">
        <f t="shared" si="14"/>
        <v>B105</v>
      </c>
      <c r="I49" s="3003">
        <f t="shared" si="14"/>
        <v>5010</v>
      </c>
      <c r="J49" s="3005">
        <v>45839</v>
      </c>
      <c r="K49" s="3005">
        <v>46934</v>
      </c>
      <c r="L49" s="3008">
        <v>3.01</v>
      </c>
      <c r="M49" s="2999">
        <f t="shared" si="2"/>
        <v>15080.099999999999</v>
      </c>
      <c r="Q49" s="2993"/>
    </row>
    <row r="50" spans="2:17" ht="14.25">
      <c r="B50" s="1737" t="s">
        <v>3155</v>
      </c>
      <c r="C50" s="1737">
        <f t="shared" si="0"/>
        <v>1</v>
      </c>
      <c r="D50" s="1737">
        <v>1</v>
      </c>
      <c r="E50" s="1737">
        <v>0</v>
      </c>
      <c r="F50" s="2993" t="s">
        <v>3156</v>
      </c>
      <c r="G50" s="3022" t="s">
        <v>3157</v>
      </c>
      <c r="H50" s="3011" t="s">
        <v>3158</v>
      </c>
      <c r="I50" s="3006">
        <v>154</v>
      </c>
      <c r="J50" s="3005">
        <v>43206</v>
      </c>
      <c r="K50" s="3005">
        <v>43936</v>
      </c>
      <c r="L50" s="3008">
        <v>13</v>
      </c>
      <c r="M50" s="2999">
        <f t="shared" si="2"/>
        <v>2002</v>
      </c>
      <c r="Q50" s="2993"/>
    </row>
    <row r="51" spans="2:17" ht="14.25">
      <c r="B51" s="1737" t="s">
        <v>3155</v>
      </c>
      <c r="C51" s="1737">
        <f t="shared" si="0"/>
        <v>1</v>
      </c>
      <c r="D51" s="1737">
        <v>1</v>
      </c>
      <c r="E51" s="1737">
        <v>1</v>
      </c>
      <c r="F51" s="3000" t="str">
        <f t="shared" ref="F51:I52" si="15">F50</f>
        <v>西贝万家餐饮</v>
      </c>
      <c r="G51" s="3001" t="str">
        <f t="shared" si="15"/>
        <v>B1</v>
      </c>
      <c r="H51" s="3002" t="str">
        <f t="shared" si="15"/>
        <v>B101a</v>
      </c>
      <c r="I51" s="3003">
        <f t="shared" si="15"/>
        <v>154</v>
      </c>
      <c r="J51" s="3005">
        <f>K50+1</f>
        <v>43937</v>
      </c>
      <c r="K51" s="3005">
        <v>44666</v>
      </c>
      <c r="L51" s="3008">
        <f>L50*1.1</f>
        <v>14.3</v>
      </c>
      <c r="M51" s="2999">
        <f t="shared" si="2"/>
        <v>2202.2000000000003</v>
      </c>
      <c r="Q51" s="2993"/>
    </row>
    <row r="52" spans="2:17" ht="14.25">
      <c r="B52" s="1737" t="s">
        <v>3159</v>
      </c>
      <c r="C52" s="1737">
        <f t="shared" si="0"/>
        <v>1</v>
      </c>
      <c r="D52" s="1737">
        <v>1</v>
      </c>
      <c r="E52" s="1737">
        <v>1</v>
      </c>
      <c r="F52" s="3000" t="str">
        <f t="shared" si="15"/>
        <v>西贝万家餐饮</v>
      </c>
      <c r="G52" s="3001" t="str">
        <f t="shared" si="15"/>
        <v>B1</v>
      </c>
      <c r="H52" s="3002" t="str">
        <f t="shared" si="15"/>
        <v>B101a</v>
      </c>
      <c r="I52" s="3003">
        <f t="shared" si="15"/>
        <v>154</v>
      </c>
      <c r="J52" s="3005">
        <f>K51+1</f>
        <v>44667</v>
      </c>
      <c r="K52" s="3005">
        <v>45397</v>
      </c>
      <c r="L52" s="3008">
        <f>L51*1.1</f>
        <v>15.730000000000002</v>
      </c>
      <c r="M52" s="2999">
        <f t="shared" si="2"/>
        <v>2422.4200000000005</v>
      </c>
      <c r="Q52" s="2993"/>
    </row>
    <row r="53" spans="2:17" ht="14.25">
      <c r="B53" s="1737" t="s">
        <v>3160</v>
      </c>
      <c r="C53" s="1737">
        <f t="shared" si="0"/>
        <v>0</v>
      </c>
      <c r="D53" s="3009">
        <v>0</v>
      </c>
      <c r="E53" s="3009">
        <v>0</v>
      </c>
      <c r="F53" s="3023" t="s">
        <v>3161</v>
      </c>
      <c r="G53" s="3024" t="s">
        <v>3162</v>
      </c>
      <c r="H53" s="3014" t="s">
        <v>3163</v>
      </c>
      <c r="I53" s="3015">
        <v>32</v>
      </c>
      <c r="J53" s="3016"/>
      <c r="K53" s="3016"/>
      <c r="L53" s="3017"/>
      <c r="M53" s="3021">
        <f t="shared" si="2"/>
        <v>0</v>
      </c>
      <c r="Q53" s="2993"/>
    </row>
    <row r="54" spans="2:17" ht="14.25">
      <c r="B54" s="1737" t="s">
        <v>3160</v>
      </c>
      <c r="C54" s="1737">
        <f t="shared" si="0"/>
        <v>1</v>
      </c>
      <c r="D54" s="3009">
        <v>0</v>
      </c>
      <c r="E54" s="3009">
        <v>0</v>
      </c>
      <c r="F54" s="3025" t="s">
        <v>3164</v>
      </c>
      <c r="G54" s="3022" t="s">
        <v>3162</v>
      </c>
      <c r="H54" s="3011" t="s">
        <v>3165</v>
      </c>
      <c r="I54" s="3006">
        <v>90</v>
      </c>
      <c r="J54" s="3005">
        <v>43466</v>
      </c>
      <c r="K54" s="3005">
        <v>44196</v>
      </c>
      <c r="L54" s="3008">
        <v>13.5</v>
      </c>
      <c r="M54" s="2999">
        <f t="shared" si="2"/>
        <v>1215</v>
      </c>
      <c r="Q54" s="2993"/>
    </row>
    <row r="55" spans="2:17" ht="14.25">
      <c r="B55" s="1737" t="s">
        <v>3160</v>
      </c>
      <c r="C55" s="1737">
        <f t="shared" si="0"/>
        <v>1</v>
      </c>
      <c r="D55" s="3009">
        <v>0</v>
      </c>
      <c r="E55" s="3009">
        <v>1</v>
      </c>
      <c r="F55" s="3026" t="s">
        <v>3164</v>
      </c>
      <c r="G55" s="3001" t="s">
        <v>3162</v>
      </c>
      <c r="H55" s="3002" t="s">
        <v>3165</v>
      </c>
      <c r="I55" s="3003">
        <v>90</v>
      </c>
      <c r="J55" s="3005">
        <f>K54+1</f>
        <v>44197</v>
      </c>
      <c r="K55" s="3005">
        <v>44926</v>
      </c>
      <c r="L55" s="3008">
        <v>14.85</v>
      </c>
      <c r="M55" s="2999">
        <f t="shared" si="2"/>
        <v>1336.5</v>
      </c>
      <c r="Q55" s="2993"/>
    </row>
    <row r="56" spans="2:17" ht="14.25">
      <c r="B56" s="1737" t="s">
        <v>3166</v>
      </c>
      <c r="C56" s="1737">
        <f t="shared" si="0"/>
        <v>1</v>
      </c>
      <c r="D56" s="3009">
        <v>0</v>
      </c>
      <c r="E56" s="3009">
        <v>1</v>
      </c>
      <c r="F56" s="3026" t="s">
        <v>3167</v>
      </c>
      <c r="G56" s="3001" t="s">
        <v>3168</v>
      </c>
      <c r="H56" s="3002" t="s">
        <v>3169</v>
      </c>
      <c r="I56" s="3003">
        <v>90</v>
      </c>
      <c r="J56" s="3005">
        <f>K55+1</f>
        <v>44927</v>
      </c>
      <c r="K56" s="3005">
        <v>45291</v>
      </c>
      <c r="L56" s="3008">
        <v>16.335000000000001</v>
      </c>
      <c r="M56" s="2999">
        <f t="shared" si="2"/>
        <v>1470.15</v>
      </c>
      <c r="Q56" s="2993"/>
    </row>
    <row r="57" spans="2:17" ht="14.25">
      <c r="B57" s="1737" t="s">
        <v>3170</v>
      </c>
      <c r="C57" s="1737">
        <f t="shared" si="0"/>
        <v>1</v>
      </c>
      <c r="D57" s="3009">
        <v>0</v>
      </c>
      <c r="E57" s="3009">
        <v>0</v>
      </c>
      <c r="F57" s="3010" t="s">
        <v>3171</v>
      </c>
      <c r="G57" s="3022" t="s">
        <v>3168</v>
      </c>
      <c r="H57" s="3011" t="s">
        <v>3172</v>
      </c>
      <c r="I57" s="3006">
        <v>32.06</v>
      </c>
      <c r="J57" s="3005">
        <v>42917</v>
      </c>
      <c r="K57" s="3005">
        <v>43646</v>
      </c>
      <c r="L57" s="3008">
        <v>10.3</v>
      </c>
      <c r="M57" s="2999">
        <f t="shared" si="2"/>
        <v>330.21800000000007</v>
      </c>
    </row>
    <row r="58" spans="2:17" ht="14.25">
      <c r="B58" s="1737" t="s">
        <v>3166</v>
      </c>
      <c r="C58" s="1737">
        <f t="shared" si="0"/>
        <v>1</v>
      </c>
      <c r="D58" s="1737">
        <v>1</v>
      </c>
      <c r="E58" s="1737">
        <v>0</v>
      </c>
      <c r="F58" s="2993" t="s">
        <v>3173</v>
      </c>
      <c r="G58" s="3022" t="s">
        <v>3168</v>
      </c>
      <c r="H58" s="3011" t="s">
        <v>3174</v>
      </c>
      <c r="I58" s="3006">
        <v>212</v>
      </c>
      <c r="J58" s="3005">
        <v>42856</v>
      </c>
      <c r="K58" s="3005">
        <v>43585</v>
      </c>
      <c r="L58" s="3008">
        <v>10.3</v>
      </c>
      <c r="M58" s="2999">
        <f t="shared" si="2"/>
        <v>2183.6000000000004</v>
      </c>
      <c r="Q58" s="2993"/>
    </row>
    <row r="59" spans="2:17" ht="14.25">
      <c r="B59" s="1737" t="s">
        <v>3166</v>
      </c>
      <c r="C59" s="1737">
        <f t="shared" si="0"/>
        <v>1</v>
      </c>
      <c r="D59" s="1737">
        <v>1</v>
      </c>
      <c r="E59" s="1737">
        <v>1</v>
      </c>
      <c r="F59" s="3000" t="str">
        <f t="shared" ref="F59:I60" si="16">F58</f>
        <v>招商证券</v>
      </c>
      <c r="G59" s="3001" t="str">
        <f t="shared" si="16"/>
        <v>B1</v>
      </c>
      <c r="H59" s="3002" t="str">
        <f t="shared" si="16"/>
        <v>B103</v>
      </c>
      <c r="I59" s="3003">
        <f t="shared" si="16"/>
        <v>212</v>
      </c>
      <c r="J59" s="3005">
        <v>43586</v>
      </c>
      <c r="K59" s="3005">
        <v>44316</v>
      </c>
      <c r="L59" s="3008">
        <v>11.33</v>
      </c>
      <c r="M59" s="2999">
        <f t="shared" si="2"/>
        <v>2401.96</v>
      </c>
      <c r="Q59" s="2993"/>
    </row>
    <row r="60" spans="2:17" ht="14.25">
      <c r="B60" s="1737" t="s">
        <v>3175</v>
      </c>
      <c r="C60" s="1737">
        <f t="shared" si="0"/>
        <v>1</v>
      </c>
      <c r="D60" s="1737">
        <v>1</v>
      </c>
      <c r="E60" s="1737">
        <v>1</v>
      </c>
      <c r="F60" s="3000" t="str">
        <f t="shared" si="16"/>
        <v>招商证券</v>
      </c>
      <c r="G60" s="3001" t="str">
        <f t="shared" si="16"/>
        <v>B1</v>
      </c>
      <c r="H60" s="3002" t="str">
        <f t="shared" si="16"/>
        <v>B103</v>
      </c>
      <c r="I60" s="3003">
        <f t="shared" si="16"/>
        <v>212</v>
      </c>
      <c r="J60" s="3005">
        <v>44317</v>
      </c>
      <c r="K60" s="3005">
        <v>44681</v>
      </c>
      <c r="L60" s="3008">
        <v>12.46</v>
      </c>
      <c r="M60" s="2999">
        <f t="shared" si="2"/>
        <v>2641.52</v>
      </c>
      <c r="Q60" s="2993"/>
    </row>
    <row r="61" spans="2:17" ht="14.25">
      <c r="B61" s="1737" t="s">
        <v>3176</v>
      </c>
      <c r="C61" s="1737">
        <f t="shared" si="0"/>
        <v>1</v>
      </c>
      <c r="D61" s="1737">
        <v>0</v>
      </c>
      <c r="E61" s="1737">
        <v>0</v>
      </c>
      <c r="F61" s="2993" t="s">
        <v>3177</v>
      </c>
      <c r="G61" s="3022" t="s">
        <v>3178</v>
      </c>
      <c r="H61" s="3011">
        <v>201</v>
      </c>
      <c r="I61" s="3006">
        <v>6540</v>
      </c>
      <c r="J61" s="2997">
        <v>43132</v>
      </c>
      <c r="K61" s="2997">
        <v>43861</v>
      </c>
      <c r="L61" s="3008">
        <f>370*4/365/$I$61*10000</f>
        <v>6.199991621632944</v>
      </c>
      <c r="M61" s="2999">
        <f t="shared" si="2"/>
        <v>40547.945205479453</v>
      </c>
      <c r="N61" s="1737" t="s">
        <v>3179</v>
      </c>
      <c r="Q61" s="2993"/>
    </row>
    <row r="62" spans="2:17" ht="14.25">
      <c r="B62" s="1737" t="s">
        <v>3176</v>
      </c>
      <c r="C62" s="1737">
        <f t="shared" si="0"/>
        <v>1</v>
      </c>
      <c r="D62" s="1737">
        <v>0</v>
      </c>
      <c r="E62" s="1737">
        <v>1</v>
      </c>
      <c r="F62" s="3000" t="str">
        <f t="shared" ref="F62:I63" si="17">F61</f>
        <v>百佑科技</v>
      </c>
      <c r="G62" s="3001" t="str">
        <f t="shared" si="17"/>
        <v>2F</v>
      </c>
      <c r="H62" s="3002">
        <f t="shared" si="17"/>
        <v>201</v>
      </c>
      <c r="I62" s="3003">
        <f t="shared" si="17"/>
        <v>6540</v>
      </c>
      <c r="J62" s="3005">
        <v>43862</v>
      </c>
      <c r="K62" s="3005">
        <v>44592</v>
      </c>
      <c r="L62" s="3008">
        <f>L61*1.1</f>
        <v>6.8199907837962392</v>
      </c>
      <c r="M62" s="2999">
        <f t="shared" si="2"/>
        <v>44602.739726027401</v>
      </c>
      <c r="Q62" s="2993"/>
    </row>
    <row r="63" spans="2:17" ht="14.25">
      <c r="B63" s="1737" t="s">
        <v>3180</v>
      </c>
      <c r="C63" s="1737">
        <f t="shared" si="0"/>
        <v>1</v>
      </c>
      <c r="D63" s="1737">
        <v>0</v>
      </c>
      <c r="E63" s="1737">
        <v>1</v>
      </c>
      <c r="F63" s="3000" t="str">
        <f t="shared" si="17"/>
        <v>百佑科技</v>
      </c>
      <c r="G63" s="3001" t="str">
        <f t="shared" si="17"/>
        <v>2F</v>
      </c>
      <c r="H63" s="3002">
        <f t="shared" si="17"/>
        <v>201</v>
      </c>
      <c r="I63" s="3003">
        <f t="shared" si="17"/>
        <v>6540</v>
      </c>
      <c r="J63" s="3005">
        <v>44593</v>
      </c>
      <c r="K63" s="3005">
        <v>44957</v>
      </c>
      <c r="L63" s="3008">
        <f>L62*1.1</f>
        <v>7.5019898621758641</v>
      </c>
      <c r="M63" s="2999">
        <f t="shared" si="2"/>
        <v>49063.013698630151</v>
      </c>
      <c r="Q63" s="2993"/>
    </row>
    <row r="64" spans="2:17" ht="14.25">
      <c r="B64" s="1737" t="s">
        <v>3181</v>
      </c>
      <c r="C64" s="1737">
        <f t="shared" si="0"/>
        <v>1</v>
      </c>
      <c r="D64" s="1737">
        <v>0</v>
      </c>
      <c r="E64" s="1737">
        <v>0</v>
      </c>
      <c r="F64" s="2993" t="s">
        <v>3182</v>
      </c>
      <c r="G64" s="3022" t="s">
        <v>3183</v>
      </c>
      <c r="H64" s="3011" t="s">
        <v>3184</v>
      </c>
      <c r="I64" s="3006">
        <v>1221</v>
      </c>
      <c r="J64" s="2997">
        <v>43101</v>
      </c>
      <c r="K64" s="2997">
        <v>43830</v>
      </c>
      <c r="L64" s="2998">
        <v>6.16</v>
      </c>
      <c r="M64" s="2999">
        <f t="shared" si="2"/>
        <v>7521.3600000000006</v>
      </c>
      <c r="N64" s="1737" t="s">
        <v>3185</v>
      </c>
      <c r="Q64" s="2993"/>
    </row>
    <row r="65" spans="2:17" ht="14.25">
      <c r="B65" s="1737" t="s">
        <v>3180</v>
      </c>
      <c r="C65" s="1737">
        <f t="shared" si="0"/>
        <v>1</v>
      </c>
      <c r="D65" s="1737">
        <v>0</v>
      </c>
      <c r="E65" s="1737">
        <v>1</v>
      </c>
      <c r="F65" s="3000" t="str">
        <f t="shared" ref="F65:I65" si="18">F64</f>
        <v>蓝图时代科技</v>
      </c>
      <c r="G65" s="3001" t="str">
        <f t="shared" si="18"/>
        <v>3F</v>
      </c>
      <c r="H65" s="3002" t="str">
        <f t="shared" si="18"/>
        <v>301B-01</v>
      </c>
      <c r="I65" s="3003">
        <f t="shared" si="18"/>
        <v>1221</v>
      </c>
      <c r="J65" s="3005">
        <v>43831</v>
      </c>
      <c r="K65" s="3005">
        <v>44196</v>
      </c>
      <c r="L65" s="3008">
        <v>6.7759999999999998</v>
      </c>
      <c r="M65" s="2999">
        <f t="shared" si="2"/>
        <v>8273.4959999999992</v>
      </c>
      <c r="Q65" s="2993"/>
    </row>
    <row r="66" spans="2:17" ht="14.25">
      <c r="B66" s="1737" t="s">
        <v>3186</v>
      </c>
      <c r="C66" s="1737">
        <f t="shared" si="0"/>
        <v>1</v>
      </c>
      <c r="D66" s="1737">
        <v>0</v>
      </c>
      <c r="E66" s="1737">
        <v>0</v>
      </c>
      <c r="F66" s="2993" t="s">
        <v>3187</v>
      </c>
      <c r="G66" s="2994" t="s">
        <v>3188</v>
      </c>
      <c r="H66" s="3011">
        <v>302</v>
      </c>
      <c r="I66" s="3006">
        <v>50</v>
      </c>
      <c r="J66" s="2997">
        <v>43101</v>
      </c>
      <c r="K66" s="2997">
        <v>43830</v>
      </c>
      <c r="L66" s="2998">
        <v>6.16</v>
      </c>
      <c r="M66" s="2999">
        <f t="shared" si="2"/>
        <v>308</v>
      </c>
      <c r="N66" s="1737" t="s">
        <v>3189</v>
      </c>
      <c r="Q66" s="2993"/>
    </row>
    <row r="67" spans="2:17" ht="14.25">
      <c r="B67" s="1737" t="s">
        <v>3186</v>
      </c>
      <c r="C67" s="1737">
        <f t="shared" si="0"/>
        <v>1</v>
      </c>
      <c r="D67" s="1737">
        <v>0</v>
      </c>
      <c r="E67" s="1737">
        <v>1</v>
      </c>
      <c r="F67" s="3000" t="str">
        <f t="shared" ref="F67:I67" si="19">F66</f>
        <v>优格华恒资本管理</v>
      </c>
      <c r="G67" s="3020" t="str">
        <f t="shared" si="19"/>
        <v>3F</v>
      </c>
      <c r="H67" s="3002">
        <f t="shared" si="19"/>
        <v>302</v>
      </c>
      <c r="I67" s="3003">
        <f t="shared" si="19"/>
        <v>50</v>
      </c>
      <c r="J67" s="3005">
        <v>43831</v>
      </c>
      <c r="K67" s="3005">
        <v>44196</v>
      </c>
      <c r="L67" s="3008">
        <v>6.7759999999999998</v>
      </c>
      <c r="M67" s="2999">
        <f t="shared" si="2"/>
        <v>338.8</v>
      </c>
      <c r="Q67" s="2993"/>
    </row>
    <row r="68" spans="2:17" ht="14.25">
      <c r="B68" s="1737" t="s">
        <v>3190</v>
      </c>
      <c r="C68" s="1737">
        <f t="shared" si="0"/>
        <v>1</v>
      </c>
      <c r="D68" s="1737">
        <v>0</v>
      </c>
      <c r="E68" s="1737">
        <v>0</v>
      </c>
      <c r="F68" s="2997" t="s">
        <v>3191</v>
      </c>
      <c r="G68" s="2994" t="s">
        <v>3192</v>
      </c>
      <c r="H68" s="3011">
        <v>301</v>
      </c>
      <c r="I68" s="2996">
        <v>3104</v>
      </c>
      <c r="J68" s="2997">
        <v>43101</v>
      </c>
      <c r="K68" s="2997">
        <v>43830</v>
      </c>
      <c r="L68" s="2998">
        <v>6.16</v>
      </c>
      <c r="M68" s="2999">
        <f t="shared" si="2"/>
        <v>19120.64</v>
      </c>
      <c r="N68" s="1737" t="s">
        <v>3193</v>
      </c>
      <c r="Q68" s="2993"/>
    </row>
    <row r="69" spans="2:17" ht="14.25">
      <c r="B69" s="1737" t="s">
        <v>3190</v>
      </c>
      <c r="C69" s="1737">
        <f t="shared" si="0"/>
        <v>1</v>
      </c>
      <c r="D69" s="1737">
        <v>0</v>
      </c>
      <c r="E69" s="1737">
        <v>1</v>
      </c>
      <c r="F69" s="3027" t="str">
        <f t="shared" ref="F69:I69" si="20">F68</f>
        <v>上海中清龙图</v>
      </c>
      <c r="G69" s="3020" t="str">
        <f t="shared" si="20"/>
        <v>3F</v>
      </c>
      <c r="H69" s="3002">
        <f t="shared" si="20"/>
        <v>301</v>
      </c>
      <c r="I69" s="3003">
        <f t="shared" si="20"/>
        <v>3104</v>
      </c>
      <c r="J69" s="3005">
        <v>43831</v>
      </c>
      <c r="K69" s="3005">
        <v>44196</v>
      </c>
      <c r="L69" s="3008">
        <v>6.7759999999999998</v>
      </c>
      <c r="M69" s="2999">
        <f t="shared" si="2"/>
        <v>21032.703999999998</v>
      </c>
      <c r="Q69" s="2993"/>
    </row>
    <row r="70" spans="2:17" ht="14.25">
      <c r="B70" s="1737" t="s">
        <v>3194</v>
      </c>
      <c r="C70" s="1737">
        <f t="shared" si="0"/>
        <v>1</v>
      </c>
      <c r="D70" s="1737">
        <v>0</v>
      </c>
      <c r="E70" s="1737">
        <v>0</v>
      </c>
      <c r="F70" s="2997" t="s">
        <v>3195</v>
      </c>
      <c r="G70" s="2994" t="s">
        <v>3196</v>
      </c>
      <c r="H70" s="3011">
        <v>303</v>
      </c>
      <c r="I70" s="3006">
        <v>1729</v>
      </c>
      <c r="J70" s="2997">
        <v>43101</v>
      </c>
      <c r="K70" s="2997">
        <v>43830</v>
      </c>
      <c r="L70" s="2998">
        <v>6.16</v>
      </c>
      <c r="M70" s="2999">
        <f t="shared" si="2"/>
        <v>10650.64</v>
      </c>
      <c r="N70" s="1737" t="s">
        <v>3197</v>
      </c>
      <c r="Q70" s="2993"/>
    </row>
    <row r="71" spans="2:17" ht="14.25">
      <c r="B71" s="1737" t="s">
        <v>3194</v>
      </c>
      <c r="C71" s="1737">
        <f t="shared" si="0"/>
        <v>1</v>
      </c>
      <c r="D71" s="1737">
        <v>0</v>
      </c>
      <c r="E71" s="1737">
        <v>1</v>
      </c>
      <c r="F71" s="3027" t="str">
        <f t="shared" ref="F71:I71" si="21">F70</f>
        <v>上海中清龙图</v>
      </c>
      <c r="G71" s="3020" t="str">
        <f t="shared" si="21"/>
        <v>3F</v>
      </c>
      <c r="H71" s="3002">
        <f t="shared" si="21"/>
        <v>303</v>
      </c>
      <c r="I71" s="3003">
        <f t="shared" si="21"/>
        <v>1729</v>
      </c>
      <c r="J71" s="3005">
        <v>43831</v>
      </c>
      <c r="K71" s="3005">
        <v>44196</v>
      </c>
      <c r="L71" s="3008">
        <v>6.7759999999999998</v>
      </c>
      <c r="M71" s="2999">
        <f t="shared" si="2"/>
        <v>11715.704</v>
      </c>
      <c r="Q71" s="2993"/>
    </row>
    <row r="72" spans="2:17" ht="14.25">
      <c r="B72" s="1737" t="s">
        <v>3198</v>
      </c>
      <c r="C72" s="1737">
        <f t="shared" si="0"/>
        <v>1</v>
      </c>
      <c r="D72" s="1737">
        <v>0</v>
      </c>
      <c r="E72" s="1737">
        <v>0</v>
      </c>
      <c r="F72" s="2997" t="s">
        <v>3199</v>
      </c>
      <c r="G72" s="2994" t="s">
        <v>3200</v>
      </c>
      <c r="H72" s="2993">
        <v>401</v>
      </c>
      <c r="I72" s="2993">
        <v>2180.04</v>
      </c>
      <c r="J72" s="2997">
        <v>43101</v>
      </c>
      <c r="K72" s="2997">
        <v>43830</v>
      </c>
      <c r="L72" s="3007">
        <v>5.72</v>
      </c>
      <c r="M72" s="2999">
        <f>L72*I72</f>
        <v>12469.828799999999</v>
      </c>
      <c r="N72" s="1737" t="s">
        <v>3201</v>
      </c>
    </row>
    <row r="73" spans="2:17" ht="14.25">
      <c r="B73" s="1737" t="s">
        <v>3198</v>
      </c>
      <c r="C73" s="1737">
        <f t="shared" ref="C73:C77" si="22">IF(F73="空置",0,1)</f>
        <v>1</v>
      </c>
      <c r="D73" s="1737">
        <v>0</v>
      </c>
      <c r="E73" s="1737">
        <v>1</v>
      </c>
      <c r="F73" s="3000" t="str">
        <f t="shared" ref="F73:G73" si="23">F72</f>
        <v>上海中清龙图</v>
      </c>
      <c r="G73" s="3001" t="str">
        <f t="shared" si="23"/>
        <v>4F</v>
      </c>
      <c r="H73" s="3000">
        <v>401</v>
      </c>
      <c r="I73" s="3000">
        <v>2180.04</v>
      </c>
      <c r="J73" s="3005">
        <v>43831</v>
      </c>
      <c r="K73" s="3005">
        <v>44196</v>
      </c>
      <c r="L73" s="3008">
        <v>6.2919999999999998</v>
      </c>
      <c r="M73" s="2999">
        <f>L73*I73</f>
        <v>13716.811679999999</v>
      </c>
    </row>
    <row r="74" spans="2:17" ht="14.25">
      <c r="B74" s="1737" t="s">
        <v>3202</v>
      </c>
      <c r="C74" s="1737">
        <f t="shared" si="22"/>
        <v>1</v>
      </c>
      <c r="D74" s="1737">
        <v>0</v>
      </c>
      <c r="E74" s="1737">
        <v>0</v>
      </c>
      <c r="F74" s="2997" t="s">
        <v>3203</v>
      </c>
      <c r="G74" s="2994" t="s">
        <v>3204</v>
      </c>
      <c r="H74" s="3028">
        <v>407</v>
      </c>
      <c r="I74" s="3006">
        <v>3518</v>
      </c>
      <c r="J74" s="3005">
        <v>43466</v>
      </c>
      <c r="K74" s="3005">
        <v>43830</v>
      </c>
      <c r="L74" s="3008">
        <v>6.2</v>
      </c>
      <c r="M74" s="2999">
        <f t="shared" si="2"/>
        <v>21811.600000000002</v>
      </c>
      <c r="N74" s="1737" t="s">
        <v>3205</v>
      </c>
    </row>
    <row r="75" spans="2:17" ht="14.25">
      <c r="B75" s="1737" t="s">
        <v>3202</v>
      </c>
      <c r="C75" s="1737">
        <f t="shared" si="22"/>
        <v>1</v>
      </c>
      <c r="D75" s="1737">
        <v>0</v>
      </c>
      <c r="E75" s="1737">
        <v>1</v>
      </c>
      <c r="F75" s="3029" t="str">
        <f>F74</f>
        <v>嗨学网教育科技</v>
      </c>
      <c r="G75" s="3020" t="s">
        <v>3206</v>
      </c>
      <c r="H75" s="3030">
        <v>407</v>
      </c>
      <c r="I75" s="3003">
        <v>3518</v>
      </c>
      <c r="J75" s="3005">
        <v>43831</v>
      </c>
      <c r="K75" s="3005">
        <v>44195</v>
      </c>
      <c r="L75" s="3008">
        <v>6.82</v>
      </c>
      <c r="M75" s="2999">
        <f t="shared" ref="M75:M77" si="24">L75*I75</f>
        <v>23992.760000000002</v>
      </c>
    </row>
    <row r="76" spans="2:17" ht="14.25">
      <c r="B76" s="1737" t="s">
        <v>3207</v>
      </c>
      <c r="C76" s="1737">
        <f t="shared" si="22"/>
        <v>1</v>
      </c>
      <c r="D76" s="1737">
        <v>0</v>
      </c>
      <c r="E76" s="1737">
        <v>0</v>
      </c>
      <c r="F76" s="1737" t="s">
        <v>3208</v>
      </c>
      <c r="G76" s="2994" t="s">
        <v>3206</v>
      </c>
      <c r="H76" s="2993">
        <v>409</v>
      </c>
      <c r="I76" s="2993">
        <v>828.67</v>
      </c>
      <c r="J76" s="3031">
        <v>43466</v>
      </c>
      <c r="K76" s="3031">
        <v>43830</v>
      </c>
      <c r="L76" s="3008">
        <v>6.2</v>
      </c>
      <c r="M76" s="2999">
        <f t="shared" si="24"/>
        <v>5137.7539999999999</v>
      </c>
      <c r="N76" s="1737" t="s">
        <v>3209</v>
      </c>
    </row>
    <row r="77" spans="2:17" ht="14.25">
      <c r="B77" s="1737" t="s">
        <v>3207</v>
      </c>
      <c r="C77" s="1737">
        <f t="shared" si="22"/>
        <v>1</v>
      </c>
      <c r="D77" s="1737">
        <v>0</v>
      </c>
      <c r="E77" s="1737">
        <v>1</v>
      </c>
      <c r="F77" s="3032" t="s">
        <v>3208</v>
      </c>
      <c r="G77" s="3020" t="s">
        <v>3206</v>
      </c>
      <c r="H77" s="3000">
        <v>409</v>
      </c>
      <c r="I77" s="3000">
        <v>828.67</v>
      </c>
      <c r="J77" s="3031">
        <f>K76+1</f>
        <v>43831</v>
      </c>
      <c r="K77" s="3031">
        <v>44196</v>
      </c>
      <c r="L77" s="3008">
        <v>6.82</v>
      </c>
      <c r="M77" s="2999">
        <f t="shared" si="24"/>
        <v>5651.5294000000004</v>
      </c>
    </row>
    <row r="78" spans="2:17" s="3009" customFormat="1" ht="14.25">
      <c r="G78" s="2994"/>
      <c r="J78" s="3033"/>
      <c r="K78" s="3033"/>
      <c r="L78" s="3008"/>
      <c r="M78" s="2999"/>
      <c r="N78" s="1737"/>
      <c r="O78" s="1737"/>
      <c r="P78" s="1737"/>
    </row>
    <row r="79" spans="2:17" s="3009" customFormat="1" ht="14.25">
      <c r="G79" s="2994"/>
      <c r="J79" s="3033"/>
      <c r="K79" s="3033"/>
      <c r="L79" s="3008"/>
      <c r="M79" s="2999"/>
      <c r="N79" s="1737"/>
      <c r="O79" s="1737"/>
      <c r="P79" s="1737"/>
    </row>
    <row r="80" spans="2:17" ht="14.25">
      <c r="J80" s="2993"/>
      <c r="K80" s="2993"/>
      <c r="L80" s="3034"/>
      <c r="M80" s="3035"/>
      <c r="Q80" s="2993"/>
    </row>
    <row r="81" spans="7:13">
      <c r="L81" s="1737"/>
      <c r="M81" s="1737"/>
    </row>
    <row r="82" spans="7:13">
      <c r="J82" s="3036"/>
      <c r="L82" s="1737"/>
      <c r="M82" s="1737"/>
    </row>
    <row r="83" spans="7:13">
      <c r="L83" s="1737"/>
      <c r="M83" s="1737"/>
    </row>
    <row r="84" spans="7:13">
      <c r="L84" s="1737"/>
      <c r="M84" s="1737"/>
    </row>
    <row r="85" spans="7:13">
      <c r="L85" s="1737"/>
      <c r="M85" s="1737"/>
    </row>
    <row r="86" spans="7:13" ht="14.25">
      <c r="G86" s="3037"/>
      <c r="H86" s="3038"/>
      <c r="I86" s="2993"/>
      <c r="L86" s="1737"/>
      <c r="M86" s="1737"/>
    </row>
    <row r="87" spans="7:13">
      <c r="L87" s="1737"/>
      <c r="M87" s="1737"/>
    </row>
    <row r="88" spans="7:13">
      <c r="L88" s="1737"/>
      <c r="M88" s="1737"/>
    </row>
  </sheetData>
  <autoFilter ref="B4:P73"/>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4"/>
  <sheetViews>
    <sheetView topLeftCell="A46" workbookViewId="0">
      <selection activeCell="H26" sqref="H26"/>
    </sheetView>
  </sheetViews>
  <sheetFormatPr defaultRowHeight="13.5"/>
  <cols>
    <col min="1" max="1" width="9" style="1737"/>
    <col min="2" max="2" width="12.75" style="1737" customWidth="1"/>
    <col min="3" max="16384" width="9" style="1737"/>
  </cols>
  <sheetData>
    <row r="2" spans="1:3">
      <c r="A2" s="1737" t="s">
        <v>3222</v>
      </c>
      <c r="B2" s="1737" t="s">
        <v>3223</v>
      </c>
      <c r="C2" s="1737" t="s">
        <v>3224</v>
      </c>
    </row>
    <row r="3" spans="1:3">
      <c r="A3" s="1737">
        <v>1</v>
      </c>
      <c r="B3" s="1737">
        <v>-2001</v>
      </c>
      <c r="C3" s="1737">
        <v>35.26</v>
      </c>
    </row>
    <row r="4" spans="1:3">
      <c r="A4" s="1737">
        <v>2</v>
      </c>
      <c r="B4" s="1737">
        <v>-2002</v>
      </c>
      <c r="C4" s="1737">
        <v>35.26</v>
      </c>
    </row>
    <row r="5" spans="1:3">
      <c r="A5" s="1737">
        <v>3</v>
      </c>
      <c r="B5" s="1737">
        <v>-2003</v>
      </c>
      <c r="C5" s="1737">
        <v>35.26</v>
      </c>
    </row>
    <row r="6" spans="1:3">
      <c r="A6" s="1737">
        <v>4</v>
      </c>
      <c r="B6" s="1737">
        <v>-2005</v>
      </c>
      <c r="C6" s="1737">
        <v>35.26</v>
      </c>
    </row>
    <row r="7" spans="1:3">
      <c r="A7" s="1737">
        <v>5</v>
      </c>
      <c r="B7" s="1737">
        <v>-2006</v>
      </c>
      <c r="C7" s="1737">
        <v>35.26</v>
      </c>
    </row>
    <row r="8" spans="1:3">
      <c r="A8" s="1737">
        <v>6</v>
      </c>
      <c r="B8" s="1737">
        <v>-2007</v>
      </c>
      <c r="C8" s="1737">
        <v>35.26</v>
      </c>
    </row>
    <row r="9" spans="1:3">
      <c r="A9" s="1737">
        <v>7</v>
      </c>
      <c r="B9" s="1737">
        <v>-2008</v>
      </c>
      <c r="C9" s="1737">
        <v>35.96</v>
      </c>
    </row>
    <row r="10" spans="1:3">
      <c r="A10" s="1737">
        <v>8</v>
      </c>
      <c r="B10" s="1737">
        <v>-2009</v>
      </c>
      <c r="C10" s="1737">
        <v>35.96</v>
      </c>
    </row>
    <row r="11" spans="1:3">
      <c r="A11" s="1737">
        <v>9</v>
      </c>
      <c r="B11" s="1737">
        <v>-2010</v>
      </c>
      <c r="C11" s="1737">
        <v>35.96</v>
      </c>
    </row>
    <row r="12" spans="1:3">
      <c r="A12" s="1737">
        <v>10</v>
      </c>
      <c r="B12" s="1737">
        <v>-2011</v>
      </c>
      <c r="C12" s="1737">
        <v>35.26</v>
      </c>
    </row>
    <row r="13" spans="1:3">
      <c r="A13" s="1737">
        <v>11</v>
      </c>
      <c r="B13" s="1737">
        <v>-2012</v>
      </c>
      <c r="C13" s="1737">
        <v>35.26</v>
      </c>
    </row>
    <row r="14" spans="1:3">
      <c r="A14" s="1737">
        <v>12</v>
      </c>
      <c r="B14" s="1737">
        <v>-2015</v>
      </c>
      <c r="C14" s="1737">
        <v>35.26</v>
      </c>
    </row>
    <row r="15" spans="1:3">
      <c r="A15" s="1737">
        <v>13</v>
      </c>
      <c r="B15" s="1737">
        <v>-2016</v>
      </c>
      <c r="C15" s="1737">
        <v>35.96</v>
      </c>
    </row>
    <row r="16" spans="1:3">
      <c r="A16" s="1737">
        <v>14</v>
      </c>
      <c r="B16" s="1737">
        <v>-2051</v>
      </c>
      <c r="C16" s="1737">
        <v>35.96</v>
      </c>
    </row>
    <row r="17" spans="1:3">
      <c r="A17" s="1737">
        <v>15</v>
      </c>
      <c r="B17" s="1737">
        <v>-2052</v>
      </c>
      <c r="C17" s="1737">
        <v>35.96</v>
      </c>
    </row>
    <row r="18" spans="1:3">
      <c r="A18" s="1737">
        <v>16</v>
      </c>
      <c r="B18" s="1737">
        <v>-2059</v>
      </c>
      <c r="C18" s="1737">
        <v>35.26</v>
      </c>
    </row>
    <row r="19" spans="1:3">
      <c r="A19" s="1737">
        <v>17</v>
      </c>
      <c r="B19" s="1737">
        <v>-2060</v>
      </c>
      <c r="C19" s="1737">
        <v>35.26</v>
      </c>
    </row>
    <row r="20" spans="1:3">
      <c r="A20" s="1737">
        <v>18</v>
      </c>
      <c r="B20" s="1737">
        <v>-2061</v>
      </c>
      <c r="C20" s="1737">
        <v>35.26</v>
      </c>
    </row>
    <row r="21" spans="1:3">
      <c r="A21" s="1737">
        <v>19</v>
      </c>
      <c r="B21" s="1737">
        <v>-2062</v>
      </c>
      <c r="C21" s="1737">
        <v>35.26</v>
      </c>
    </row>
    <row r="22" spans="1:3">
      <c r="A22" s="1737">
        <v>20</v>
      </c>
      <c r="B22" s="1737">
        <v>-2063</v>
      </c>
      <c r="C22" s="1737">
        <v>35.26</v>
      </c>
    </row>
    <row r="23" spans="1:3">
      <c r="A23" s="1737">
        <v>21</v>
      </c>
      <c r="B23" s="1737">
        <v>-2065</v>
      </c>
      <c r="C23" s="1737">
        <v>35.26</v>
      </c>
    </row>
    <row r="24" spans="1:3">
      <c r="A24" s="1737">
        <v>22</v>
      </c>
      <c r="B24" s="1737">
        <v>-2066</v>
      </c>
      <c r="C24" s="1737">
        <v>35.26</v>
      </c>
    </row>
    <row r="25" spans="1:3">
      <c r="A25" s="1737">
        <v>23</v>
      </c>
      <c r="B25" s="1737">
        <v>-2067</v>
      </c>
      <c r="C25" s="1737">
        <v>35.26</v>
      </c>
    </row>
    <row r="26" spans="1:3">
      <c r="A26" s="1737">
        <v>24</v>
      </c>
      <c r="B26" s="1737">
        <v>-2068</v>
      </c>
      <c r="C26" s="1737">
        <v>35.26</v>
      </c>
    </row>
    <row r="27" spans="1:3">
      <c r="A27" s="1737">
        <v>25</v>
      </c>
      <c r="B27" s="1737">
        <v>-2069</v>
      </c>
      <c r="C27" s="1737">
        <v>35.26</v>
      </c>
    </row>
    <row r="28" spans="1:3">
      <c r="A28" s="1737">
        <v>26</v>
      </c>
      <c r="B28" s="1737">
        <v>-2070</v>
      </c>
      <c r="C28" s="1737">
        <v>35.26</v>
      </c>
    </row>
    <row r="29" spans="1:3">
      <c r="A29" s="1737">
        <v>27</v>
      </c>
      <c r="B29" s="1737">
        <v>-2071</v>
      </c>
      <c r="C29" s="1737">
        <v>35.26</v>
      </c>
    </row>
    <row r="30" spans="1:3">
      <c r="A30" s="1737">
        <v>28</v>
      </c>
      <c r="B30" s="1737">
        <v>-2072</v>
      </c>
      <c r="C30" s="1737">
        <v>35.26</v>
      </c>
    </row>
    <row r="31" spans="1:3">
      <c r="A31" s="1737">
        <v>29</v>
      </c>
      <c r="B31" s="1737">
        <v>-2073</v>
      </c>
      <c r="C31" s="1737">
        <v>35.26</v>
      </c>
    </row>
    <row r="32" spans="1:3">
      <c r="A32" s="1737">
        <v>30</v>
      </c>
      <c r="B32" s="1737">
        <v>-2075</v>
      </c>
      <c r="C32" s="1737">
        <v>35.26</v>
      </c>
    </row>
    <row r="33" spans="1:3">
      <c r="A33" s="1737">
        <v>31</v>
      </c>
      <c r="B33" s="1737">
        <v>-2076</v>
      </c>
      <c r="C33" s="1737">
        <v>35.26</v>
      </c>
    </row>
    <row r="34" spans="1:3">
      <c r="A34" s="1737">
        <v>32</v>
      </c>
      <c r="B34" s="1737">
        <v>-2077</v>
      </c>
      <c r="C34" s="1737">
        <v>35.26</v>
      </c>
    </row>
    <row r="35" spans="1:3">
      <c r="A35" s="1737">
        <v>33</v>
      </c>
      <c r="B35" s="1737">
        <v>-2078</v>
      </c>
      <c r="C35" s="1737">
        <v>35.26</v>
      </c>
    </row>
    <row r="36" spans="1:3">
      <c r="A36" s="1737">
        <v>34</v>
      </c>
      <c r="B36" s="1737">
        <v>-2079</v>
      </c>
      <c r="C36" s="1737">
        <v>35.26</v>
      </c>
    </row>
    <row r="37" spans="1:3">
      <c r="A37" s="1737">
        <v>35</v>
      </c>
      <c r="B37" s="1737">
        <v>-2080</v>
      </c>
      <c r="C37" s="1737">
        <v>35.26</v>
      </c>
    </row>
    <row r="38" spans="1:3">
      <c r="A38" s="1737">
        <v>36</v>
      </c>
      <c r="B38" s="1737">
        <v>-2081</v>
      </c>
      <c r="C38" s="1737">
        <v>35.26</v>
      </c>
    </row>
    <row r="39" spans="1:3">
      <c r="A39" s="1737">
        <v>37</v>
      </c>
      <c r="B39" s="1737">
        <v>-2082</v>
      </c>
      <c r="C39" s="1737">
        <v>35.26</v>
      </c>
    </row>
    <row r="40" spans="1:3">
      <c r="A40" s="1737">
        <v>38</v>
      </c>
      <c r="B40" s="1737">
        <v>-2083</v>
      </c>
      <c r="C40" s="1737">
        <v>35.26</v>
      </c>
    </row>
    <row r="41" spans="1:3">
      <c r="A41" s="1737">
        <v>39</v>
      </c>
      <c r="B41" s="1737">
        <v>-2085</v>
      </c>
      <c r="C41" s="1737">
        <v>35.26</v>
      </c>
    </row>
    <row r="42" spans="1:3">
      <c r="A42" s="1737">
        <v>40</v>
      </c>
      <c r="B42" s="1737">
        <v>-2086</v>
      </c>
      <c r="C42" s="1737">
        <v>35.26</v>
      </c>
    </row>
    <row r="43" spans="1:3">
      <c r="A43" s="1737">
        <v>41</v>
      </c>
      <c r="B43" s="1737">
        <v>-2087</v>
      </c>
      <c r="C43" s="1737">
        <v>35.26</v>
      </c>
    </row>
    <row r="44" spans="1:3">
      <c r="A44" s="1737">
        <v>42</v>
      </c>
      <c r="B44" s="1737">
        <v>-2088</v>
      </c>
      <c r="C44" s="1737">
        <v>35.26</v>
      </c>
    </row>
    <row r="45" spans="1:3">
      <c r="A45" s="1737">
        <v>43</v>
      </c>
      <c r="B45" s="1737">
        <v>-2089</v>
      </c>
      <c r="C45" s="1737">
        <v>35.26</v>
      </c>
    </row>
    <row r="46" spans="1:3">
      <c r="A46" s="1737">
        <v>44</v>
      </c>
      <c r="B46" s="1737">
        <v>-2090</v>
      </c>
      <c r="C46" s="1737">
        <v>35.26</v>
      </c>
    </row>
    <row r="47" spans="1:3">
      <c r="A47" s="1737">
        <v>45</v>
      </c>
      <c r="B47" s="1737">
        <v>-2091</v>
      </c>
      <c r="C47" s="1737">
        <v>35.26</v>
      </c>
    </row>
    <row r="48" spans="1:3">
      <c r="A48" s="1737">
        <v>46</v>
      </c>
      <c r="B48" s="1737">
        <v>-2092</v>
      </c>
      <c r="C48" s="1737">
        <v>35.26</v>
      </c>
    </row>
    <row r="49" spans="1:3">
      <c r="A49" s="1737">
        <v>47</v>
      </c>
      <c r="B49" s="1737">
        <v>-2093</v>
      </c>
      <c r="C49" s="1737">
        <v>35.26</v>
      </c>
    </row>
    <row r="50" spans="1:3">
      <c r="A50" s="1737">
        <v>48</v>
      </c>
      <c r="B50" s="1737">
        <v>-2095</v>
      </c>
      <c r="C50" s="1737">
        <v>35.26</v>
      </c>
    </row>
    <row r="51" spans="1:3">
      <c r="A51" s="1737">
        <v>49</v>
      </c>
      <c r="B51" s="1737">
        <v>-2096</v>
      </c>
      <c r="C51" s="1737">
        <v>35.26</v>
      </c>
    </row>
    <row r="52" spans="1:3">
      <c r="A52" s="1737">
        <v>50</v>
      </c>
      <c r="B52" s="1737">
        <v>-2097</v>
      </c>
      <c r="C52" s="1737">
        <v>35.26</v>
      </c>
    </row>
    <row r="53" spans="1:3">
      <c r="A53" s="1737">
        <v>51</v>
      </c>
      <c r="B53" s="1737">
        <v>-2098</v>
      </c>
      <c r="C53" s="1737">
        <v>35.26</v>
      </c>
    </row>
    <row r="54" spans="1:3">
      <c r="A54" s="1737">
        <v>52</v>
      </c>
      <c r="B54" s="1737">
        <v>-2099</v>
      </c>
      <c r="C54" s="1737">
        <v>32.32</v>
      </c>
    </row>
    <row r="55" spans="1:3">
      <c r="A55" s="1737">
        <v>53</v>
      </c>
      <c r="B55" s="1737">
        <v>-2100</v>
      </c>
      <c r="C55" s="1737">
        <v>35.26</v>
      </c>
    </row>
    <row r="56" spans="1:3">
      <c r="A56" s="1737">
        <v>54</v>
      </c>
      <c r="B56" s="1737">
        <v>-2101</v>
      </c>
      <c r="C56" s="1737">
        <v>35.26</v>
      </c>
    </row>
    <row r="57" spans="1:3">
      <c r="A57" s="1737">
        <v>55</v>
      </c>
      <c r="B57" s="1737">
        <v>-2102</v>
      </c>
      <c r="C57" s="1737">
        <v>35.26</v>
      </c>
    </row>
    <row r="58" spans="1:3">
      <c r="A58" s="1737">
        <v>56</v>
      </c>
      <c r="B58" s="1737">
        <v>-2103</v>
      </c>
      <c r="C58" s="1737">
        <v>35.26</v>
      </c>
    </row>
    <row r="59" spans="1:3">
      <c r="A59" s="1737">
        <v>57</v>
      </c>
      <c r="B59" s="1737">
        <v>-2105</v>
      </c>
      <c r="C59" s="1737">
        <v>35.26</v>
      </c>
    </row>
    <row r="60" spans="1:3">
      <c r="A60" s="1737">
        <v>58</v>
      </c>
      <c r="B60" s="1737">
        <v>-2106</v>
      </c>
      <c r="C60" s="1737">
        <v>35.26</v>
      </c>
    </row>
    <row r="61" spans="1:3">
      <c r="A61" s="1737">
        <v>59</v>
      </c>
      <c r="B61" s="1737">
        <v>-2107</v>
      </c>
      <c r="C61" s="1737">
        <v>35.26</v>
      </c>
    </row>
    <row r="62" spans="1:3">
      <c r="A62" s="1737">
        <v>60</v>
      </c>
      <c r="B62" s="1737">
        <v>-2108</v>
      </c>
      <c r="C62" s="1737">
        <v>35.26</v>
      </c>
    </row>
    <row r="63" spans="1:3">
      <c r="A63" s="1737">
        <v>61</v>
      </c>
      <c r="B63" s="1737">
        <v>-2109</v>
      </c>
      <c r="C63" s="1737">
        <v>35.26</v>
      </c>
    </row>
    <row r="64" spans="1:3">
      <c r="A64" s="1737">
        <v>62</v>
      </c>
      <c r="B64" s="1737">
        <v>-2110</v>
      </c>
      <c r="C64" s="1737">
        <v>35.26</v>
      </c>
    </row>
    <row r="65" spans="1:3">
      <c r="A65" s="1737">
        <v>63</v>
      </c>
      <c r="B65" s="1737">
        <v>-2111</v>
      </c>
      <c r="C65" s="1737">
        <v>35.26</v>
      </c>
    </row>
    <row r="66" spans="1:3">
      <c r="A66" s="1737">
        <v>64</v>
      </c>
      <c r="B66" s="1737">
        <v>-2112</v>
      </c>
      <c r="C66" s="1737">
        <v>35.26</v>
      </c>
    </row>
    <row r="67" spans="1:3">
      <c r="A67" s="1737">
        <v>65</v>
      </c>
      <c r="B67" s="1737">
        <v>-2115</v>
      </c>
      <c r="C67" s="1737">
        <v>35.26</v>
      </c>
    </row>
    <row r="68" spans="1:3">
      <c r="A68" s="1737">
        <v>66</v>
      </c>
      <c r="B68" s="1737">
        <v>-2116</v>
      </c>
      <c r="C68" s="1737">
        <v>35.26</v>
      </c>
    </row>
    <row r="69" spans="1:3">
      <c r="A69" s="1737">
        <v>67</v>
      </c>
      <c r="B69" s="1737">
        <v>-2117</v>
      </c>
      <c r="C69" s="1737">
        <v>35.26</v>
      </c>
    </row>
    <row r="70" spans="1:3">
      <c r="A70" s="1737">
        <v>68</v>
      </c>
      <c r="B70" s="1737">
        <v>-2118</v>
      </c>
      <c r="C70" s="1737">
        <v>35.26</v>
      </c>
    </row>
    <row r="71" spans="1:3">
      <c r="A71" s="1737">
        <v>69</v>
      </c>
      <c r="B71" s="1737">
        <v>-2119</v>
      </c>
      <c r="C71" s="1737">
        <v>35.26</v>
      </c>
    </row>
    <row r="72" spans="1:3">
      <c r="A72" s="1737">
        <v>70</v>
      </c>
      <c r="B72" s="1737">
        <v>-2120</v>
      </c>
      <c r="C72" s="1737">
        <v>35.26</v>
      </c>
    </row>
    <row r="73" spans="1:3">
      <c r="A73" s="1737">
        <v>71</v>
      </c>
      <c r="B73" s="1737">
        <v>-2121</v>
      </c>
      <c r="C73" s="1737">
        <v>35.26</v>
      </c>
    </row>
    <row r="74" spans="1:3">
      <c r="A74" s="1737">
        <v>72</v>
      </c>
      <c r="B74" s="1737">
        <v>-2122</v>
      </c>
      <c r="C74" s="1737">
        <v>35.26</v>
      </c>
    </row>
    <row r="75" spans="1:3">
      <c r="A75" s="1737">
        <v>73</v>
      </c>
      <c r="B75" s="1737">
        <v>-2123</v>
      </c>
      <c r="C75" s="1737">
        <v>35.26</v>
      </c>
    </row>
    <row r="76" spans="1:3">
      <c r="A76" s="1737">
        <v>74</v>
      </c>
      <c r="B76" s="1737">
        <v>-2125</v>
      </c>
      <c r="C76" s="1737">
        <v>35.26</v>
      </c>
    </row>
    <row r="77" spans="1:3">
      <c r="A77" s="1737">
        <v>75</v>
      </c>
      <c r="B77" s="1737">
        <v>-2126</v>
      </c>
      <c r="C77" s="1737">
        <v>35.26</v>
      </c>
    </row>
    <row r="78" spans="1:3">
      <c r="A78" s="1737">
        <v>76</v>
      </c>
      <c r="B78" s="1737">
        <v>-2127</v>
      </c>
      <c r="C78" s="1737">
        <v>35.26</v>
      </c>
    </row>
    <row r="79" spans="1:3">
      <c r="A79" s="1737">
        <v>77</v>
      </c>
      <c r="B79" s="1737">
        <v>-2128</v>
      </c>
      <c r="C79" s="1737">
        <v>35.26</v>
      </c>
    </row>
    <row r="80" spans="1:3">
      <c r="A80" s="1737">
        <v>78</v>
      </c>
      <c r="B80" s="1737">
        <v>-2129</v>
      </c>
      <c r="C80" s="1737">
        <v>35.26</v>
      </c>
    </row>
    <row r="81" spans="1:3">
      <c r="A81" s="1737">
        <v>79</v>
      </c>
      <c r="B81" s="1737">
        <v>-2130</v>
      </c>
      <c r="C81" s="1737">
        <v>35.26</v>
      </c>
    </row>
    <row r="82" spans="1:3">
      <c r="A82" s="1737">
        <v>80</v>
      </c>
      <c r="B82" s="1737">
        <v>-2131</v>
      </c>
      <c r="C82" s="1737">
        <v>35.26</v>
      </c>
    </row>
    <row r="83" spans="1:3">
      <c r="A83" s="1737">
        <v>81</v>
      </c>
      <c r="B83" s="1737">
        <v>-2132</v>
      </c>
      <c r="C83" s="1737">
        <v>35.26</v>
      </c>
    </row>
    <row r="84" spans="1:3">
      <c r="A84" s="1737">
        <v>82</v>
      </c>
      <c r="B84" s="1737">
        <v>-2133</v>
      </c>
      <c r="C84" s="1737">
        <v>35.26</v>
      </c>
    </row>
    <row r="85" spans="1:3">
      <c r="A85" s="1737">
        <v>83</v>
      </c>
      <c r="B85" s="1737">
        <v>-2135</v>
      </c>
      <c r="C85" s="1737">
        <v>35.26</v>
      </c>
    </row>
    <row r="86" spans="1:3">
      <c r="A86" s="1737">
        <v>84</v>
      </c>
      <c r="B86" s="1737">
        <v>-2136</v>
      </c>
      <c r="C86" s="1737">
        <v>35.26</v>
      </c>
    </row>
    <row r="87" spans="1:3">
      <c r="A87" s="1737">
        <v>85</v>
      </c>
      <c r="B87" s="1737">
        <v>-2137</v>
      </c>
      <c r="C87" s="1737">
        <v>35.26</v>
      </c>
    </row>
    <row r="88" spans="1:3">
      <c r="A88" s="1737">
        <v>86</v>
      </c>
      <c r="B88" s="1737">
        <v>-2168</v>
      </c>
      <c r="C88" s="1737">
        <v>32.32</v>
      </c>
    </row>
    <row r="89" spans="1:3">
      <c r="A89" s="1737">
        <v>87</v>
      </c>
      <c r="B89" s="1737">
        <v>-2169</v>
      </c>
      <c r="C89" s="1737">
        <v>35.26</v>
      </c>
    </row>
    <row r="90" spans="1:3">
      <c r="A90" s="1737">
        <v>88</v>
      </c>
      <c r="B90" s="1737">
        <v>-2170</v>
      </c>
      <c r="C90" s="1737">
        <v>35.26</v>
      </c>
    </row>
    <row r="91" spans="1:3">
      <c r="A91" s="1737">
        <v>89</v>
      </c>
      <c r="B91" s="1737">
        <v>-2171</v>
      </c>
      <c r="C91" s="1737">
        <v>35.26</v>
      </c>
    </row>
    <row r="92" spans="1:3">
      <c r="A92" s="1737">
        <v>90</v>
      </c>
      <c r="B92" s="1737">
        <v>-2172</v>
      </c>
      <c r="C92" s="1737">
        <v>35.26</v>
      </c>
    </row>
    <row r="93" spans="1:3">
      <c r="A93" s="1737">
        <v>91</v>
      </c>
      <c r="B93" s="1737">
        <v>-2173</v>
      </c>
      <c r="C93" s="1737">
        <v>35.26</v>
      </c>
    </row>
    <row r="94" spans="1:3">
      <c r="A94" s="1737">
        <v>92</v>
      </c>
      <c r="B94" s="1737">
        <v>-2175</v>
      </c>
      <c r="C94" s="1737">
        <v>35.26</v>
      </c>
    </row>
    <row r="95" spans="1:3">
      <c r="A95" s="1737">
        <v>93</v>
      </c>
      <c r="B95" s="1737">
        <v>-2176</v>
      </c>
      <c r="C95" s="1737">
        <v>35.26</v>
      </c>
    </row>
    <row r="96" spans="1:3">
      <c r="A96" s="1737">
        <v>94</v>
      </c>
      <c r="B96" s="1737">
        <v>-2177</v>
      </c>
      <c r="C96" s="1737">
        <v>35.26</v>
      </c>
    </row>
    <row r="97" spans="1:3">
      <c r="A97" s="1737">
        <v>95</v>
      </c>
      <c r="B97" s="1737">
        <v>-2178</v>
      </c>
      <c r="C97" s="1737">
        <v>35.26</v>
      </c>
    </row>
    <row r="98" spans="1:3">
      <c r="A98" s="1737">
        <v>96</v>
      </c>
      <c r="B98" s="1737">
        <v>-2179</v>
      </c>
      <c r="C98" s="1737">
        <v>35.26</v>
      </c>
    </row>
    <row r="99" spans="1:3">
      <c r="A99" s="1737">
        <v>97</v>
      </c>
      <c r="B99" s="1737">
        <v>-2180</v>
      </c>
      <c r="C99" s="1737">
        <v>35.26</v>
      </c>
    </row>
    <row r="100" spans="1:3">
      <c r="A100" s="1737">
        <v>98</v>
      </c>
      <c r="B100" s="1737">
        <v>-2181</v>
      </c>
      <c r="C100" s="1737">
        <v>35.26</v>
      </c>
    </row>
    <row r="101" spans="1:3">
      <c r="A101" s="1737">
        <v>99</v>
      </c>
      <c r="B101" s="1737">
        <v>-2182</v>
      </c>
      <c r="C101" s="1737">
        <v>35.26</v>
      </c>
    </row>
    <row r="102" spans="1:3">
      <c r="A102" s="1737">
        <v>100</v>
      </c>
      <c r="B102" s="1737">
        <v>-2183</v>
      </c>
      <c r="C102" s="1737">
        <v>35.26</v>
      </c>
    </row>
    <row r="103" spans="1:3">
      <c r="A103" s="1737">
        <v>101</v>
      </c>
      <c r="B103" s="1737">
        <v>-2185</v>
      </c>
      <c r="C103" s="1737">
        <v>35.26</v>
      </c>
    </row>
    <row r="104" spans="1:3">
      <c r="C104" s="1737">
        <f>SUM(C3:C103)</f>
        <v>3559.5800000000086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70" t="s">
        <v>1658</v>
      </c>
      <c r="B1" s="3070"/>
      <c r="C1" s="3070"/>
      <c r="D1" s="3070"/>
    </row>
    <row r="2" spans="1:4" ht="18">
      <c r="A2" s="3071" t="s">
        <v>1642</v>
      </c>
      <c r="B2" s="3071"/>
      <c r="C2" s="3071"/>
      <c r="D2" s="3071"/>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王鹏</v>
      </c>
      <c r="B5" s="1978">
        <f ca="1">项目基本情况!E4</f>
        <v>1120050019</v>
      </c>
      <c r="C5" s="1981"/>
      <c r="D5" s="1980" t="s">
        <v>1647</v>
      </c>
    </row>
    <row r="6" spans="1:4" ht="18">
      <c r="A6" s="3071" t="s">
        <v>1648</v>
      </c>
      <c r="B6" s="3071"/>
      <c r="C6" s="3071"/>
      <c r="D6" s="3071"/>
    </row>
    <row r="7" spans="1:4" ht="18.75">
      <c r="A7" s="1976" t="s">
        <v>1643</v>
      </c>
      <c r="B7" s="1978" t="s">
        <v>1649</v>
      </c>
      <c r="C7" s="1976" t="s">
        <v>1645</v>
      </c>
      <c r="D7" s="1976" t="s">
        <v>1646</v>
      </c>
    </row>
    <row r="8" spans="1:4" ht="56.25" customHeight="1">
      <c r="A8" s="1982" t="s">
        <v>866</v>
      </c>
      <c r="B8" s="1982" t="s">
        <v>1</v>
      </c>
      <c r="C8" s="1979"/>
      <c r="D8" s="1980" t="s">
        <v>1647</v>
      </c>
    </row>
    <row r="9" spans="1:4">
      <c r="A9" s="727"/>
      <c r="B9" s="727"/>
      <c r="C9" s="727"/>
      <c r="D9" s="727"/>
    </row>
    <row r="10" spans="1:4" ht="18.75">
      <c r="A10" s="1983" t="s">
        <v>1650</v>
      </c>
      <c r="B10" s="727"/>
      <c r="C10" s="727"/>
      <c r="D10" s="727"/>
    </row>
    <row r="11" spans="1:4" ht="30" customHeight="1">
      <c r="A11" s="3072" t="s">
        <v>1651</v>
      </c>
      <c r="B11" s="3073"/>
      <c r="C11" s="3073"/>
      <c r="D11" s="3073"/>
    </row>
    <row r="12" spans="1:4" ht="15.75">
      <c r="A12" s="30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4"/>
      <c r="C12" s="3074"/>
      <c r="D12" s="3074"/>
    </row>
    <row r="13" spans="1:4" ht="30" customHeight="1">
      <c r="A13" s="30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4"/>
      <c r="C13" s="3074"/>
      <c r="D13" s="3074"/>
    </row>
    <row r="14" spans="1:4" ht="15.75" customHeight="1">
      <c r="A14" s="3073" t="str">
        <f>IF(项目基本情况!B8="抵押","4.本次评估估价师所知悉的法定优先受偿款情况说明如下：","——")</f>
        <v>4.本次评估估价师所知悉的法定优先受偿款情况说明如下：</v>
      </c>
      <c r="B14" s="3074"/>
      <c r="C14" s="3074"/>
      <c r="D14" s="3074"/>
    </row>
    <row r="15" spans="1:4" ht="42" customHeight="1">
      <c r="A15" s="307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3"/>
      <c r="C15" s="3073"/>
      <c r="D15" s="3073"/>
    </row>
    <row r="16" spans="1:4" ht="30" customHeight="1">
      <c r="A16" s="3076" t="s">
        <v>1652</v>
      </c>
      <c r="B16" s="3076"/>
      <c r="C16" s="3076"/>
      <c r="D16" s="3076"/>
    </row>
    <row r="17" spans="1:4" ht="144" customHeight="1">
      <c r="A17" s="3076" t="s">
        <v>1653</v>
      </c>
      <c r="B17" s="3076"/>
      <c r="C17" s="3076"/>
      <c r="D17" s="3076"/>
    </row>
    <row r="18" spans="1:4" ht="15.75" customHeight="1">
      <c r="A18" s="3073" t="str">
        <f>IF(项目基本情况!B8="抵押",结果表!K120,"——")</f>
        <v>故，本次评估不存在估价师知悉的法定优先受偿款</v>
      </c>
      <c r="B18" s="3073"/>
      <c r="C18" s="3073"/>
      <c r="D18" s="3073"/>
    </row>
    <row r="19" spans="1:4" ht="46.5" customHeight="1">
      <c r="A19" s="30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3"/>
      <c r="C19" s="3073"/>
      <c r="D19" s="3073"/>
    </row>
    <row r="20" spans="1:4" ht="57.75" customHeight="1">
      <c r="A20" s="30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3"/>
      <c r="C20" s="3073"/>
      <c r="D20" s="3073"/>
    </row>
    <row r="21" spans="1:4" ht="57.75" customHeight="1">
      <c r="A21" s="30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7"/>
      <c r="C21" s="3077"/>
      <c r="D21" s="3077"/>
    </row>
    <row r="22" spans="1:4" ht="18.75" customHeight="1">
      <c r="A22" s="3078" t="s">
        <v>1654</v>
      </c>
      <c r="B22" s="3078"/>
      <c r="C22" s="3078"/>
      <c r="D22" s="3078"/>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75">
        <v>42551</v>
      </c>
      <c r="D31" s="30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84" t="s">
        <v>1665</v>
      </c>
      <c r="B15" s="3079" t="s">
        <v>136</v>
      </c>
      <c r="C15" s="3080"/>
    </row>
    <row r="16" spans="1:7" ht="13.5">
      <c r="A16" s="3085"/>
      <c r="B16" s="3079" t="s">
        <v>69</v>
      </c>
      <c r="C16" s="3080"/>
    </row>
    <row r="17" spans="1:3" ht="13.5">
      <c r="A17" s="3085"/>
      <c r="B17" s="3082" t="s">
        <v>1666</v>
      </c>
      <c r="C17" s="1999" t="s">
        <v>1665</v>
      </c>
    </row>
    <row r="18" spans="1:3" ht="13.5">
      <c r="A18" s="3085"/>
      <c r="B18" s="3082"/>
      <c r="C18" s="1999" t="s">
        <v>1667</v>
      </c>
    </row>
    <row r="19" spans="1:3" ht="13.5">
      <c r="A19" s="3085"/>
      <c r="B19" s="3082"/>
      <c r="C19" s="1999" t="s">
        <v>1668</v>
      </c>
    </row>
    <row r="20" spans="1:3" ht="13.5">
      <c r="A20" s="3086"/>
      <c r="B20" s="3081" t="s">
        <v>1669</v>
      </c>
      <c r="C20" s="3080"/>
    </row>
    <row r="21" spans="1:3" ht="13.5">
      <c r="A21" s="2000" t="s">
        <v>1670</v>
      </c>
      <c r="B21" s="2001"/>
      <c r="C21" s="2002"/>
    </row>
    <row r="22" spans="1:3" ht="13.5">
      <c r="A22" s="3083" t="s">
        <v>1671</v>
      </c>
      <c r="B22" s="3081" t="s">
        <v>1672</v>
      </c>
      <c r="C22" s="3080"/>
    </row>
    <row r="23" spans="1:3" ht="13.5">
      <c r="A23" s="3083"/>
      <c r="B23" s="3081" t="s">
        <v>1673</v>
      </c>
      <c r="C23" s="3080"/>
    </row>
    <row r="24" spans="1:3" ht="13.5">
      <c r="A24" s="3083"/>
      <c r="B24" s="3081" t="s">
        <v>1674</v>
      </c>
      <c r="C24" s="3080"/>
    </row>
    <row r="25" spans="1:3" ht="13.5">
      <c r="A25" s="3083"/>
      <c r="B25" s="3082" t="s">
        <v>1675</v>
      </c>
      <c r="C25" s="1999" t="s">
        <v>1676</v>
      </c>
    </row>
    <row r="26" spans="1:3" ht="13.5">
      <c r="A26" s="3083"/>
      <c r="B26" s="3082"/>
      <c r="C26" s="1999" t="s">
        <v>1677</v>
      </c>
    </row>
    <row r="27" spans="1:3" ht="13.5">
      <c r="A27" s="3083"/>
      <c r="B27" s="3082"/>
      <c r="C27" s="1999" t="s">
        <v>1678</v>
      </c>
    </row>
    <row r="28" spans="1:3" ht="13.5">
      <c r="A28" s="3083"/>
      <c r="B28" s="3082"/>
      <c r="C28" s="1999" t="s">
        <v>1679</v>
      </c>
    </row>
    <row r="29" spans="1:3" ht="13.5">
      <c r="A29" s="3083"/>
      <c r="B29" s="3082"/>
      <c r="C29" s="1999" t="s">
        <v>1680</v>
      </c>
    </row>
    <row r="30" spans="1:3" ht="13.5">
      <c r="A30" s="3083"/>
      <c r="B30" s="3082"/>
      <c r="C30" s="1999" t="s">
        <v>1681</v>
      </c>
    </row>
    <row r="31" spans="1:3" ht="13.5">
      <c r="A31" s="3083"/>
      <c r="B31" s="3082"/>
      <c r="C31" s="1999" t="s">
        <v>1682</v>
      </c>
    </row>
    <row r="32" spans="1:3" ht="13.5">
      <c r="A32" s="3083"/>
      <c r="B32" s="3082"/>
      <c r="C32" s="1999" t="s">
        <v>1683</v>
      </c>
    </row>
    <row r="33" spans="1:3" ht="13.5">
      <c r="A33" s="3083"/>
      <c r="B33" s="3082"/>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43635</v>
      </c>
      <c r="C2" s="1018" t="s">
        <v>826</v>
      </c>
      <c r="D2" s="1018"/>
    </row>
    <row r="3" spans="1:6" ht="24" customHeight="1">
      <c r="A3" s="1019" t="s">
        <v>827</v>
      </c>
      <c r="B3" s="1020" t="s">
        <v>828</v>
      </c>
      <c r="C3" s="2344" t="s">
        <v>829</v>
      </c>
      <c r="D3" s="2347" t="s">
        <v>830</v>
      </c>
      <c r="E3" s="1021" t="s">
        <v>831</v>
      </c>
      <c r="F3" s="1020" t="s">
        <v>829</v>
      </c>
    </row>
    <row r="4" spans="1:6" ht="24" customHeight="1">
      <c r="A4" s="1701" t="s">
        <v>832</v>
      </c>
      <c r="B4" s="1021">
        <f ca="1">IF(C4&lt;B2,"已过期",1119970066)</f>
        <v>1119970066</v>
      </c>
      <c r="C4" s="2345">
        <v>43849</v>
      </c>
      <c r="D4" s="2348" t="s">
        <v>832</v>
      </c>
      <c r="E4" s="1021">
        <f ca="1">IF(F4&lt;B2,"已过期",96010014)</f>
        <v>96010014</v>
      </c>
      <c r="F4" s="1029">
        <v>47118</v>
      </c>
    </row>
    <row r="5" spans="1:6" ht="24" customHeight="1">
      <c r="A5" s="1701" t="s">
        <v>833</v>
      </c>
      <c r="B5" s="1021">
        <f ca="1">IF(C5&lt;B2,"已过期",1119970074)</f>
        <v>1119970074</v>
      </c>
      <c r="C5" s="2345">
        <v>43849</v>
      </c>
      <c r="D5" s="2348" t="s">
        <v>833</v>
      </c>
      <c r="E5" s="1021">
        <f ca="1">IF(F5&lt;B2,"已过期",2002110027)</f>
        <v>2002110027</v>
      </c>
      <c r="F5" s="1029">
        <v>46752</v>
      </c>
    </row>
    <row r="6" spans="1:6" ht="24" customHeight="1">
      <c r="A6" s="1701" t="s">
        <v>834</v>
      </c>
      <c r="B6" s="1021">
        <f ca="1">IF(C6&lt;B2,"已过期",1119970111)</f>
        <v>1119970111</v>
      </c>
      <c r="C6" s="2345">
        <v>43849</v>
      </c>
      <c r="D6" s="2348" t="s">
        <v>834</v>
      </c>
      <c r="E6" s="1021">
        <f ca="1">IF(F6&lt;B2,"已过期",94010078)</f>
        <v>94010078</v>
      </c>
      <c r="F6" s="1029">
        <v>46387</v>
      </c>
    </row>
    <row r="7" spans="1:6" ht="24" customHeight="1">
      <c r="A7" s="1701" t="s">
        <v>835</v>
      </c>
      <c r="B7" s="1021">
        <f ca="1">IF(C7&lt;B2,"已过期",1120050019)</f>
        <v>1120050019</v>
      </c>
      <c r="C7" s="2345">
        <v>44395</v>
      </c>
      <c r="D7" s="2348" t="s">
        <v>835</v>
      </c>
      <c r="E7" s="1021">
        <f ca="1">IF(F7&lt;B2,"已过期",2002110030)</f>
        <v>2002110030</v>
      </c>
      <c r="F7" s="1029">
        <v>46387</v>
      </c>
    </row>
    <row r="8" spans="1:6" ht="24" customHeight="1">
      <c r="A8" s="1701" t="s">
        <v>836</v>
      </c>
      <c r="B8" s="1021">
        <f ca="1">IF(C8&lt;B2,"已过期",1120000080)</f>
        <v>1120000080</v>
      </c>
      <c r="C8" s="2345">
        <v>43849</v>
      </c>
      <c r="D8" s="2348" t="s">
        <v>836</v>
      </c>
      <c r="E8" s="1021">
        <f ca="1">IF(F8&lt;B2,"已过期",2000110082)</f>
        <v>2000110082</v>
      </c>
      <c r="F8" s="1029">
        <v>46387</v>
      </c>
    </row>
    <row r="9" spans="1:6" ht="24" customHeight="1">
      <c r="A9" s="1701" t="s">
        <v>837</v>
      </c>
      <c r="B9" s="1021">
        <f ca="1">IF(C9&lt;B2,"已过期",1419970001)</f>
        <v>1419970001</v>
      </c>
      <c r="C9" s="2345">
        <v>43867</v>
      </c>
      <c r="D9" s="2348" t="s">
        <v>837</v>
      </c>
      <c r="E9" s="1021">
        <f ca="1">IF(F9&lt;B2,"已过期",2002110125)</f>
        <v>2002110125</v>
      </c>
      <c r="F9" s="1029">
        <v>47118</v>
      </c>
    </row>
    <row r="10" spans="1:6" ht="24" customHeight="1">
      <c r="A10" s="1701" t="s">
        <v>838</v>
      </c>
      <c r="B10" s="1021" t="str">
        <f ca="1">IF(C10&lt;B2,"已过期",1120060040)</f>
        <v>已过期</v>
      </c>
      <c r="C10" s="2345">
        <v>43483</v>
      </c>
      <c r="D10" s="2348" t="s">
        <v>838</v>
      </c>
      <c r="E10" s="1021">
        <f ca="1">IF(F10&lt;B2,"已过期",2004110096)</f>
        <v>2004110096</v>
      </c>
      <c r="F10" s="1029">
        <v>47118</v>
      </c>
    </row>
    <row r="11" spans="1:6" ht="24" customHeight="1">
      <c r="A11" s="1701" t="s">
        <v>839</v>
      </c>
      <c r="B11" s="1021" t="str">
        <f ca="1">IF(C11&lt;B2,"已过期",1120100036)</f>
        <v>已过期</v>
      </c>
      <c r="C11" s="2345">
        <v>43622</v>
      </c>
      <c r="D11" s="2348"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5">
        <v>43814</v>
      </c>
      <c r="D13" s="2348" t="s">
        <v>840</v>
      </c>
      <c r="E13" s="1021">
        <f ca="1">IF(F13&lt;B2,"已过期",2014110011)</f>
        <v>2014110011</v>
      </c>
      <c r="F13" s="1029">
        <v>49302</v>
      </c>
    </row>
    <row r="14" spans="1:6" ht="24" customHeight="1">
      <c r="A14" s="1701" t="s">
        <v>3042</v>
      </c>
      <c r="B14" s="1021">
        <f ca="1">IF(C14&lt;B2,"已过期",1120040230)</f>
        <v>1120040230</v>
      </c>
      <c r="C14" s="2345">
        <v>43835</v>
      </c>
      <c r="D14" s="2348" t="s">
        <v>3042</v>
      </c>
      <c r="E14" s="1021">
        <f ca="1">IF(F14&lt;B2,"已过期",98030020)</f>
        <v>98030020</v>
      </c>
      <c r="F14" s="1029">
        <v>47118</v>
      </c>
    </row>
    <row r="15" spans="1:6" ht="24" customHeight="1">
      <c r="A15" s="1702" t="s">
        <v>3043</v>
      </c>
      <c r="B15" s="1021">
        <f ca="1">IF(C15&lt;B2,"已过期",1120070085)</f>
        <v>1120070085</v>
      </c>
      <c r="C15" s="2345">
        <v>43814</v>
      </c>
      <c r="D15" s="2349" t="s">
        <v>3043</v>
      </c>
      <c r="E15" s="1021">
        <f ca="1">IF(F15&lt;B2,"已过期",2004110128)</f>
        <v>2004110128</v>
      </c>
      <c r="F15" s="1022">
        <v>47118</v>
      </c>
    </row>
    <row r="16" spans="1:6" ht="24" customHeight="1">
      <c r="A16" s="1701" t="s">
        <v>3044</v>
      </c>
      <c r="B16" s="1021">
        <f ca="1">IF(C16&lt;B2,"已过期",1120140022)</f>
        <v>1120140022</v>
      </c>
      <c r="C16" s="2928">
        <v>44029</v>
      </c>
      <c r="D16" s="2348" t="s">
        <v>3044</v>
      </c>
      <c r="E16" s="1021">
        <f ca="1">IF(F16&lt;B2,"已过期",2008110059)</f>
        <v>2008110059</v>
      </c>
      <c r="F16" s="1029">
        <v>47177</v>
      </c>
    </row>
    <row r="17" spans="1:7" ht="24" customHeight="1">
      <c r="A17" s="1701"/>
      <c r="B17" s="1021"/>
      <c r="C17" s="2345"/>
      <c r="D17" s="2348" t="s">
        <v>3045</v>
      </c>
      <c r="E17" s="1021">
        <f ca="1">IF(F17&lt;B2,"已过期",2014110076)</f>
        <v>2014110076</v>
      </c>
      <c r="F17" s="1029">
        <v>49302</v>
      </c>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841</v>
      </c>
      <c r="E21" s="1021">
        <f ca="1">IF(F21&lt;B2,"已过期",2011110090)</f>
        <v>2011110090</v>
      </c>
      <c r="F21" s="1029">
        <v>48302</v>
      </c>
    </row>
    <row r="22" spans="1:7" ht="24" customHeight="1">
      <c r="A22" s="1701" t="s">
        <v>842</v>
      </c>
      <c r="B22" s="1021">
        <f ca="1">IF(C22&lt;B2,"已过期",1120020033)</f>
        <v>1120020033</v>
      </c>
      <c r="C22" s="2928">
        <v>44339</v>
      </c>
      <c r="D22" s="2348" t="s">
        <v>842</v>
      </c>
      <c r="E22" s="1021">
        <f ca="1">IF(F22&lt;B2,"已过期",2000110137)</f>
        <v>2000110137</v>
      </c>
      <c r="F22" s="1029">
        <v>46387</v>
      </c>
    </row>
    <row r="23" spans="1:7" ht="24" customHeight="1">
      <c r="A23" s="1701"/>
      <c r="B23" s="1021"/>
      <c r="C23" s="2345"/>
      <c r="D23" s="2348"/>
      <c r="E23" s="1021"/>
      <c r="F23" s="1021"/>
    </row>
    <row r="24" spans="1:7" s="1023" customFormat="1" ht="24" customHeight="1">
      <c r="A24" s="1702" t="s">
        <v>1329</v>
      </c>
      <c r="B24" s="1702" t="s">
        <v>1329</v>
      </c>
      <c r="C24" s="2346" t="s">
        <v>1329</v>
      </c>
      <c r="D24" s="2349" t="s">
        <v>1329</v>
      </c>
      <c r="E24" s="1702" t="s">
        <v>1329</v>
      </c>
      <c r="F24" s="1702" t="s">
        <v>1329</v>
      </c>
    </row>
    <row r="25" spans="1:7" ht="24" customHeight="1">
      <c r="A25" s="3087" t="s">
        <v>843</v>
      </c>
      <c r="B25" s="3087"/>
      <c r="C25" s="3087"/>
      <c r="D25" s="3087"/>
      <c r="E25" s="3087"/>
      <c r="F25" s="3087"/>
      <c r="G25" s="3087"/>
    </row>
    <row r="26" spans="1:7" s="1024" customFormat="1" ht="24" customHeight="1">
      <c r="A26" s="3088" t="s">
        <v>844</v>
      </c>
      <c r="B26" s="3088"/>
      <c r="C26" s="3089"/>
      <c r="D26" s="3090" t="s">
        <v>845</v>
      </c>
      <c r="E26" s="3088"/>
      <c r="F26" s="3088"/>
    </row>
    <row r="27" spans="1:7" s="1026" customFormat="1" ht="24" customHeight="1">
      <c r="A27" s="1025" t="s">
        <v>846</v>
      </c>
      <c r="B27" s="1020" t="s">
        <v>847</v>
      </c>
      <c r="C27" s="2344" t="s">
        <v>848</v>
      </c>
      <c r="D27" s="2352" t="s">
        <v>846</v>
      </c>
      <c r="E27" s="1020" t="s">
        <v>847</v>
      </c>
      <c r="F27" s="1020" t="s">
        <v>848</v>
      </c>
    </row>
    <row r="28" spans="1:7" s="1026" customFormat="1" ht="24" customHeight="1">
      <c r="A28" s="1027" t="s">
        <v>849</v>
      </c>
      <c r="B28" s="1028" t="s">
        <v>850</v>
      </c>
      <c r="C28" s="2350">
        <v>43725</v>
      </c>
      <c r="D28" s="2353" t="s">
        <v>851</v>
      </c>
      <c r="E28" s="1027" t="s">
        <v>852</v>
      </c>
      <c r="F28" s="1057">
        <v>44377</v>
      </c>
    </row>
    <row r="29" spans="1:7" s="1026" customFormat="1" ht="24" customHeight="1">
      <c r="A29" s="1027"/>
      <c r="B29" s="1027"/>
      <c r="C29" s="2351"/>
      <c r="D29" s="2353"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141</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典型户型修正商业</vt:lpstr>
      <vt:lpstr>结果表 (2)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典型户型修正车位</vt:lpstr>
      <vt:lpstr>结果表 (3)</vt:lpstr>
      <vt:lpstr>Sheet1</vt:lpstr>
      <vt:lpstr>Pivot</vt:lpstr>
      <vt:lpstr>Adj RR</vt:lpstr>
      <vt:lpstr>车库清单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2019-06-19T06:47:15Z</dcterms:modified>
</cp:coreProperties>
</file>