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2.xml" ContentType="application/vnd.openxmlformats-officedocument.spreadsheetml.comments+xml"/>
  <Override PartName="/xl/drawings/drawing8.xml" ContentType="application/vnd.openxmlformats-officedocument.drawing+xml"/>
  <Override PartName="/xl/comments23.xml" ContentType="application/vnd.openxmlformats-officedocument.spreadsheetml.comments+xml"/>
  <Override PartName="/xl/drawings/drawing9.xml" ContentType="application/vnd.openxmlformats-officedocument.drawing+xml"/>
  <Override PartName="/xl/comments24.xml" ContentType="application/vnd.openxmlformats-officedocument.spreadsheetml.comments+xml"/>
  <Override PartName="/xl/drawings/drawing10.xml" ContentType="application/vnd.openxmlformats-officedocument.drawing+xml"/>
  <Override PartName="/xl/comments25.xml" ContentType="application/vnd.openxmlformats-officedocument.spreadsheetml.comments+xml"/>
  <Override PartName="/xl/comments26.xml" ContentType="application/vnd.openxmlformats-officedocument.spreadsheetml.comments+xml"/>
  <Override PartName="/xl/drawings/drawing1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KG\Desktop\司法上地信息中路M18租金\F03\"/>
    </mc:Choice>
  </mc:AlternateContent>
  <xr:revisionPtr revIDLastSave="0" documentId="13_ncr:1_{84C57DFF-3F3C-4C6C-958E-9A814B3B7A02}" xr6:coauthVersionLast="45" xr6:coauthVersionMax="45" xr10:uidLastSave="{00000000-0000-0000-0000-000000000000}"/>
  <bookViews>
    <workbookView xWindow="120" yWindow="120" windowWidth="14400" windowHeight="10815" tabRatio="885" firstSheet="33" activeTab="34"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state="hidden" r:id="rId12"/>
    <sheet name="估价对象房地状况" sheetId="20" state="hidden" r:id="rId13"/>
    <sheet name="结果表" sheetId="9" state="hidden" r:id="rId14"/>
    <sheet name="结果表 (1修多)" sheetId="57" state="hidden" r:id="rId15"/>
    <sheet name="假设开发法" sheetId="12" state="hidden" r:id="rId16"/>
    <sheet name="收益法" sheetId="15" state="hidden" r:id="rId17"/>
    <sheet name="酒店收入计算" sheetId="58" state="hidden" r:id="rId18"/>
    <sheet name="典型户型修正" sheetId="31" state="hidden" r:id="rId19"/>
    <sheet name="比较法-住宅" sheetId="21" state="hidden" r:id="rId20"/>
    <sheet name="比较法-商业" sheetId="33" state="hidden" r:id="rId21"/>
    <sheet name="比较法-工业" sheetId="37" state="hidden" r:id="rId22"/>
    <sheet name="比较法-车位" sheetId="35" state="hidden" r:id="rId23"/>
    <sheet name="比较法-仓储" sheetId="36" state="hidden" r:id="rId24"/>
    <sheet name="土地比较法-住宅、综合" sheetId="39" state="hidden" r:id="rId25"/>
    <sheet name="土地比较法-工业" sheetId="40" state="hidden" r:id="rId26"/>
    <sheet name="面积表" sheetId="73" r:id="rId27"/>
    <sheet name="结果表-收益法倒推" sheetId="65" state="hidden" r:id="rId28"/>
    <sheet name="结果汇总" sheetId="86" r:id="rId29"/>
    <sheet name="2016租金台账" sheetId="74" r:id="rId30"/>
    <sheet name="合同租金汇总" sheetId="91" r:id="rId31"/>
    <sheet name="2016.2.2-2017.12-31比较法-1层办公" sheetId="34" state="hidden" r:id="rId32"/>
    <sheet name="2016.2.2-2017.12.31比较法-2层办公" sheetId="93" r:id="rId33"/>
    <sheet name="2018.1.1-2023-4-17比较法-1层办公" sheetId="92" r:id="rId34"/>
    <sheet name="2018.1.1-2021.11.7比较法-2层办公" sheetId="94" r:id="rId35"/>
    <sheet name="佳龙提供租约" sheetId="89" r:id="rId36"/>
    <sheet name="数码科技广场（上地数码广场）2017-2020" sheetId="78" r:id="rId37"/>
    <sheet name="案例" sheetId="77" r:id="rId38"/>
    <sheet name="收益法倒推" sheetId="76" r:id="rId39"/>
    <sheet name="成本法" sheetId="11" r:id="rId40"/>
    <sheet name="基准地价修正" sheetId="43" r:id="rId41"/>
    <sheet name="e世界中心" sheetId="67" state="hidden" r:id="rId42"/>
    <sheet name="中鼎大厦" sheetId="68" state="hidden" r:id="rId43"/>
    <sheet name="东润大厦" sheetId="69" state="hidden" r:id="rId44"/>
    <sheet name="数据-取费表（市场）" sheetId="72" state="hidden" r:id="rId45"/>
    <sheet name="写字楼" sheetId="70" r:id="rId46"/>
    <sheet name="统计表" sheetId="71" r:id="rId47"/>
    <sheet name="因素修正幅度" sheetId="56" state="hidden" r:id="rId48"/>
    <sheet name="基准地价修正-因素" sheetId="47" state="hidden" r:id="rId49"/>
    <sheet name="区片价" sheetId="44" state="hidden" r:id="rId50"/>
    <sheet name="修正" sheetId="45" state="hidden" r:id="rId51"/>
    <sheet name="容积率修正" sheetId="46" state="hidden" r:id="rId52"/>
    <sheet name="中关村生物医药园2021年" sheetId="79" r:id="rId53"/>
    <sheet name="中关村生物医药园2022年" sheetId="80" r:id="rId54"/>
    <sheet name="中关村软件园（尚东数字谷）2022-1-0161" sheetId="81" r:id="rId55"/>
    <sheet name="北京立思辰科研楼2021-1-0634台账" sheetId="82" r:id="rId56"/>
    <sheet name="北京立思辰科研楼2020-1-0591台账" sheetId="84" r:id="rId57"/>
    <sheet name=" 中关村软件园（尚东数字谷）2021-1-0025台账" sheetId="83" r:id="rId58"/>
    <sheet name="地价" sheetId="59" r:id="rId59"/>
    <sheet name="系统读取表" sheetId="62" r:id="rId60"/>
    <sheet name="收费" sheetId="75" r:id="rId61"/>
    <sheet name="Sheet1" sheetId="90" r:id="rId62"/>
    <sheet name="Sheet2" sheetId="95" r:id="rId63"/>
    <sheet name="存贷款利率" sheetId="61" state="hidden" r:id="rId64"/>
  </sheets>
  <externalReferences>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s>
  <definedNames>
    <definedName name="_xlnm._FilterDatabase" localSheetId="32" hidden="1">'2016.2.2-2017.12.31比较法-2层办公'!$A$1:$L$50</definedName>
    <definedName name="_xlnm._FilterDatabase" localSheetId="31" hidden="1">'2016.2.2-2017.12-31比较法-1层办公'!$A$1:$L$50</definedName>
    <definedName name="_xlnm._FilterDatabase" localSheetId="34" hidden="1">'2018.1.1-2021.11.7比较法-2层办公'!$A$1:$L$50</definedName>
    <definedName name="_xlnm._FilterDatabase" localSheetId="33" hidden="1">'2018.1.1-2023-4-17比较法-1层办公'!$A$1:$L$50</definedName>
    <definedName name="_xlnm._FilterDatabase" localSheetId="23" hidden="1">'比较法-仓储'!$A$1:$L$37</definedName>
    <definedName name="_xlnm._FilterDatabase" localSheetId="22" hidden="1">'比较法-车位'!$A$1:$L$39</definedName>
    <definedName name="_xlnm._FilterDatabase" localSheetId="21" hidden="1">'比较法-工业'!$A$1:$L$43</definedName>
    <definedName name="_xlnm._FilterDatabase" localSheetId="20" hidden="1">'比较法-商业'!$A$1:$L$49</definedName>
    <definedName name="_xlnm._FilterDatabase" localSheetId="19" hidden="1">'比较法-住宅'!$A$1:$L$49</definedName>
    <definedName name="_xlnm._FilterDatabase" localSheetId="25" hidden="1">'土地比较法-工业'!$A$1:$L$43</definedName>
    <definedName name="_xlnm._FilterDatabase" localSheetId="24" hidden="1">'土地比较法-住宅、综合'!$A$1:$L$48</definedName>
    <definedName name="_xlnm._FilterDatabase" localSheetId="9" hidden="1">项目基本情况!#REF!</definedName>
    <definedName name="_xlnm.Print_Area" localSheetId="32">'2016.2.2-2017.12.31比较法-2层办公'!$A$1:$K$55,'2016.2.2-2017.12.31比较法-2层办公'!$A$58:$M$132</definedName>
    <definedName name="_xlnm.Print_Area" localSheetId="31">'2016.2.2-2017.12-31比较法-1层办公'!$A$1:$K$55,'2016.2.2-2017.12-31比较法-1层办公'!$A$58:$M$132</definedName>
    <definedName name="_xlnm.Print_Area" localSheetId="34">'2018.1.1-2021.11.7比较法-2层办公'!$A$1:$K$55,'2018.1.1-2021.11.7比较法-2层办公'!$A$58:$M$132</definedName>
    <definedName name="_xlnm.Print_Area" localSheetId="33">'2018.1.1-2023-4-17比较法-1层办公'!$A$1:$K$55,'2018.1.1-2023-4-17比较法-1层办公'!$A$58:$M$132</definedName>
    <definedName name="_xlnm.Print_Area" localSheetId="23">'比较法-仓储'!$A$1:$K$42,'比较法-仓储'!$A$45:$M$96</definedName>
    <definedName name="_xlnm.Print_Area" localSheetId="22">'比较法-车位'!$A$1:$K$44,'比较法-车位'!$A$47:$M$102</definedName>
    <definedName name="_xlnm.Print_Area" localSheetId="21">'比较法-工业'!$A$1:$K$48,'比较法-工业'!$A$51:$M$113</definedName>
    <definedName name="_xlnm.Print_Area" localSheetId="20">'比较法-商业'!$A$1:$K$54,'比较法-商业'!$A$57:$M$131</definedName>
    <definedName name="_xlnm.Print_Area" localSheetId="19">'比较法-住宅'!$A$1:$K$54,'比较法-住宅'!$A$57:$M$131</definedName>
    <definedName name="_xlnm.Print_Area" localSheetId="18">典型户型修正!$A$1:$T$21,典型户型修正!$A$22:$Z$527</definedName>
    <definedName name="_xlnm.Print_Area" localSheetId="12">估价对象房地状况!$A$1:$G$24</definedName>
    <definedName name="_xlnm.Print_Area" localSheetId="7">估价师及机构信息!$A$1:$H$22</definedName>
    <definedName name="_xlnm.Print_Area" localSheetId="40">基准地价修正!$A$1:$P$41,基准地价修正!$R$1:$V$17,基准地价修正!$A$45:$N$88</definedName>
    <definedName name="_xlnm.Print_Area" localSheetId="13">结果表!$A$1:$I$132,结果表!$K$44:$P$61</definedName>
    <definedName name="_xlnm.Print_Area" localSheetId="14">'结果表 (1修多)'!$A$1:$I$136,'结果表 (1修多)'!$K$46:$P$63</definedName>
    <definedName name="_xlnm.Print_Area" localSheetId="17">酒店收入计算!$A$1:$I$32</definedName>
    <definedName name="_xlnm.Print_Area" localSheetId="16">收益法!$A$1:$F$43,收益法!$H$3:$M$43,收益法!$A$47:$F$72,收益法!$I$47:$N$66,收益法!$O$42,收益法!$O$43:$R$73</definedName>
    <definedName name="_xlnm.Print_Area" localSheetId="38">收益法倒推!$A$1:$J$76</definedName>
    <definedName name="_xlnm.Print_Area" localSheetId="11">'数据-取费表'!$A$1:$F$51</definedName>
    <definedName name="_xlnm.Print_Area" localSheetId="25">'土地比较法-工业'!$A$1:$K$61,'土地比较法-工业'!$A$64:$M$121</definedName>
    <definedName name="_xlnm.Print_Area" localSheetId="24">'土地比较法-住宅、综合'!$A$1:$K$66,'土地比较法-住宅、综合'!$A$69:$M$132</definedName>
    <definedName name="_xlnm.Print_Area" localSheetId="59">系统读取表!$A$1:$I$23</definedName>
    <definedName name="_xlnm.Print_Area" localSheetId="9">项目基本情况!$A$1:$G$23</definedName>
    <definedName name="_xlnm.Print_Area" localSheetId="5">'预评函-3'!$A$1:$D$29</definedName>
    <definedName name="_xlnm.Print_Area" localSheetId="42">中鼎大厦!$A$1:$M$78</definedName>
    <definedName name="_xlnm.Print_Titles" localSheetId="42">中鼎大厦!$1:$4</definedName>
    <definedName name="八级">区片价!$P$1:$P$40</definedName>
    <definedName name="办公层高" localSheetId="32">'2016.2.2-2017.12.31比较法-2层办公'!$B$119:$M$119</definedName>
    <definedName name="办公层高" localSheetId="34">'2018.1.1-2021.11.7比较法-2层办公'!$B$119:$M$119</definedName>
    <definedName name="办公层高" localSheetId="33">'2018.1.1-2023-4-17比较法-1层办公'!$B$119:$M$119</definedName>
    <definedName name="办公层高" localSheetId="27">'[1]比较法-办公'!$B$119:$M$119</definedName>
    <definedName name="办公层高" localSheetId="38">'[2]比较法-办公'!$B$119:$M$119</definedName>
    <definedName name="办公层高" localSheetId="44">'[3]比较法-办公'!$B$119:$M$119</definedName>
    <definedName name="办公层高">'2016.2.2-2017.12-31比较法-1层办公'!$B$119:$M$119</definedName>
    <definedName name="办公朝向" localSheetId="32">'2016.2.2-2017.12.31比较法-2层办公'!$B$91:$M$91</definedName>
    <definedName name="办公朝向" localSheetId="34">'2018.1.1-2021.11.7比较法-2层办公'!$B$91:$M$91</definedName>
    <definedName name="办公朝向" localSheetId="33">'2018.1.1-2023-4-17比较法-1层办公'!$B$91:$M$91</definedName>
    <definedName name="办公朝向" localSheetId="27">'[1]比较法-办公'!$B$91:$M$91</definedName>
    <definedName name="办公朝向" localSheetId="38">'[2]比较法-办公'!$B$91:$M$91</definedName>
    <definedName name="办公朝向" localSheetId="44">'[3]比较法-办公'!$B$91:$M$91</definedName>
    <definedName name="办公朝向">'2016.2.2-2017.12-31比较法-1层办公'!$B$91:$M$91</definedName>
    <definedName name="办公道路级别" localSheetId="32">'2016.2.2-2017.12.31比较法-2层办公'!$B$87:$M$87</definedName>
    <definedName name="办公道路级别" localSheetId="34">'2018.1.1-2021.11.7比较法-2层办公'!$B$87:$M$87</definedName>
    <definedName name="办公道路级别" localSheetId="33">'2018.1.1-2023-4-17比较法-1层办公'!$B$87:$M$87</definedName>
    <definedName name="办公道路级别" localSheetId="27">'[1]比较法-办公'!$B$87:$M$87</definedName>
    <definedName name="办公道路级别" localSheetId="38">'[2]比较法-办公'!$B$87:$M$87</definedName>
    <definedName name="办公道路级别" localSheetId="44">'[3]比较法-办公'!$B$87:$M$87</definedName>
    <definedName name="办公道路级别">'2016.2.2-2017.12-31比较法-1层办公'!$B$87:$M$87</definedName>
    <definedName name="办公公共部分装修" localSheetId="32">'2016.2.2-2017.12.31比较法-2层办公'!$B$108:$M$108</definedName>
    <definedName name="办公公共部分装修" localSheetId="34">'2018.1.1-2021.11.7比较法-2层办公'!$B$108:$M$108</definedName>
    <definedName name="办公公共部分装修" localSheetId="33">'2018.1.1-2023-4-17比较法-1层办公'!$B$108:$M$108</definedName>
    <definedName name="办公公共部分装修" localSheetId="27">'[1]比较法-办公'!$B$108:$M$108</definedName>
    <definedName name="办公公共部分装修" localSheetId="38">'[2]比较法-办公'!$B$108:$M$108</definedName>
    <definedName name="办公公共部分装修" localSheetId="44">'[3]比较法-办公'!$B$108:$M$108</definedName>
    <definedName name="办公公共部分装修">'2016.2.2-2017.12-31比较法-1层办公'!$B$108:$M$108</definedName>
    <definedName name="办公基础设施水平" localSheetId="32">'2016.2.2-2017.12.31比较法-2层办公'!$B$117:$M$117</definedName>
    <definedName name="办公基础设施水平" localSheetId="34">'2018.1.1-2021.11.7比较法-2层办公'!$B$117:$M$117</definedName>
    <definedName name="办公基础设施水平" localSheetId="33">'2018.1.1-2023-4-17比较法-1层办公'!$B$117:$M$117</definedName>
    <definedName name="办公基础设施水平" localSheetId="27">'[1]比较法-办公'!$B$117:$M$117</definedName>
    <definedName name="办公基础设施水平" localSheetId="38">'[2]比较法-办公'!$B$117:$M$117</definedName>
    <definedName name="办公基础设施水平" localSheetId="44">'[3]比较法-办公'!$B$117:$M$117</definedName>
    <definedName name="办公基础设施水平">'2016.2.2-2017.12-31比较法-1层办公'!$B$117:$M$117</definedName>
    <definedName name="办公集聚程度" localSheetId="27">[1]定义!$M$1:$M$6</definedName>
    <definedName name="办公集聚程度" localSheetId="38">[2]定义!$M$1:$M$6</definedName>
    <definedName name="办公集聚程度" localSheetId="44">[3]定义!$M$1:$M$6</definedName>
    <definedName name="办公集聚程度">定义!$M$1:$M$6</definedName>
    <definedName name="办公建筑结构" localSheetId="32">'2016.2.2-2017.12.31比较法-2层办公'!$B$106:$M$106</definedName>
    <definedName name="办公建筑结构" localSheetId="34">'2018.1.1-2021.11.7比较法-2层办公'!$B$106:$M$106</definedName>
    <definedName name="办公建筑结构" localSheetId="33">'2018.1.1-2023-4-17比较法-1层办公'!$B$106:$M$106</definedName>
    <definedName name="办公建筑结构" localSheetId="27">'[1]比较法-办公'!$B$106:$M$106</definedName>
    <definedName name="办公建筑结构" localSheetId="38">'[2]比较法-办公'!$B$106:$M$106</definedName>
    <definedName name="办公建筑结构" localSheetId="44">'[3]比较法-办公'!$B$106:$M$106</definedName>
    <definedName name="办公建筑结构">'2016.2.2-2017.12-31比较法-1层办公'!$B$106:$M$106</definedName>
    <definedName name="办公建筑类型" localSheetId="32">'2016.2.2-2017.12.31比较法-2层办公'!$B$101:$M$101</definedName>
    <definedName name="办公建筑类型" localSheetId="34">'2018.1.1-2021.11.7比较法-2层办公'!$B$101:$M$101</definedName>
    <definedName name="办公建筑类型" localSheetId="33">'2018.1.1-2023-4-17比较法-1层办公'!$B$101:$M$101</definedName>
    <definedName name="办公建筑类型" localSheetId="27">'[1]比较法-办公'!$B$101:$M$101</definedName>
    <definedName name="办公建筑类型" localSheetId="38">'[2]比较法-办公'!$B$101:$M$101</definedName>
    <definedName name="办公建筑类型" localSheetId="44">'[3]比较法-办公'!$B$101:$M$101</definedName>
    <definedName name="办公建筑类型">'2016.2.2-2017.12-31比较法-1层办公'!$B$101:$M$101</definedName>
    <definedName name="办公交易情况" localSheetId="32">'2016.2.2-2017.12.31比较法-2层办公'!$A$62:$M$62</definedName>
    <definedName name="办公交易情况" localSheetId="34">'2018.1.1-2021.11.7比较法-2层办公'!$A$62:$M$62</definedName>
    <definedName name="办公交易情况" localSheetId="33">'2018.1.1-2023-4-17比较法-1层办公'!$A$62:$M$62</definedName>
    <definedName name="办公交易情况" localSheetId="27">'[1]比较法-办公'!$A$62:$M$62</definedName>
    <definedName name="办公交易情况" localSheetId="38">'[2]比较法-办公'!$A$62:$M$62</definedName>
    <definedName name="办公交易情况" localSheetId="44">'[3]比较法-办公'!$A$62:$M$62</definedName>
    <definedName name="办公交易情况">'2016.2.2-2017.12-31比较法-1层办公'!$A$62:$M$62</definedName>
    <definedName name="办公楼层" localSheetId="32">'2016.2.2-2017.12.31比较法-2层办公'!$B$89:$M$89</definedName>
    <definedName name="办公楼层" localSheetId="34">'2018.1.1-2021.11.7比较法-2层办公'!$B$89:$M$89</definedName>
    <definedName name="办公楼层" localSheetId="33">'2018.1.1-2023-4-17比较法-1层办公'!$B$89:$M$89</definedName>
    <definedName name="办公楼层" localSheetId="27">'[1]比较法-办公'!$B$89:$M$89</definedName>
    <definedName name="办公楼层" localSheetId="38">'[2]比较法-办公'!$B$89:$M$89</definedName>
    <definedName name="办公楼层" localSheetId="44">'[3]比较法-办公'!$B$89:$M$89</definedName>
    <definedName name="办公楼层">'2016.2.2-2017.12-31比较法-1层办公'!$B$89:$M$89</definedName>
    <definedName name="办公内部装修" localSheetId="32">'2016.2.2-2017.12.31比较法-2层办公'!$B$123:$M$123</definedName>
    <definedName name="办公内部装修" localSheetId="34">'2018.1.1-2021.11.7比较法-2层办公'!$B$123:$M$123</definedName>
    <definedName name="办公内部装修" localSheetId="33">'2018.1.1-2023-4-17比较法-1层办公'!$B$123:$M$123</definedName>
    <definedName name="办公内部装修" localSheetId="27">'[1]比较法-办公'!$B$123:$M$123</definedName>
    <definedName name="办公内部装修" localSheetId="38">'[2]比较法-办公'!$B$123:$M$123</definedName>
    <definedName name="办公内部装修" localSheetId="44">'[3]比较法-办公'!$B$123:$M$123</definedName>
    <definedName name="办公内部装修">'2016.2.2-2017.12-31比较法-1层办公'!$B$123:$M$123</definedName>
    <definedName name="办公物业管理" localSheetId="32">'2016.2.2-2017.12.31比较法-2层办公'!$B$115:$M$115</definedName>
    <definedName name="办公物业管理" localSheetId="34">'2018.1.1-2021.11.7比较法-2层办公'!$B$115:$M$115</definedName>
    <definedName name="办公物业管理" localSheetId="33">'2018.1.1-2023-4-17比较法-1层办公'!$B$115:$M$115</definedName>
    <definedName name="办公物业管理" localSheetId="27">'[1]比较法-办公'!$B$115:$M$115</definedName>
    <definedName name="办公物业管理" localSheetId="38">'[2]比较法-办公'!$B$115:$M$115</definedName>
    <definedName name="办公物业管理" localSheetId="44">'[3]比较法-办公'!$B$115:$M$115</definedName>
    <definedName name="办公物业管理">'2016.2.2-2017.12-31比较法-1层办公'!$B$115:$M$115</definedName>
    <definedName name="办公用途" localSheetId="32">'2016.2.2-2017.12.31比较法-2层办公'!$B$64:$M$64</definedName>
    <definedName name="办公用途" localSheetId="34">'2018.1.1-2021.11.7比较法-2层办公'!$B$64:$M$64</definedName>
    <definedName name="办公用途" localSheetId="33">'2018.1.1-2023-4-17比较法-1层办公'!$B$64:$M$64</definedName>
    <definedName name="办公用途" localSheetId="27">'[1]比较法-办公'!$B$64:$M$64</definedName>
    <definedName name="办公用途" localSheetId="38">'[2]比较法-办公'!$B$64:$M$64</definedName>
    <definedName name="办公用途" localSheetId="44">'[3]比较法-办公'!$B$64:$M$64</definedName>
    <definedName name="办公用途">'2016.2.2-2017.12-31比较法-1层办公'!$B$64:$M$64</definedName>
    <definedName name="仓储公共部分装修" localSheetId="27">'[1]比较法-仓储'!$B$77:$M$77</definedName>
    <definedName name="仓储公共部分装修" localSheetId="38">'[2]比较法-仓储'!$B$77:$M$77</definedName>
    <definedName name="仓储公共部分装修" localSheetId="44">'[3]比较法-仓储'!$B$77:$M$77</definedName>
    <definedName name="仓储公共部分装修">'比较法-仓储'!$B$77:$M$77</definedName>
    <definedName name="仓储交易情况" localSheetId="27">'[1]比较法-仓储'!$A$49:$M$49</definedName>
    <definedName name="仓储交易情况" localSheetId="38">'[2]比较法-仓储'!$A$49:$M$49</definedName>
    <definedName name="仓储交易情况" localSheetId="44">'[3]比较法-仓储'!$A$49:$M$49</definedName>
    <definedName name="仓储交易情况">'比较法-仓储'!$A$49:$M$49</definedName>
    <definedName name="仓储楼层" localSheetId="27">'[1]比较法-仓储'!$B$69:$M$69</definedName>
    <definedName name="仓储楼层" localSheetId="38">'[2]比较法-仓储'!$B$69:$M$69</definedName>
    <definedName name="仓储楼层" localSheetId="44">'[3]比较法-仓储'!$B$69:$M$69</definedName>
    <definedName name="仓储楼层">'比较法-仓储'!$B$69:$M$69</definedName>
    <definedName name="仓储物业等级" localSheetId="27">'[1]比较法-仓储'!$B$82:$M$82</definedName>
    <definedName name="仓储物业等级" localSheetId="38">'[2]比较法-仓储'!$B$82:$M$82</definedName>
    <definedName name="仓储物业等级" localSheetId="44">'[3]比较法-仓储'!$B$82:$M$82</definedName>
    <definedName name="仓储物业等级">'比较法-仓储'!$B$82:$M$82</definedName>
    <definedName name="仓储用途" localSheetId="27">'[1]比较法-仓储'!$B$51:$M$51</definedName>
    <definedName name="仓储用途" localSheetId="38">'[2]比较法-仓储'!$B$51:$M$51</definedName>
    <definedName name="仓储用途" localSheetId="44">'[3]比较法-仓储'!$B$51:$M$51</definedName>
    <definedName name="仓储用途">'比较法-仓储'!$B$51:$M$51</definedName>
    <definedName name="产业集聚程度" localSheetId="27">[1]定义!$N$1:$N$6</definedName>
    <definedName name="产业集聚程度" localSheetId="38">[2]定义!$N$1:$N$6</definedName>
    <definedName name="产业集聚程度" localSheetId="44">[3]定义!$N$1:$N$6</definedName>
    <definedName name="产业集聚程度">定义!$N$1:$N$6</definedName>
    <definedName name="车位公共部分装修" localSheetId="27">'[1]比较法-车位'!$B$83:$M$83</definedName>
    <definedName name="车位公共部分装修" localSheetId="38">'[2]比较法-车位'!$B$83:$M$83</definedName>
    <definedName name="车位公共部分装修" localSheetId="44">'[3]比较法-车位'!$B$83:$M$83</definedName>
    <definedName name="车位公共部分装修">'比较法-车位'!$B$83:$M$83</definedName>
    <definedName name="车位交易情况" localSheetId="27">'[1]比较法-车位'!$A$51:$M$51</definedName>
    <definedName name="车位交易情况" localSheetId="38">'[2]比较法-车位'!$A$51:$M$51</definedName>
    <definedName name="车位交易情况" localSheetId="44">'[3]比较法-车位'!$A$51:$M$51</definedName>
    <definedName name="车位交易情况">'比较法-车位'!$A$51:$M$51</definedName>
    <definedName name="车位类型" localSheetId="27">'[1]比较法-车位'!$B$93:$M$93</definedName>
    <definedName name="车位类型" localSheetId="38">'[2]比较法-车位'!$B$93:$M$93</definedName>
    <definedName name="车位类型" localSheetId="44">'[3]比较法-车位'!$B$93:$M$93</definedName>
    <definedName name="车位类型">'比较法-车位'!$B$93:$M$93</definedName>
    <definedName name="车位楼层" localSheetId="27">'[1]比较法-车位'!$B$71:$M$71</definedName>
    <definedName name="车位楼层" localSheetId="38">'[2]比较法-车位'!$B$71:$M$71</definedName>
    <definedName name="车位楼层" localSheetId="44">'[3]比较法-车位'!$B$71:$M$71</definedName>
    <definedName name="车位楼层">'比较法-车位'!$B$71:$M$71</definedName>
    <definedName name="车位配套类型" localSheetId="27">'[1]比较法-车位'!$B$79:$M$79</definedName>
    <definedName name="车位配套类型" localSheetId="38">'[2]比较法-车位'!$B$79:$M$79</definedName>
    <definedName name="车位配套类型" localSheetId="44">'[3]比较法-车位'!$B$79:$M$79</definedName>
    <definedName name="车位配套类型">'比较法-车位'!$B$79:$M$79</definedName>
    <definedName name="车位物业等级" localSheetId="27">'[1]比较法-车位'!$B$88:$M$88</definedName>
    <definedName name="车位物业等级" localSheetId="38">'[2]比较法-车位'!$B$88:$M$88</definedName>
    <definedName name="车位物业等级" localSheetId="44">'[3]比较法-车位'!$B$88:$M$88</definedName>
    <definedName name="车位物业等级">'比较法-车位'!$B$88:$M$88</definedName>
    <definedName name="车位用途" localSheetId="27">'[1]比较法-车位'!$B$53:$M$53</definedName>
    <definedName name="车位用途" localSheetId="38">'[2]比较法-车位'!$B$53:$M$53</definedName>
    <definedName name="车位用途" localSheetId="44">'[3]比较法-车位'!$B$53:$M$53</definedName>
    <definedName name="车位用途">'比较法-车位'!$B$53:$M$53</definedName>
    <definedName name="城镇土地纳税等级分级范围" localSheetId="27">'[1]数据-取费表'!$A$53:$A$63</definedName>
    <definedName name="城镇土地纳税等级分级范围" localSheetId="38">'[2]数据-取费表'!$A$53:$A$63</definedName>
    <definedName name="城镇土地纳税等级分级范围" localSheetId="44">'数据-取费表（市场）'!$A$53:$A$63</definedName>
    <definedName name="城镇土地纳税等级分级范围">'数据-取费表'!$D$41:$D$51</definedName>
    <definedName name="单价内涵" localSheetId="27">[1]定义!$V$1:$V$3</definedName>
    <definedName name="单价内涵" localSheetId="38">[2]定义!$V$1:$V$3</definedName>
    <definedName name="单价内涵" localSheetId="44">[3]定义!$V$1:$V$3</definedName>
    <definedName name="单价内涵">定义!$V$1:$V$3</definedName>
    <definedName name="抵押">定义!$B$52:$D$52</definedName>
    <definedName name="抵押净值">定义!$B$57:$C$57</definedName>
    <definedName name="抵押净值定义">定义!$B$57:$C$57</definedName>
    <definedName name="地类判定" localSheetId="27">[1]定义!$H$1:$H$9</definedName>
    <definedName name="地类判定" localSheetId="38">[2]定义!$H$1:$H$9</definedName>
    <definedName name="地类判定" localSheetId="44">[3]定义!$H$1:$H$9</definedName>
    <definedName name="地类判定">定义!$H$1:$H$9</definedName>
    <definedName name="二级">区片价!$J$1:$J$20</definedName>
    <definedName name="二级分类" localSheetId="27">[1]修正!$C$17:$C$39</definedName>
    <definedName name="二级分类" localSheetId="38">[2]修正!$C$19:$C$51</definedName>
    <definedName name="二级分类" localSheetId="44">[3]修正!$C$19:$C$51</definedName>
    <definedName name="二级分类">修正!$C$17:$C$39</definedName>
    <definedName name="法定最高年限" localSheetId="27">[1]定义!$G$1:$G$4</definedName>
    <definedName name="法定最高年限" localSheetId="38">[2]定义!$G$1:$G$6</definedName>
    <definedName name="法定最高年限" localSheetId="44">[3]定义!$G$1:$G$6</definedName>
    <definedName name="法定最高年限">定义!$G$1:$G$4</definedName>
    <definedName name="房地产估价师及注册号">估价师及机构信息!$D$3:$D$16</definedName>
    <definedName name="工业公共部分装修" localSheetId="27">'[1]比较法-工业'!$B$95:$M$95</definedName>
    <definedName name="工业公共部分装修" localSheetId="38">'[2]比较法-工业'!$B$95:$M$95</definedName>
    <definedName name="工业公共部分装修" localSheetId="44">'[3]比较法-工业'!$B$95:$M$95</definedName>
    <definedName name="工业公共部分装修">'比较法-工业'!$B$95:$M$95</definedName>
    <definedName name="工业基础设施水平" localSheetId="27">'[1]比较法-工业'!$B$102:$M$102</definedName>
    <definedName name="工业基础设施水平" localSheetId="38">'[2]比较法-工业'!$B$102:$M$102</definedName>
    <definedName name="工业基础设施水平" localSheetId="44">'[3]比较法-工业'!$B$102:$M$102</definedName>
    <definedName name="工业基础设施水平">'比较法-工业'!$B$102:$M$102</definedName>
    <definedName name="工业建筑结构" localSheetId="27">'[1]比较法-工业'!$B$93:$M$93</definedName>
    <definedName name="工业建筑结构" localSheetId="38">'[2]比较法-工业'!$B$93:$M$93</definedName>
    <definedName name="工业建筑结构" localSheetId="44">'[3]比较法-工业'!$B$93:$M$93</definedName>
    <definedName name="工业建筑结构">'比较法-工业'!$B$93:$M$93</definedName>
    <definedName name="工业建筑类型" localSheetId="27">'[1]比较法-工业'!$B$88:$M$88</definedName>
    <definedName name="工业建筑类型" localSheetId="38">'[2]比较法-工业'!$B$88:$M$88</definedName>
    <definedName name="工业建筑类型" localSheetId="44">'[3]比较法-工业'!$B$88:$M$88</definedName>
    <definedName name="工业建筑类型">'比较法-工业'!$B$88:$M$88</definedName>
    <definedName name="工业交易情况" localSheetId="27">'[1]比较法-工业'!$A$55:$M$55</definedName>
    <definedName name="工业交易情况" localSheetId="38">'[2]比较法-工业'!$A$55:$M$55</definedName>
    <definedName name="工业交易情况" localSheetId="44">'[3]比较法-工业'!$A$55:$M$55</definedName>
    <definedName name="工业交易情况">'比较法-工业'!$A$55:$M$55</definedName>
    <definedName name="工业内部装修" localSheetId="27">'[1]比较法-工业'!$B$104:$M$104</definedName>
    <definedName name="工业内部装修" localSheetId="38">'[2]比较法-工业'!$B$104:$M$104</definedName>
    <definedName name="工业内部装修" localSheetId="44">'[3]比较法-工业'!$B$104:$M$104</definedName>
    <definedName name="工业内部装修">'比较法-工业'!$B$104:$M$104</definedName>
    <definedName name="工业物业管理" localSheetId="27">'[1]比较法-工业'!$B$100:$M$100</definedName>
    <definedName name="工业物业管理" localSheetId="38">'[2]比较法-工业'!$B$100:$M$100</definedName>
    <definedName name="工业物业管理" localSheetId="44">'[3]比较法-工业'!$B$100:$M$100</definedName>
    <definedName name="工业物业管理">'比较法-工业'!$B$100:$M$100</definedName>
    <definedName name="工业用途" localSheetId="27">'[1]比较法-工业'!$B$57:$M$57</definedName>
    <definedName name="工业用途" localSheetId="38">'[2]比较法-工业'!$B$57:$M$57</definedName>
    <definedName name="工业用途" localSheetId="44">'[3]比较法-工业'!$B$57:$M$57</definedName>
    <definedName name="工业用途">'比较法-工业'!$B$57:$M$57</definedName>
    <definedName name="公共配套设施" localSheetId="27">[1]定义!$Q$1:$Q$6</definedName>
    <definedName name="公共配套设施" localSheetId="38">[2]定义!$Q$1:$Q$6</definedName>
    <definedName name="公共配套设施" localSheetId="44">[3]定义!$Q$1:$Q$6</definedName>
    <definedName name="公共配套设施">定义!$Q$1:$Q$6</definedName>
    <definedName name="估价范围判定" localSheetId="38">[2]定义!$D$1:$D$4</definedName>
    <definedName name="估价范围判定">[3]定义!$D$1:$D$4</definedName>
    <definedName name="估价方法" localSheetId="27">[1]定义!$B$1:$B$50</definedName>
    <definedName name="估价方法" localSheetId="38">[2]定义!$B$1:$B$50</definedName>
    <definedName name="估价方法" localSheetId="44">[3]定义!$B$1:$B$50</definedName>
    <definedName name="估价方法">定义!$B$1:$B$50</definedName>
    <definedName name="估价目的">定义!$A$51:$C$51</definedName>
    <definedName name="环境" localSheetId="27">[1]定义!$S$1:$S$6</definedName>
    <definedName name="环境" localSheetId="38">[2]定义!$S$1:$S$6</definedName>
    <definedName name="环境" localSheetId="44">[3]定义!$S$1:$S$6</definedName>
    <definedName name="环境">定义!$S$1:$S$6</definedName>
    <definedName name="基础设施水平" localSheetId="27">[1]定义!$R$1:$R$6</definedName>
    <definedName name="基础设施水平" localSheetId="38">[2]定义!$R$1:$R$6</definedName>
    <definedName name="基础设施水平" localSheetId="44">[3]定义!$R$1:$R$6</definedName>
    <definedName name="基础设施水平">定义!$R$1:$R$7</definedName>
    <definedName name="季度">基准地价修正!$N$19:$AD$19</definedName>
    <definedName name="价值类型">定义!$B$53:$B$58</definedName>
    <definedName name="价值类型2" localSheetId="27">[1]定义!$B$54:$B$56</definedName>
    <definedName name="价值类型2" localSheetId="38">[2]定义!$B$54:$B$56</definedName>
    <definedName name="价值类型2" localSheetId="44">[3]定义!$B$54:$B$56</definedName>
    <definedName name="价值类型2">定义!$B$54:$B$56</definedName>
    <definedName name="建筑使用方向">定义!$Y:$Y</definedName>
    <definedName name="交通便捷度" localSheetId="27">[1]定义!$O$1:$O$6</definedName>
    <definedName name="交通便捷度" localSheetId="38">[2]定义!$O$1:$O$6</definedName>
    <definedName name="交通便捷度" localSheetId="44">[3]定义!$O$1:$O$6</definedName>
    <definedName name="交通便捷度">定义!$O$1:$O$6</definedName>
    <definedName name="结构">定义!$X:$X</definedName>
    <definedName name="仅抵押价值">定义!$B$54:$C$54</definedName>
    <definedName name="九级">区片价!$Q$1:$Q$46</definedName>
    <definedName name="居住社区成熟度" localSheetId="27">[1]定义!$K$1:$K$6</definedName>
    <definedName name="居住社区成熟度" localSheetId="38">[2]定义!$K$1:$K$6</definedName>
    <definedName name="居住社区成熟度" localSheetId="44">[3]定义!$K$1:$K$6</definedName>
    <definedName name="居住社区成熟度">定义!$K$1:$K$6</definedName>
    <definedName name="类别" localSheetId="27">[1]定义!$J$1:$J$3</definedName>
    <definedName name="类别" localSheetId="38">[2]定义!$J$1:$J$3</definedName>
    <definedName name="类别" localSheetId="44">[3]定义!$J$1:$J$3</definedName>
    <definedName name="类别">定义!$J$1:$J$3</definedName>
    <definedName name="临街状况" localSheetId="27">[1]定义!$T$1:$T$5</definedName>
    <definedName name="临街状况" localSheetId="38">[2]定义!$T$1:$T$5</definedName>
    <definedName name="临街状况" localSheetId="44">[3]定义!$T$1:$T$5</definedName>
    <definedName name="临街状况">定义!$T$1:$T$5</definedName>
    <definedName name="六级">区片价!$N$1:$N$49</definedName>
    <definedName name="内部装修维护情况" localSheetId="27">[1]定义!$U$1:$U$6</definedName>
    <definedName name="内部装修维护情况" localSheetId="38">[2]定义!$U$1:$U$6</definedName>
    <definedName name="内部装修维护情况" localSheetId="44">[3]定义!$U$1:$U$6</definedName>
    <definedName name="内部装修维护情况">定义!$U$1:$U$6</definedName>
    <definedName name="判定" localSheetId="27">[1]定义!$D$1:$D$4</definedName>
    <definedName name="判定" localSheetId="38">[4]定义!$D$1:$D$4</definedName>
    <definedName name="判定">定义!$D$1:$D$4</definedName>
    <definedName name="七级">区片价!$O$1:$O$49</definedName>
    <definedName name="七通一平" localSheetId="27">[1]修正!$A$6:$A$14</definedName>
    <definedName name="七通一平" localSheetId="38">[2]修正!$A$8:$A$16</definedName>
    <definedName name="七通一平" localSheetId="44">[3]修正!$A$8:$A$16</definedName>
    <definedName name="七通一平">修正!$A$6:$A$14</definedName>
    <definedName name="区域土地利用方向" localSheetId="27">[1]定义!$P$1:$P$6</definedName>
    <definedName name="区域土地利用方向" localSheetId="38">[2]定义!$P$1:$P$6</definedName>
    <definedName name="区域土地利用方向" localSheetId="44">[3]定义!$P$1:$P$6</definedName>
    <definedName name="区域土地利用方向">定义!$P$1:$P$6</definedName>
    <definedName name="三级">区片价!$K$1:$K$21</definedName>
    <definedName name="商业层高" localSheetId="27">'[1]比较法-商业租金'!$B$116:$M$116</definedName>
    <definedName name="商业层高" localSheetId="38">'[2]比较法-商业'!$B$116:$M$116</definedName>
    <definedName name="商业层高" localSheetId="44">'[3]比较法-商业'!$B$116:$M$116</definedName>
    <definedName name="商业层高">'比较法-商业'!$B$116:$M$116</definedName>
    <definedName name="商业成新度">'比较法-商业'!$B$109:$M$109</definedName>
    <definedName name="商业繁华度" localSheetId="27">[1]定义!$L$1:$L$6</definedName>
    <definedName name="商业繁华度" localSheetId="38">[2]定义!$L$1:$L$6</definedName>
    <definedName name="商业繁华度" localSheetId="44">[3]定义!$L$1:$L$6</definedName>
    <definedName name="商业繁华度">定义!$L$1:$L$6</definedName>
    <definedName name="商业公共部分装修" localSheetId="27">'[1]比较法-商业租金'!$B$107:$M$107</definedName>
    <definedName name="商业公共部分装修" localSheetId="38">'[2]比较法-商业'!$B$107:$M$107</definedName>
    <definedName name="商业公共部分装修" localSheetId="44">'[3]比较法-商业'!$B$107:$M$107</definedName>
    <definedName name="商业公共部分装修">'比较法-商业'!$B$107:$M$107</definedName>
    <definedName name="商业基础设施水平" localSheetId="27">'[1]比较法-商业租金'!$B$112:$M$112</definedName>
    <definedName name="商业基础设施水平" localSheetId="38">'[2]比较法-商业'!$B$112:$M$112</definedName>
    <definedName name="商业基础设施水平" localSheetId="44">'[3]比较法-商业'!$B$112:$M$112</definedName>
    <definedName name="商业基础设施水平">'比较法-商业'!$B$112:$M$112</definedName>
    <definedName name="商业建筑结构" localSheetId="27">'[1]比较法-商业租金'!$B$105:$M$105</definedName>
    <definedName name="商业建筑结构" localSheetId="38">'[2]比较法-商业'!$B$105:$M$105</definedName>
    <definedName name="商业建筑结构" localSheetId="44">'[3]比较法-商业'!$B$105:$M$105</definedName>
    <definedName name="商业建筑结构">'比较法-商业'!$B$105:$M$105</definedName>
    <definedName name="商业交易情况" localSheetId="27">'[1]比较法-商业租金'!$A$61:$M$61</definedName>
    <definedName name="商业交易情况" localSheetId="38">'[2]比较法-商业'!$A$61:$M$61</definedName>
    <definedName name="商业交易情况" localSheetId="44">'[3]比较法-商业'!$A$61:$M$61</definedName>
    <definedName name="商业交易情况">'比较法-商业'!$A$61:$M$61</definedName>
    <definedName name="商业街名称" localSheetId="27">[1]修正!$C$59:$C$119</definedName>
    <definedName name="商业街名称" localSheetId="38">[2]修正!$C$71:$C$138</definedName>
    <definedName name="商业街名称" localSheetId="44">[3]修正!$C$71:$C$138</definedName>
    <definedName name="商业街名称">修正!$C$59:$C$119</definedName>
    <definedName name="商业进深比" localSheetId="27">'[1]比较法-商业租金'!$B$120:$M$120</definedName>
    <definedName name="商业进深比" localSheetId="38">'[2]比较法-商业'!$B$120:$M$120</definedName>
    <definedName name="商业进深比" localSheetId="44">'[3]比较法-商业'!$B$120:$M$120</definedName>
    <definedName name="商业进深比">'比较法-商业'!$B$120:$M$120</definedName>
    <definedName name="商业类型" localSheetId="27">'[1]比较法-商业租金'!$B$100:$M$100</definedName>
    <definedName name="商业类型" localSheetId="38">'[2]比较法-商业'!$B$100:$M$100</definedName>
    <definedName name="商业类型" localSheetId="44">'[3]比较法-商业'!$B$100:$M$100</definedName>
    <definedName name="商业类型">'比较法-商业'!$B$100:$M$100</definedName>
    <definedName name="商业临街状况" localSheetId="27">'[1]比较法-商业租金'!$B$86:$M$86</definedName>
    <definedName name="商业临街状况" localSheetId="38">'[2]比较法-商业'!$B$86:$M$86</definedName>
    <definedName name="商业临街状况" localSheetId="44">'[3]比较法-商业'!$B$86:$M$86</definedName>
    <definedName name="商业临街状况">'比较法-商业'!$B$86:$M$86</definedName>
    <definedName name="商业楼层" localSheetId="27">'[1]比较法-商业租金'!$B$92:$M$92</definedName>
    <definedName name="商业楼层" localSheetId="38">'[2]比较法-商业'!$B$92:$M$92</definedName>
    <definedName name="商业楼层" localSheetId="44">'[3]比较法-商业'!$B$92:$M$92</definedName>
    <definedName name="商业楼层">'比较法-商业'!$B$92:$M$92</definedName>
    <definedName name="商业内部装修" localSheetId="27">'[1]比较法-商业租金'!$B$122:$M$122</definedName>
    <definedName name="商业内部装修" localSheetId="38">'[2]比较法-商业'!$B$122:$M$122</definedName>
    <definedName name="商业内部装修" localSheetId="44">'[3]比较法-商业'!$B$122:$M$122</definedName>
    <definedName name="商业内部装修">'比较法-商业'!$B$122:$M$122</definedName>
    <definedName name="商业人流量" localSheetId="27">'[1]比较法-商业租金'!$B$90:$M$90</definedName>
    <definedName name="商业人流量" localSheetId="38">'[2]比较法-商业'!$B$90:$M$90</definedName>
    <definedName name="商业人流量" localSheetId="44">'[3]比较法-商业'!$B$90:$M$90</definedName>
    <definedName name="商业人流量">'比较法-商业'!$B$90:$M$90</definedName>
    <definedName name="商业业态" localSheetId="27">'[1]比较法-商业租金'!$B$114:$M$114</definedName>
    <definedName name="商业业态" localSheetId="38">'[2]比较法-商业'!$B$114:$M$114</definedName>
    <definedName name="商业业态" localSheetId="44">'[3]比较法-商业'!$B$114:$M$114</definedName>
    <definedName name="商业业态">'比较法-商业'!$B$114:$M$114</definedName>
    <definedName name="商业用途" localSheetId="27">'[1]比较法-商业租金'!$B$63:$M$63</definedName>
    <definedName name="商业用途" localSheetId="38">'[2]比较法-商业'!$B$63:$M$63</definedName>
    <definedName name="商业用途" localSheetId="44">'[3]比较法-商业'!$B$63:$M$63</definedName>
    <definedName name="商业用途">'比较法-商业'!$B$63:$M$63</definedName>
    <definedName name="十二级">区片价!$T$1:$T$8</definedName>
    <definedName name="十级">区片价!$R$1:$R$27</definedName>
    <definedName name="十一级">区片价!$S$1:$S$22</definedName>
    <definedName name="是否封闭" localSheetId="27">'[1]比较法-仓储'!$B$89:$M$89</definedName>
    <definedName name="是否封闭" localSheetId="38">'[2]比较法-仓储'!$B$89:$M$89</definedName>
    <definedName name="是否封闭" localSheetId="44">'[3]比较法-仓储'!$B$89:$M$89</definedName>
    <definedName name="是否封闭">'比较法-仓储'!$B$89:$M$89</definedName>
    <definedName name="是否直接入户" localSheetId="27">'[1]比较法-车位'!$B$95:$M$95</definedName>
    <definedName name="是否直接入户" localSheetId="38">'[2]比较法-车位'!$B$95:$M$95</definedName>
    <definedName name="是否直接入户" localSheetId="44">'[3]比较法-车位'!$B$95:$M$95</definedName>
    <definedName name="是否直接入户">'比较法-车位'!$B$95:$M$95</definedName>
    <definedName name="四级">区片价!$L$1:$L$28</definedName>
    <definedName name="套工道路等级" localSheetId="27">'[1]土地比较法-工业'!$B$97:$M$97</definedName>
    <definedName name="套工道路等级" localSheetId="38">'[2]土地比较法-工业'!$B$97:$M$97</definedName>
    <definedName name="套工道路等级" localSheetId="44">'[3]土地比较法-工业'!$B$97:$M$97</definedName>
    <definedName name="套工道路等级">'土地比较法-工业'!$B$97:$M$97</definedName>
    <definedName name="套工地质条件" localSheetId="27">'[1]土地比较法-工业'!$B$114:$M$114</definedName>
    <definedName name="套工地质条件" localSheetId="38">'[2]土地比较法-工业'!$B$114:$M$114</definedName>
    <definedName name="套工地质条件" localSheetId="44">'[3]土地比较法-工业'!$B$114:$M$114</definedName>
    <definedName name="套工地质条件">'土地比较法-工业'!$B$114:$M$114</definedName>
    <definedName name="套工交易情况" localSheetId="27">'[1]土地比较法-住宅、综合'!$A$73:$M$73</definedName>
    <definedName name="套工交易情况" localSheetId="38">'[2]土地比较法-住宅、综合'!$A$72:$M$72</definedName>
    <definedName name="套工交易情况" localSheetId="44">'[3]土地比较法-住宅、综合'!$A$72:$M$72</definedName>
    <definedName name="套工交易情况">'土地比较法-住宅、综合'!$A$73:$M$73</definedName>
    <definedName name="套工土地级别" localSheetId="27">'[1]土地比较法-工业'!$B$99:$M$99</definedName>
    <definedName name="套工土地级别" localSheetId="38">'[2]土地比较法-工业'!$B$99:$M$99</definedName>
    <definedName name="套工土地级别" localSheetId="44">'[3]土地比较法-工业'!$B$99:$M$99</definedName>
    <definedName name="套工土地级别">'土地比较法-工业'!$B$99:$M$99</definedName>
    <definedName name="套工用途" localSheetId="27">'[1]土地比较法-工业'!$B$70:$M$70</definedName>
    <definedName name="套工用途" localSheetId="38">'[2]土地比较法-工业'!$B$70:$M$70</definedName>
    <definedName name="套工用途" localSheetId="44">'[3]土地比较法-工业'!$B$70:$M$70</definedName>
    <definedName name="套工用途">'土地比较法-工业'!$B$70:$M$70</definedName>
    <definedName name="套工宗地开发程度" localSheetId="27">'[1]土地比较法-工业'!$B$112:$M$112</definedName>
    <definedName name="套工宗地开发程度" localSheetId="38">'[2]土地比较法-工业'!$B$112:$M$112</definedName>
    <definedName name="套工宗地开发程度" localSheetId="44">'[3]土地比较法-工业'!$B$112:$M$112</definedName>
    <definedName name="套工宗地开发程度">'[5]土地比较法-工业'!$B$112:$M$112</definedName>
    <definedName name="套工宗地内开发程度" localSheetId="38">'[4]土地比较法-工业'!$B$112:$M$112</definedName>
    <definedName name="套工宗地内开发程度">'土地比较法-工业'!$B$112:$M$112</definedName>
    <definedName name="套工宗地形状" localSheetId="27">'[1]土地比较法-工业'!$B$110:$M$110</definedName>
    <definedName name="套工宗地形状" localSheetId="38">'[2]土地比较法-工业'!$B$110:$M$110</definedName>
    <definedName name="套工宗地形状" localSheetId="44">'[3]土地比较法-工业'!$B$110:$M$110</definedName>
    <definedName name="套工宗地形状">'土地比较法-工业'!$B$110:$M$110</definedName>
    <definedName name="套综道路等级" localSheetId="27">'[1]土地比较法-住宅、综合'!$B$106:$M$106</definedName>
    <definedName name="套综道路等级" localSheetId="38">'[2]土地比较法-住宅、综合'!$B$105:$M$105</definedName>
    <definedName name="套综道路等级" localSheetId="44">'[3]土地比较法-住宅、综合'!$B$105:$M$105</definedName>
    <definedName name="套综道路等级">'土地比较法-住宅、综合'!$B$106:$M$106</definedName>
    <definedName name="套综工程地质条件" localSheetId="27">'[1]土地比较法-住宅、综合'!$B$125:$M$125</definedName>
    <definedName name="套综工程地质条件" localSheetId="38">'[2]土地比较法-住宅、综合'!$B$124:$M$124</definedName>
    <definedName name="套综工程地质条件" localSheetId="44">'[3]土地比较法-住宅、综合'!$B$124:$M$124</definedName>
    <definedName name="套综工程地质条件">'土地比较法-住宅、综合'!$B$125:$M$125</definedName>
    <definedName name="套综交易情况" localSheetId="27">'[1]土地比较法-住宅、综合'!$A$73:$M$73</definedName>
    <definedName name="套综交易情况" localSheetId="38">'[2]土地比较法-住宅、综合'!$A$72:$M$72</definedName>
    <definedName name="套综交易情况" localSheetId="44">'[3]土地比较法-住宅、综合'!$A$72:$M$72</definedName>
    <definedName name="套综交易情况">'土地比较法-住宅、综合'!$A$73:$M$73</definedName>
    <definedName name="套综临街宽度及深度" localSheetId="27">'[1]土地比较法-住宅、综合'!$B$121:$M$121</definedName>
    <definedName name="套综临街宽度及深度" localSheetId="38">'[2]土地比较法-住宅、综合'!$B$120:$M$120</definedName>
    <definedName name="套综临街宽度及深度" localSheetId="44">'[3]土地比较法-住宅、综合'!$B$120:$M$120</definedName>
    <definedName name="套综临街宽度及深度">'土地比较法-住宅、综合'!$B$121:$M$121</definedName>
    <definedName name="套综土地级别" localSheetId="27">'[1]土地比较法-住宅、综合'!$B$108:$M$108</definedName>
    <definedName name="套综土地级别" localSheetId="38">'[2]土地比较法-住宅、综合'!$B$107:$M$107</definedName>
    <definedName name="套综土地级别" localSheetId="44">'[3]土地比较法-住宅、综合'!$B$107:$M$107</definedName>
    <definedName name="套综土地级别">'土地比较法-住宅、综合'!$B$108:$M$108</definedName>
    <definedName name="套综用途" localSheetId="27">'[1]土地比较法-住宅、综合'!$B$75:$M$75</definedName>
    <definedName name="套综用途" localSheetId="38">'[2]土地比较法-住宅、综合'!$B$74:$M$74</definedName>
    <definedName name="套综用途" localSheetId="44">'[3]土地比较法-住宅、综合'!$B$74:$M$74</definedName>
    <definedName name="套综用途">'土地比较法-住宅、综合'!$B$75:$M$75</definedName>
    <definedName name="套综宗地内开发程度" localSheetId="27">'[1]土地比较法-住宅、综合'!$B$123:$M$123</definedName>
    <definedName name="套综宗地内开发程度" localSheetId="38">'[2]土地比较法-住宅、综合'!$B$122:$M$122</definedName>
    <definedName name="套综宗地内开发程度" localSheetId="44">'[3]土地比较法-住宅、综合'!$B$122:$M$122</definedName>
    <definedName name="套综宗地内开发程度">'土地比较法-住宅、综合'!$B$123:$M$123</definedName>
    <definedName name="套综宗地形状" localSheetId="27">'[1]土地比较法-住宅、综合'!$B$119:$M$119</definedName>
    <definedName name="套综宗地形状" localSheetId="38">'[2]土地比较法-住宅、综合'!$B$118:$M$118</definedName>
    <definedName name="套综宗地形状" localSheetId="44">'[3]土地比较法-住宅、综合'!$B$118:$M$118</definedName>
    <definedName name="套综宗地形状">'土地比较法-住宅、综合'!$B$119:$M$119</definedName>
    <definedName name="土地估价师">估价师及机构信息!$E$3:$E$16</definedName>
    <definedName name="土地估价师及注册号">估价师及机构信息!$H$3:$H$16</definedName>
    <definedName name="土地级别" localSheetId="27">[1]定义!$C$1:$C$14</definedName>
    <definedName name="土地级别" localSheetId="38">[2]定义!$C$1:$C$14</definedName>
    <definedName name="土地级别" localSheetId="44">[3]定义!$C$1:$C$14</definedName>
    <definedName name="土地级别">定义!$C$1:$C$13</definedName>
    <definedName name="土地利用方向">定义!$P$1:$P$6</definedName>
    <definedName name="土地年限区间" localSheetId="27">[1]定义!$I$1:$I$8</definedName>
    <definedName name="土地年限区间">定义!$I$1:$I$8</definedName>
    <definedName name="位置" localSheetId="27">[1]定义!$E$2:$E$4</definedName>
    <definedName name="位置" localSheetId="38">[2]定义!$E$2:$E$4</definedName>
    <definedName name="位置" localSheetId="44">[3]定义!$E$2:$E$4</definedName>
    <definedName name="位置">定义!$E$2:$E$4</definedName>
    <definedName name="五等判定" localSheetId="27">[1]定义!$W$1:$W$6</definedName>
    <definedName name="五等判定" localSheetId="38">[2]定义!$W$1:$W$6</definedName>
    <definedName name="五等判定" localSheetId="44">[3]定义!$W$1:$W$6</definedName>
    <definedName name="五等判定">定义!$W$1:$W$6</definedName>
    <definedName name="五级">区片价!$M$1:$M$35</definedName>
    <definedName name="项目类型" localSheetId="27">'[1]数据-汇总表'!$C$17:$C$26</definedName>
    <definedName name="项目类型" localSheetId="38">'[2]数据-汇总表'!$C$17:$C$26</definedName>
    <definedName name="项目类型" localSheetId="44">'[3]数据-汇总表'!$C$17:$C$26</definedName>
    <definedName name="项目类型">'[5]数据-汇总表'!$C$17:$C$26</definedName>
    <definedName name="项目类型取费">'数据-取费表'!$A$19:$A$19</definedName>
    <definedName name="写字楼等级" localSheetId="32">'2016.2.2-2017.12.31比较法-2层办公'!$B$113:$M$113</definedName>
    <definedName name="写字楼等级" localSheetId="34">'2018.1.1-2021.11.7比较法-2层办公'!$B$113:$M$113</definedName>
    <definedName name="写字楼等级" localSheetId="33">'2018.1.1-2023-4-17比较法-1层办公'!$B$113:$M$113</definedName>
    <definedName name="写字楼等级" localSheetId="27">'[1]比较法-办公'!$B$113:$M$113</definedName>
    <definedName name="写字楼等级" localSheetId="38">'[2]比较法-办公'!$B$113:$M$113</definedName>
    <definedName name="写字楼等级" localSheetId="44">'[3]比较法-办公'!$B$113:$M$113</definedName>
    <definedName name="写字楼等级">'2016.2.2-2017.12-31比较法-1层办公'!$B$113:$M$113</definedName>
    <definedName name="一级">区片价!$I$1:$I$6</definedName>
    <definedName name="一修多修正项2" localSheetId="27">[1]典型户型修正!$5:$5</definedName>
    <definedName name="一修多修正项2" localSheetId="38">[2]典型户型修正!$5:$5</definedName>
    <definedName name="一修多修正项2" localSheetId="44">[3]典型户型修正!$5:$5</definedName>
    <definedName name="一修多修正项2">典型户型修正!$8:$8</definedName>
    <definedName name="一修多修正项3" localSheetId="27">[1]典型户型修正!$7:$7</definedName>
    <definedName name="一修多修正项3" localSheetId="38">[2]典型户型修正!$7:$7</definedName>
    <definedName name="一修多修正项3" localSheetId="44">[3]典型户型修正!$7:$7</definedName>
    <definedName name="一修多修正项3">典型户型修正!$10:$10</definedName>
    <definedName name="一修多修正项4" localSheetId="27">[1]典型户型修正!$9:$9</definedName>
    <definedName name="一修多修正项4" localSheetId="38">[2]典型户型修正!$9:$9</definedName>
    <definedName name="一修多修正项4" localSheetId="44">[3]典型户型修正!$9:$9</definedName>
    <definedName name="一修多修正项4">典型户型修正!$12:$12</definedName>
    <definedName name="一修多修正项5" localSheetId="27">[1]典型户型修正!$11:$11</definedName>
    <definedName name="一修多修正项5" localSheetId="38">[2]典型户型修正!$11:$11</definedName>
    <definedName name="一修多修正项5" localSheetId="44">[3]典型户型修正!$11:$11</definedName>
    <definedName name="一修多修正项5">典型户型修正!$14:$14</definedName>
    <definedName name="一修多修正项6" localSheetId="27">[1]典型户型修正!$13:$13</definedName>
    <definedName name="一修多修正项6" localSheetId="38">[2]典型户型修正!$13:$13</definedName>
    <definedName name="一修多修正项6" localSheetId="44">[3]典型户型修正!$13:$13</definedName>
    <definedName name="一修多修正项6">典型户型修正!$16:$16</definedName>
    <definedName name="一修多修正项7" localSheetId="27">[1]典型户型修正!$15:$15</definedName>
    <definedName name="一修多修正项7" localSheetId="38">[2]典型户型修正!$15:$15</definedName>
    <definedName name="一修多修正项7" localSheetId="44">[3]典型户型修正!$15:$15</definedName>
    <definedName name="一修多修正项7">典型户型修正!$18:$18</definedName>
    <definedName name="一修多修正项8" localSheetId="27">[1]典型户型修正!$17:$17</definedName>
    <definedName name="一修多修正项8" localSheetId="38">[2]典型户型修正!$17:$17</definedName>
    <definedName name="一修多修正项8" localSheetId="44">[3]典型户型修正!$17:$17</definedName>
    <definedName name="一修多修正项8">典型户型修正!$20:$20</definedName>
    <definedName name="已注销">定义!$B$55:$C$55</definedName>
    <definedName name="已注销及未注销">定义!$B$56:$C$56</definedName>
    <definedName name="用途明细" localSheetId="27">[1]定义!$A$1:$A$50</definedName>
    <definedName name="用途明细" localSheetId="38">[2]定义!$A$1:$A$50</definedName>
    <definedName name="用途明细" localSheetId="44">[3]定义!$A$1:$A$50</definedName>
    <definedName name="用途明细">定义!$A$1:$A$50</definedName>
    <definedName name="有无电梯" localSheetId="27">'[1]比较法-仓储'!$B$84:$M$84</definedName>
    <definedName name="有无电梯" localSheetId="38">'[2]比较法-仓储'!$B$84:$M$84</definedName>
    <definedName name="有无电梯" localSheetId="44">'[3]比较法-仓储'!$B$84:$M$84</definedName>
    <definedName name="有无电梯">'比较法-仓储'!$B$84:$M$84</definedName>
    <definedName name="主用途" localSheetId="27">[1]定义!$F$1:$F$10</definedName>
    <definedName name="主用途" localSheetId="38">[2]定义!$F$1:$F$12</definedName>
    <definedName name="主用途" localSheetId="44">[3]定义!$F$1:$F$12</definedName>
    <definedName name="主用途">定义!$F$1:$F$10</definedName>
    <definedName name="住宅朝向" localSheetId="27">'[1]比较法-住宅'!$B$88:$M$88</definedName>
    <definedName name="住宅朝向" localSheetId="38">#REF!</definedName>
    <definedName name="住宅朝向" localSheetId="44">'[3]比较法-住宅'!$B$88:$M$88</definedName>
    <definedName name="住宅朝向">'比较法-住宅'!$B$88:$M$88</definedName>
    <definedName name="住宅房型" localSheetId="27">'[1]比较法-住宅'!$B$118:$M$118</definedName>
    <definedName name="住宅房型" localSheetId="38">#REF!</definedName>
    <definedName name="住宅房型" localSheetId="44">'[3]比较法-住宅'!$B$118:$M$118</definedName>
    <definedName name="住宅房型">'比较法-住宅'!$B$118:$M$118</definedName>
    <definedName name="住宅公共部分装修" localSheetId="27">'[1]比较法-住宅'!$B$109:$M$109</definedName>
    <definedName name="住宅公共部分装修" localSheetId="38">#REF!</definedName>
    <definedName name="住宅公共部分装修" localSheetId="44">'[3]比较法-住宅'!$B$109:$M$109</definedName>
    <definedName name="住宅公共部分装修">'比较法-住宅'!$B$109:$M$109</definedName>
    <definedName name="住宅基础设施水平" localSheetId="27">'[1]比较法-住宅'!$B$116:$M$116</definedName>
    <definedName name="住宅基础设施水平" localSheetId="38">#REF!</definedName>
    <definedName name="住宅基础设施水平" localSheetId="44">'[3]比较法-住宅'!$B$116:$M$116</definedName>
    <definedName name="住宅基础设施水平">'比较法-住宅'!$B$116:$M$116</definedName>
    <definedName name="住宅建筑结构" localSheetId="27">'[1]比较法-住宅'!$B$105:$M$105</definedName>
    <definedName name="住宅建筑结构" localSheetId="38">#REF!</definedName>
    <definedName name="住宅建筑结构" localSheetId="44">'[3]比较法-住宅'!$B$105:$M$105</definedName>
    <definedName name="住宅建筑结构">'比较法-住宅'!$B$105:$M$105</definedName>
    <definedName name="住宅建筑类型" localSheetId="27">'[1]比较法-住宅'!$B$100:$M$100</definedName>
    <definedName name="住宅建筑类型" localSheetId="38">#REF!</definedName>
    <definedName name="住宅建筑类型" localSheetId="44">'[3]比较法-住宅'!$B$100:$M$100</definedName>
    <definedName name="住宅建筑类型">'比较法-住宅'!$B$100:$M$100</definedName>
    <definedName name="住宅建筑品质" localSheetId="27">'[1]比较法-住宅'!$B$107:$M$107</definedName>
    <definedName name="住宅建筑品质" localSheetId="38">#REF!</definedName>
    <definedName name="住宅建筑品质" localSheetId="44">'[3]比较法-住宅'!$B$107:$M$107</definedName>
    <definedName name="住宅建筑品质">'比较法-住宅'!$B$107:$M$107</definedName>
    <definedName name="住宅交易情况" localSheetId="27">'[1]比较法-住宅'!$A$61:$M$61</definedName>
    <definedName name="住宅交易情况" localSheetId="38">#REF!</definedName>
    <definedName name="住宅交易情况" localSheetId="44">'[3]比较法-住宅'!$A$61:$M$61</definedName>
    <definedName name="住宅交易情况">'比较法-住宅'!$A$61:$M$61</definedName>
    <definedName name="住宅楼层" localSheetId="27">'[1]比较法-住宅'!$B$86:$M$86</definedName>
    <definedName name="住宅楼层" localSheetId="38">#REF!</definedName>
    <definedName name="住宅楼层" localSheetId="44">'[3]比较法-住宅'!$B$86:$M$86</definedName>
    <definedName name="住宅楼层">'比较法-住宅'!$B$86:$M$86</definedName>
    <definedName name="住宅内部装修" localSheetId="27">'[1]比较法-住宅'!$B$122:$M$122</definedName>
    <definedName name="住宅内部装修" localSheetId="38">#REF!</definedName>
    <definedName name="住宅内部装修" localSheetId="44">'[3]比较法-住宅'!$B$122:$M$122</definedName>
    <definedName name="住宅内部装修">'比较法-住宅'!$B$122:$M$122</definedName>
    <definedName name="住宅物业管理" localSheetId="27">'[1]比较法-住宅'!$B$114:$M$114</definedName>
    <definedName name="住宅物业管理" localSheetId="38">#REF!</definedName>
    <definedName name="住宅物业管理" localSheetId="44">'[3]比较法-住宅'!$B$114:$M$114</definedName>
    <definedName name="住宅物业管理">'比较法-住宅'!$B$114:$M$114</definedName>
    <definedName name="住宅用途" localSheetId="27">'[1]比较法-住宅'!$B$63:$M$63</definedName>
    <definedName name="住宅用途" localSheetId="38">#REF!</definedName>
    <definedName name="住宅用途" localSheetId="44">'[3]比较法-住宅'!$B$63:$M$63</definedName>
    <definedName name="住宅用途">'比较法-住宅'!$B$63:$M$63</definedName>
    <definedName name="住宅主力户型面积" localSheetId="38">#REF!</definedName>
    <definedName name="住宅主力户型面积">'比较法-住宅'!$B$120:$M$120</definedName>
    <definedName name="注册房地产估价师" localSheetId="27">[1]估价师及机构信息!$A$3:$A$16</definedName>
    <definedName name="注册房地产估价师" localSheetId="38">[2]估价师及机构信息!$A$3:$A$16</definedName>
    <definedName name="注册房地产估价师" localSheetId="44">[3]估价师及机构信息!$A$3:$A$16</definedName>
    <definedName name="注册房地产估价师">估价师及机构信息!$A$3:$A$16</definedName>
  </definedNames>
  <calcPr calcId="18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24" i="86" l="1"/>
  <c r="I25" i="94"/>
  <c r="P17" i="86"/>
  <c r="F43" i="93"/>
  <c r="AA43" i="93"/>
  <c r="F33" i="93"/>
  <c r="AA33" i="93"/>
  <c r="D88" i="93"/>
  <c r="F25" i="93"/>
  <c r="AA25" i="93"/>
  <c r="F38" i="93"/>
  <c r="AA38" i="93"/>
  <c r="R49" i="93"/>
  <c r="H43" i="93"/>
  <c r="AB43" i="93"/>
  <c r="H33" i="93"/>
  <c r="AB33" i="93"/>
  <c r="H25" i="93"/>
  <c r="AB25" i="93"/>
  <c r="H38" i="93"/>
  <c r="AB38" i="93"/>
  <c r="T49" i="93"/>
  <c r="J43" i="93"/>
  <c r="AC43" i="93"/>
  <c r="J33" i="93"/>
  <c r="AC33" i="93"/>
  <c r="J25" i="93"/>
  <c r="AC25" i="93"/>
  <c r="J38" i="93"/>
  <c r="AC38" i="93"/>
  <c r="V49" i="93"/>
  <c r="R50" i="93"/>
  <c r="C50" i="93"/>
  <c r="E27" i="86"/>
  <c r="E16" i="86"/>
  <c r="L16" i="86"/>
  <c r="M16" i="86"/>
  <c r="E17" i="86"/>
  <c r="L17" i="86"/>
  <c r="M17" i="86"/>
  <c r="F38" i="92"/>
  <c r="AA38" i="92"/>
  <c r="R49" i="92"/>
  <c r="H38" i="92"/>
  <c r="AB38" i="92"/>
  <c r="T49" i="92"/>
  <c r="J38" i="92"/>
  <c r="AC38" i="92"/>
  <c r="V49" i="92"/>
  <c r="R50" i="92"/>
  <c r="C49" i="92"/>
  <c r="E18" i="86"/>
  <c r="L18" i="86"/>
  <c r="M18" i="86"/>
  <c r="E19" i="86"/>
  <c r="L19" i="86"/>
  <c r="M19" i="86"/>
  <c r="E20" i="86"/>
  <c r="L20" i="86"/>
  <c r="M20" i="86"/>
  <c r="E21" i="86"/>
  <c r="L21" i="86"/>
  <c r="M21" i="86"/>
  <c r="E22" i="86"/>
  <c r="L22" i="86"/>
  <c r="M22" i="86"/>
  <c r="E23" i="86"/>
  <c r="L23" i="86"/>
  <c r="M23" i="86"/>
  <c r="M24" i="86"/>
  <c r="L27" i="86"/>
  <c r="M27" i="86"/>
  <c r="E28" i="86"/>
  <c r="L28" i="86"/>
  <c r="M28" i="86"/>
  <c r="D88" i="94"/>
  <c r="F25" i="94"/>
  <c r="AA25" i="94"/>
  <c r="F38" i="94"/>
  <c r="AA38" i="94"/>
  <c r="R49" i="94"/>
  <c r="E88" i="94"/>
  <c r="F88" i="94"/>
  <c r="H25" i="94"/>
  <c r="AB25" i="94"/>
  <c r="H38" i="94"/>
  <c r="AB38" i="94"/>
  <c r="T49" i="94"/>
  <c r="J25" i="94"/>
  <c r="AC25" i="94"/>
  <c r="J38" i="94"/>
  <c r="AC38" i="94"/>
  <c r="V49" i="94"/>
  <c r="R50" i="94"/>
  <c r="C50" i="94"/>
  <c r="E29" i="86"/>
  <c r="L29" i="86"/>
  <c r="M29" i="86"/>
  <c r="E30" i="86"/>
  <c r="L30" i="86"/>
  <c r="M30" i="86"/>
  <c r="E31" i="86"/>
  <c r="L31" i="86"/>
  <c r="M31" i="86"/>
  <c r="E32" i="86"/>
  <c r="L32" i="86"/>
  <c r="M32" i="86"/>
  <c r="M33" i="86"/>
  <c r="M34" i="86"/>
  <c r="O34" i="86"/>
  <c r="N34" i="86"/>
  <c r="D28" i="86"/>
  <c r="D29" i="86"/>
  <c r="D30" i="86"/>
  <c r="D31" i="86"/>
  <c r="D32" i="86"/>
  <c r="D27" i="86"/>
  <c r="D17" i="86"/>
  <c r="D18" i="86"/>
  <c r="D19" i="86"/>
  <c r="D20" i="86"/>
  <c r="D21" i="86"/>
  <c r="D22" i="86"/>
  <c r="D23" i="86"/>
  <c r="D16" i="86"/>
  <c r="G16" i="86"/>
  <c r="C27" i="86"/>
  <c r="C28" i="86"/>
  <c r="C29" i="86"/>
  <c r="C30" i="86"/>
  <c r="C31" i="86"/>
  <c r="C32" i="86"/>
  <c r="C33" i="86"/>
  <c r="O33" i="86"/>
  <c r="C16" i="86"/>
  <c r="C17" i="86"/>
  <c r="C18" i="86"/>
  <c r="C19" i="86"/>
  <c r="C20" i="86"/>
  <c r="C21" i="86"/>
  <c r="C22" i="86"/>
  <c r="C23" i="86"/>
  <c r="C24" i="86"/>
  <c r="O24" i="86"/>
  <c r="E48" i="94"/>
  <c r="R48" i="94"/>
  <c r="C59" i="94"/>
  <c r="D59" i="94"/>
  <c r="E59" i="94"/>
  <c r="F59" i="94"/>
  <c r="G59" i="94"/>
  <c r="H59" i="94"/>
  <c r="I59" i="94"/>
  <c r="J59" i="94"/>
  <c r="K59" i="94"/>
  <c r="L59" i="94"/>
  <c r="M59" i="94"/>
  <c r="N59" i="94"/>
  <c r="O59" i="94"/>
  <c r="F7" i="94"/>
  <c r="AA7" i="94"/>
  <c r="F8" i="94"/>
  <c r="AA8" i="94"/>
  <c r="C64" i="94"/>
  <c r="F9" i="94"/>
  <c r="AA9" i="94"/>
  <c r="F10" i="94"/>
  <c r="AA10" i="94"/>
  <c r="F11" i="94"/>
  <c r="AA11" i="94"/>
  <c r="B71" i="94"/>
  <c r="F12" i="94"/>
  <c r="AA12" i="94"/>
  <c r="B73" i="94"/>
  <c r="F13" i="94"/>
  <c r="AA13" i="94"/>
  <c r="B75" i="94"/>
  <c r="F14" i="94"/>
  <c r="AA14" i="94"/>
  <c r="D78" i="94"/>
  <c r="F15" i="94"/>
  <c r="AA15" i="94"/>
  <c r="D80" i="94"/>
  <c r="F17" i="94"/>
  <c r="AA17" i="94"/>
  <c r="D82" i="94"/>
  <c r="E82" i="94"/>
  <c r="F19" i="94"/>
  <c r="AA19" i="94"/>
  <c r="F21" i="94"/>
  <c r="AA21" i="94"/>
  <c r="D86" i="94"/>
  <c r="E86" i="94"/>
  <c r="F23" i="94"/>
  <c r="AA23" i="94"/>
  <c r="B89" i="94"/>
  <c r="D90" i="94"/>
  <c r="F27" i="94"/>
  <c r="AA27" i="94"/>
  <c r="B91" i="94"/>
  <c r="F28" i="94"/>
  <c r="AA28" i="94"/>
  <c r="B93" i="94"/>
  <c r="F29" i="94"/>
  <c r="AA29" i="94"/>
  <c r="B95" i="94"/>
  <c r="F30" i="94"/>
  <c r="AA30" i="94"/>
  <c r="B97" i="94"/>
  <c r="F31" i="94"/>
  <c r="AA31" i="94"/>
  <c r="B99" i="94"/>
  <c r="F32" i="94"/>
  <c r="AA32" i="94"/>
  <c r="F33" i="94"/>
  <c r="AA33" i="94"/>
  <c r="C34" i="94"/>
  <c r="F34" i="94"/>
  <c r="AA34" i="94"/>
  <c r="F35" i="94"/>
  <c r="AA35" i="94"/>
  <c r="D109" i="94"/>
  <c r="F36" i="94"/>
  <c r="AA36" i="94"/>
  <c r="E37" i="94"/>
  <c r="D112" i="94"/>
  <c r="F37" i="94"/>
  <c r="AA37" i="94"/>
  <c r="D114" i="94"/>
  <c r="F39" i="94"/>
  <c r="AA39" i="94"/>
  <c r="F40" i="94"/>
  <c r="AA40" i="94"/>
  <c r="F41" i="94"/>
  <c r="AA41" i="94"/>
  <c r="F42" i="94"/>
  <c r="AA42" i="94"/>
  <c r="D124" i="94"/>
  <c r="F43" i="94"/>
  <c r="AA43" i="94"/>
  <c r="D126" i="94"/>
  <c r="F44" i="94"/>
  <c r="AA44" i="94"/>
  <c r="B127" i="94"/>
  <c r="F45" i="94"/>
  <c r="AA45" i="94"/>
  <c r="B129" i="94"/>
  <c r="F46" i="94"/>
  <c r="AA46" i="94"/>
  <c r="B131" i="94"/>
  <c r="F47" i="94"/>
  <c r="AA47" i="94"/>
  <c r="H46" i="78"/>
  <c r="G48" i="94"/>
  <c r="T48" i="94"/>
  <c r="H7" i="94"/>
  <c r="AB7" i="94"/>
  <c r="H8" i="94"/>
  <c r="AB8" i="94"/>
  <c r="H9" i="94"/>
  <c r="AB9" i="94"/>
  <c r="H10" i="94"/>
  <c r="AB10" i="94"/>
  <c r="H11" i="94"/>
  <c r="AB11" i="94"/>
  <c r="H12" i="94"/>
  <c r="AB12" i="94"/>
  <c r="H13" i="94"/>
  <c r="AB13" i="94"/>
  <c r="H14" i="94"/>
  <c r="AB14" i="94"/>
  <c r="H15" i="94"/>
  <c r="AB15" i="94"/>
  <c r="H17" i="94"/>
  <c r="AB17" i="94"/>
  <c r="H19" i="94"/>
  <c r="AB19" i="94"/>
  <c r="H21" i="94"/>
  <c r="AB21" i="94"/>
  <c r="H23" i="94"/>
  <c r="AB23" i="94"/>
  <c r="H27" i="94"/>
  <c r="AB27" i="94"/>
  <c r="H28" i="94"/>
  <c r="AB28" i="94"/>
  <c r="H29" i="94"/>
  <c r="AB29" i="94"/>
  <c r="H30" i="94"/>
  <c r="AB30" i="94"/>
  <c r="H31" i="94"/>
  <c r="AB31" i="94"/>
  <c r="H32" i="94"/>
  <c r="AB32" i="94"/>
  <c r="H33" i="94"/>
  <c r="AB33" i="94"/>
  <c r="G34" i="94"/>
  <c r="H34" i="94"/>
  <c r="AB34" i="94"/>
  <c r="H35" i="94"/>
  <c r="AB35" i="94"/>
  <c r="H36" i="94"/>
  <c r="AB36" i="94"/>
  <c r="G37" i="94"/>
  <c r="H37" i="94"/>
  <c r="AB37" i="94"/>
  <c r="H39" i="94"/>
  <c r="AB39" i="94"/>
  <c r="H40" i="94"/>
  <c r="AB40" i="94"/>
  <c r="H41" i="94"/>
  <c r="AB41" i="94"/>
  <c r="H42" i="94"/>
  <c r="AB42" i="94"/>
  <c r="H43" i="94"/>
  <c r="AB43" i="94"/>
  <c r="H44" i="94"/>
  <c r="AB44" i="94"/>
  <c r="H45" i="94"/>
  <c r="AB45" i="94"/>
  <c r="H46" i="94"/>
  <c r="AB46" i="94"/>
  <c r="H47" i="94"/>
  <c r="AB47" i="94"/>
  <c r="I48" i="94"/>
  <c r="V48" i="94"/>
  <c r="J7" i="94"/>
  <c r="AC7" i="94"/>
  <c r="J8" i="94"/>
  <c r="AC8" i="94"/>
  <c r="J9" i="94"/>
  <c r="AC9" i="94"/>
  <c r="J10" i="94"/>
  <c r="AC10" i="94"/>
  <c r="J11" i="94"/>
  <c r="AC11" i="94"/>
  <c r="J12" i="94"/>
  <c r="AC12" i="94"/>
  <c r="J13" i="94"/>
  <c r="AC13" i="94"/>
  <c r="J14" i="94"/>
  <c r="AC14" i="94"/>
  <c r="J15" i="94"/>
  <c r="AC15" i="94"/>
  <c r="J17" i="94"/>
  <c r="AC17" i="94"/>
  <c r="J19" i="94"/>
  <c r="AC19" i="94"/>
  <c r="J21" i="94"/>
  <c r="AC21" i="94"/>
  <c r="J23" i="94"/>
  <c r="AC23" i="94"/>
  <c r="J27" i="94"/>
  <c r="AC27" i="94"/>
  <c r="J28" i="94"/>
  <c r="AC28" i="94"/>
  <c r="J29" i="94"/>
  <c r="AC29" i="94"/>
  <c r="J30" i="94"/>
  <c r="AC30" i="94"/>
  <c r="J31" i="94"/>
  <c r="AC31" i="94"/>
  <c r="J32" i="94"/>
  <c r="AC32" i="94"/>
  <c r="J33" i="94"/>
  <c r="AC33" i="94"/>
  <c r="J34" i="94"/>
  <c r="AC34" i="94"/>
  <c r="J35" i="94"/>
  <c r="AC35" i="94"/>
  <c r="J36" i="94"/>
  <c r="AC36" i="94"/>
  <c r="I37" i="94"/>
  <c r="J37" i="94"/>
  <c r="AC37" i="94"/>
  <c r="J39" i="94"/>
  <c r="AC39" i="94"/>
  <c r="J40" i="94"/>
  <c r="AC40" i="94"/>
  <c r="J41" i="94"/>
  <c r="AC41" i="94"/>
  <c r="J42" i="94"/>
  <c r="AC42" i="94"/>
  <c r="J43" i="94"/>
  <c r="AC43" i="94"/>
  <c r="J44" i="94"/>
  <c r="AC44" i="94"/>
  <c r="J45" i="94"/>
  <c r="AC45" i="94"/>
  <c r="J46" i="94"/>
  <c r="AC46" i="94"/>
  <c r="J47" i="94"/>
  <c r="AC47" i="94"/>
  <c r="E48" i="92"/>
  <c r="R48" i="92"/>
  <c r="E7" i="92"/>
  <c r="C59" i="92"/>
  <c r="D59" i="92"/>
  <c r="E59" i="92"/>
  <c r="F59" i="92"/>
  <c r="G59" i="92"/>
  <c r="H59" i="92"/>
  <c r="I59" i="92"/>
  <c r="J59" i="92"/>
  <c r="K59" i="92"/>
  <c r="L59" i="92"/>
  <c r="M59" i="92"/>
  <c r="N59" i="92"/>
  <c r="O59" i="92"/>
  <c r="F7" i="92"/>
  <c r="AA7" i="92"/>
  <c r="F8" i="92"/>
  <c r="AA8" i="92"/>
  <c r="C64" i="92"/>
  <c r="F9" i="92"/>
  <c r="AA9" i="92"/>
  <c r="F10" i="92"/>
  <c r="AA10" i="92"/>
  <c r="F11" i="92"/>
  <c r="AA11" i="92"/>
  <c r="B71" i="92"/>
  <c r="F12" i="92"/>
  <c r="AA12" i="92"/>
  <c r="B73" i="92"/>
  <c r="F13" i="92"/>
  <c r="AA13" i="92"/>
  <c r="B75" i="92"/>
  <c r="F14" i="92"/>
  <c r="AA14" i="92"/>
  <c r="D78" i="92"/>
  <c r="F15" i="92"/>
  <c r="AA15" i="92"/>
  <c r="D80" i="92"/>
  <c r="F17" i="92"/>
  <c r="AA17" i="92"/>
  <c r="D82" i="92"/>
  <c r="E82" i="92"/>
  <c r="F19" i="92"/>
  <c r="AA19" i="92"/>
  <c r="F21" i="92"/>
  <c r="AA21" i="92"/>
  <c r="D86" i="92"/>
  <c r="E86" i="92"/>
  <c r="F23" i="92"/>
  <c r="AA23" i="92"/>
  <c r="D88" i="92"/>
  <c r="E88" i="92"/>
  <c r="F88" i="92"/>
  <c r="F25" i="92"/>
  <c r="AA25" i="92"/>
  <c r="B89" i="92"/>
  <c r="F27" i="92"/>
  <c r="AA27" i="92"/>
  <c r="B91" i="92"/>
  <c r="F28" i="92"/>
  <c r="AA28" i="92"/>
  <c r="B93" i="92"/>
  <c r="F29" i="92"/>
  <c r="AA29" i="92"/>
  <c r="B95" i="92"/>
  <c r="F30" i="92"/>
  <c r="AA30" i="92"/>
  <c r="B97" i="92"/>
  <c r="F31" i="92"/>
  <c r="AA31" i="92"/>
  <c r="B99" i="92"/>
  <c r="F32" i="92"/>
  <c r="AA32" i="92"/>
  <c r="F33" i="92"/>
  <c r="AA33" i="92"/>
  <c r="E34" i="92"/>
  <c r="C34" i="92"/>
  <c r="F34" i="92"/>
  <c r="AA34" i="92"/>
  <c r="F35" i="92"/>
  <c r="AA35" i="92"/>
  <c r="D109" i="92"/>
  <c r="F36" i="92"/>
  <c r="AA36" i="92"/>
  <c r="E37" i="92"/>
  <c r="D112" i="92"/>
  <c r="F37" i="92"/>
  <c r="AA37" i="92"/>
  <c r="D114" i="92"/>
  <c r="E114" i="92"/>
  <c r="F39" i="92"/>
  <c r="AA39" i="92"/>
  <c r="F40" i="92"/>
  <c r="AA40" i="92"/>
  <c r="F41" i="92"/>
  <c r="AA41" i="92"/>
  <c r="F42" i="92"/>
  <c r="AA42" i="92"/>
  <c r="D124" i="92"/>
  <c r="F43" i="92"/>
  <c r="AA43" i="92"/>
  <c r="D126" i="92"/>
  <c r="F44" i="92"/>
  <c r="AA44" i="92"/>
  <c r="B127" i="92"/>
  <c r="F45" i="92"/>
  <c r="AA45" i="92"/>
  <c r="B129" i="92"/>
  <c r="F46" i="92"/>
  <c r="AA46" i="92"/>
  <c r="B131" i="92"/>
  <c r="F47" i="92"/>
  <c r="AA47" i="92"/>
  <c r="G48" i="92"/>
  <c r="T48" i="92"/>
  <c r="G7" i="92"/>
  <c r="H7" i="92"/>
  <c r="AB7" i="92"/>
  <c r="H8" i="92"/>
  <c r="AB8" i="92"/>
  <c r="H9" i="92"/>
  <c r="AB9" i="92"/>
  <c r="H10" i="92"/>
  <c r="AB10" i="92"/>
  <c r="H11" i="92"/>
  <c r="AB11" i="92"/>
  <c r="H12" i="92"/>
  <c r="AB12" i="92"/>
  <c r="H13" i="92"/>
  <c r="AB13" i="92"/>
  <c r="H14" i="92"/>
  <c r="AB14" i="92"/>
  <c r="H15" i="92"/>
  <c r="AB15" i="92"/>
  <c r="H17" i="92"/>
  <c r="AB17" i="92"/>
  <c r="H19" i="92"/>
  <c r="AB19" i="92"/>
  <c r="H21" i="92"/>
  <c r="AB21" i="92"/>
  <c r="H23" i="92"/>
  <c r="AB23" i="92"/>
  <c r="H25" i="92"/>
  <c r="AB25" i="92"/>
  <c r="H27" i="92"/>
  <c r="AB27" i="92"/>
  <c r="H28" i="92"/>
  <c r="AB28" i="92"/>
  <c r="H29" i="92"/>
  <c r="AB29" i="92"/>
  <c r="H30" i="92"/>
  <c r="AB30" i="92"/>
  <c r="H31" i="92"/>
  <c r="AB31" i="92"/>
  <c r="H32" i="92"/>
  <c r="AB32" i="92"/>
  <c r="H33" i="92"/>
  <c r="AB33" i="92"/>
  <c r="G34" i="92"/>
  <c r="H34" i="92"/>
  <c r="AB34" i="92"/>
  <c r="H35" i="92"/>
  <c r="AB35" i="92"/>
  <c r="H36" i="92"/>
  <c r="AB36" i="92"/>
  <c r="G37" i="92"/>
  <c r="H37" i="92"/>
  <c r="AB37" i="92"/>
  <c r="H39" i="92"/>
  <c r="AB39" i="92"/>
  <c r="H40" i="92"/>
  <c r="AB40" i="92"/>
  <c r="H41" i="92"/>
  <c r="AB41" i="92"/>
  <c r="H42" i="92"/>
  <c r="AB42" i="92"/>
  <c r="H43" i="92"/>
  <c r="AB43" i="92"/>
  <c r="H44" i="92"/>
  <c r="AB44" i="92"/>
  <c r="H45" i="92"/>
  <c r="AB45" i="92"/>
  <c r="H46" i="92"/>
  <c r="AB46" i="92"/>
  <c r="H47" i="92"/>
  <c r="AB47" i="92"/>
  <c r="V48" i="92"/>
  <c r="I7" i="92"/>
  <c r="J7" i="92"/>
  <c r="AC7" i="92"/>
  <c r="J8" i="92"/>
  <c r="AC8" i="92"/>
  <c r="J9" i="92"/>
  <c r="AC9" i="92"/>
  <c r="J10" i="92"/>
  <c r="AC10" i="92"/>
  <c r="J11" i="92"/>
  <c r="AC11" i="92"/>
  <c r="J12" i="92"/>
  <c r="AC12" i="92"/>
  <c r="J13" i="92"/>
  <c r="AC13" i="92"/>
  <c r="J14" i="92"/>
  <c r="AC14" i="92"/>
  <c r="J15" i="92"/>
  <c r="AC15" i="92"/>
  <c r="J17" i="92"/>
  <c r="AC17" i="92"/>
  <c r="J19" i="92"/>
  <c r="AC19" i="92"/>
  <c r="J21" i="92"/>
  <c r="AC21" i="92"/>
  <c r="J23" i="92"/>
  <c r="AC23" i="92"/>
  <c r="J25" i="92"/>
  <c r="AC25" i="92"/>
  <c r="J27" i="92"/>
  <c r="AC27" i="92"/>
  <c r="J28" i="92"/>
  <c r="AC28" i="92"/>
  <c r="J29" i="92"/>
  <c r="AC29" i="92"/>
  <c r="J30" i="92"/>
  <c r="AC30" i="92"/>
  <c r="J31" i="92"/>
  <c r="AC31" i="92"/>
  <c r="J32" i="92"/>
  <c r="AC32" i="92"/>
  <c r="J33" i="92"/>
  <c r="AC33" i="92"/>
  <c r="I34" i="92"/>
  <c r="J34" i="92"/>
  <c r="AC34" i="92"/>
  <c r="J35" i="92"/>
  <c r="AC35" i="92"/>
  <c r="J36" i="92"/>
  <c r="AC36" i="92"/>
  <c r="I37" i="92"/>
  <c r="J37" i="92"/>
  <c r="AC37" i="92"/>
  <c r="J39" i="92"/>
  <c r="AC39" i="92"/>
  <c r="J40" i="92"/>
  <c r="AC40" i="92"/>
  <c r="J41" i="92"/>
  <c r="AC41" i="92"/>
  <c r="J42" i="92"/>
  <c r="AC42" i="92"/>
  <c r="J43" i="92"/>
  <c r="AC43" i="92"/>
  <c r="J44" i="92"/>
  <c r="AC44" i="92"/>
  <c r="J45" i="92"/>
  <c r="AC45" i="92"/>
  <c r="J46" i="92"/>
  <c r="AC46" i="92"/>
  <c r="J47" i="92"/>
  <c r="AC47" i="92"/>
  <c r="I48" i="93"/>
  <c r="V48" i="93"/>
  <c r="B2" i="1"/>
  <c r="C7" i="93"/>
  <c r="C59" i="93"/>
  <c r="D59" i="93"/>
  <c r="E59" i="93"/>
  <c r="F59" i="93"/>
  <c r="G59" i="93"/>
  <c r="H59" i="93"/>
  <c r="I59" i="93"/>
  <c r="J59" i="93"/>
  <c r="K59" i="93"/>
  <c r="L59" i="93"/>
  <c r="M59" i="93"/>
  <c r="N59" i="93"/>
  <c r="O59" i="93"/>
  <c r="J7" i="93"/>
  <c r="AC7" i="93"/>
  <c r="J8" i="93"/>
  <c r="AC8" i="93"/>
  <c r="C64" i="93"/>
  <c r="J9" i="93"/>
  <c r="AC9" i="93"/>
  <c r="J10" i="93"/>
  <c r="AC10" i="93"/>
  <c r="J11" i="93"/>
  <c r="AC11" i="93"/>
  <c r="B71" i="93"/>
  <c r="J12" i="93"/>
  <c r="AC12" i="93"/>
  <c r="B73" i="93"/>
  <c r="J13" i="93"/>
  <c r="AC13" i="93"/>
  <c r="B75" i="93"/>
  <c r="J14" i="93"/>
  <c r="AC14" i="93"/>
  <c r="D78" i="93"/>
  <c r="J15" i="93"/>
  <c r="AC15" i="93"/>
  <c r="D80" i="93"/>
  <c r="J17" i="93"/>
  <c r="AC17" i="93"/>
  <c r="D82" i="93"/>
  <c r="E82" i="93"/>
  <c r="J19" i="93"/>
  <c r="AC19" i="93"/>
  <c r="J21" i="93"/>
  <c r="AC21" i="93"/>
  <c r="D86" i="93"/>
  <c r="E86" i="93"/>
  <c r="J23" i="93"/>
  <c r="AC23" i="93"/>
  <c r="B89" i="93"/>
  <c r="D90" i="93"/>
  <c r="J27" i="93"/>
  <c r="AC27" i="93"/>
  <c r="B91" i="93"/>
  <c r="J28" i="93"/>
  <c r="AC28" i="93"/>
  <c r="B93" i="93"/>
  <c r="J29" i="93"/>
  <c r="AC29" i="93"/>
  <c r="B95" i="93"/>
  <c r="J30" i="93"/>
  <c r="AC30" i="93"/>
  <c r="B97" i="93"/>
  <c r="J31" i="93"/>
  <c r="AC31" i="93"/>
  <c r="B99" i="93"/>
  <c r="J32" i="93"/>
  <c r="AC32" i="93"/>
  <c r="C34" i="93"/>
  <c r="J34" i="93"/>
  <c r="AC34" i="93"/>
  <c r="J35" i="93"/>
  <c r="AC35" i="93"/>
  <c r="D109" i="93"/>
  <c r="J36" i="93"/>
  <c r="AC36" i="93"/>
  <c r="I37" i="93"/>
  <c r="D112" i="93"/>
  <c r="E112" i="93"/>
  <c r="J37" i="93"/>
  <c r="AC37" i="93"/>
  <c r="D114" i="93"/>
  <c r="E114" i="93"/>
  <c r="J39" i="93"/>
  <c r="AC39" i="93"/>
  <c r="J40" i="93"/>
  <c r="AC40" i="93"/>
  <c r="J41" i="93"/>
  <c r="AC41" i="93"/>
  <c r="J42" i="93"/>
  <c r="AC42" i="93"/>
  <c r="D124" i="93"/>
  <c r="D126" i="93"/>
  <c r="J44" i="93"/>
  <c r="AC44" i="93"/>
  <c r="B127" i="93"/>
  <c r="J45" i="93"/>
  <c r="AC45" i="93"/>
  <c r="B129" i="93"/>
  <c r="J46" i="93"/>
  <c r="AC46" i="93"/>
  <c r="B131" i="93"/>
  <c r="J47" i="93"/>
  <c r="AC47" i="93"/>
  <c r="G48" i="93"/>
  <c r="T48" i="93"/>
  <c r="H7" i="93"/>
  <c r="AB7" i="93"/>
  <c r="H8" i="93"/>
  <c r="AB8" i="93"/>
  <c r="H9" i="93"/>
  <c r="AB9" i="93"/>
  <c r="H10" i="93"/>
  <c r="AB10" i="93"/>
  <c r="H11" i="93"/>
  <c r="AB11" i="93"/>
  <c r="H12" i="93"/>
  <c r="AB12" i="93"/>
  <c r="H13" i="93"/>
  <c r="AB13" i="93"/>
  <c r="H14" i="93"/>
  <c r="AB14" i="93"/>
  <c r="H15" i="93"/>
  <c r="AB15" i="93"/>
  <c r="H17" i="93"/>
  <c r="AB17" i="93"/>
  <c r="H19" i="93"/>
  <c r="AB19" i="93"/>
  <c r="H21" i="93"/>
  <c r="AB21" i="93"/>
  <c r="H23" i="93"/>
  <c r="AB23" i="93"/>
  <c r="H27" i="93"/>
  <c r="AB27" i="93"/>
  <c r="H28" i="93"/>
  <c r="AB28" i="93"/>
  <c r="H29" i="93"/>
  <c r="AB29" i="93"/>
  <c r="H30" i="93"/>
  <c r="AB30" i="93"/>
  <c r="H31" i="93"/>
  <c r="AB31" i="93"/>
  <c r="H32" i="93"/>
  <c r="AB32" i="93"/>
  <c r="H34" i="93"/>
  <c r="AB34" i="93"/>
  <c r="H35" i="93"/>
  <c r="AB35" i="93"/>
  <c r="H36" i="93"/>
  <c r="AB36" i="93"/>
  <c r="G37" i="93"/>
  <c r="H37" i="93"/>
  <c r="AB37" i="93"/>
  <c r="H39" i="93"/>
  <c r="AB39" i="93"/>
  <c r="H40" i="93"/>
  <c r="AB40" i="93"/>
  <c r="H41" i="93"/>
  <c r="AB41" i="93"/>
  <c r="H42" i="93"/>
  <c r="AB42" i="93"/>
  <c r="H44" i="93"/>
  <c r="AB44" i="93"/>
  <c r="H45" i="93"/>
  <c r="AB45" i="93"/>
  <c r="H46" i="93"/>
  <c r="AB46" i="93"/>
  <c r="H47" i="93"/>
  <c r="AB47" i="93"/>
  <c r="E48" i="93"/>
  <c r="R48" i="93"/>
  <c r="F7" i="93"/>
  <c r="AA7" i="93"/>
  <c r="F8" i="93"/>
  <c r="AA8" i="93"/>
  <c r="F9" i="93"/>
  <c r="AA9" i="93"/>
  <c r="F10" i="93"/>
  <c r="AA10" i="93"/>
  <c r="F11" i="93"/>
  <c r="AA11" i="93"/>
  <c r="F12" i="93"/>
  <c r="AA12" i="93"/>
  <c r="F13" i="93"/>
  <c r="AA13" i="93"/>
  <c r="F14" i="93"/>
  <c r="AA14" i="93"/>
  <c r="F15" i="93"/>
  <c r="AA15" i="93"/>
  <c r="F17" i="93"/>
  <c r="AA17" i="93"/>
  <c r="F19" i="93"/>
  <c r="AA19" i="93"/>
  <c r="F21" i="93"/>
  <c r="AA21" i="93"/>
  <c r="F23" i="93"/>
  <c r="AA23" i="93"/>
  <c r="F27" i="93"/>
  <c r="AA27" i="93"/>
  <c r="F28" i="93"/>
  <c r="AA28" i="93"/>
  <c r="F29" i="93"/>
  <c r="AA29" i="93"/>
  <c r="F30" i="93"/>
  <c r="AA30" i="93"/>
  <c r="F31" i="93"/>
  <c r="AA31" i="93"/>
  <c r="F32" i="93"/>
  <c r="AA32" i="93"/>
  <c r="F34" i="93"/>
  <c r="AA34" i="93"/>
  <c r="F35" i="93"/>
  <c r="AA35" i="93"/>
  <c r="F36" i="93"/>
  <c r="AA36" i="93"/>
  <c r="E37" i="93"/>
  <c r="F37" i="93"/>
  <c r="AA37" i="93"/>
  <c r="F39" i="93"/>
  <c r="AA39" i="93"/>
  <c r="F40" i="93"/>
  <c r="AA40" i="93"/>
  <c r="F41" i="93"/>
  <c r="AA41" i="93"/>
  <c r="F42" i="93"/>
  <c r="AA42" i="93"/>
  <c r="F44" i="93"/>
  <c r="AA44" i="93"/>
  <c r="F45" i="93"/>
  <c r="AA45" i="93"/>
  <c r="F46" i="93"/>
  <c r="AA46" i="93"/>
  <c r="F47" i="93"/>
  <c r="AA47" i="93"/>
  <c r="N29" i="86"/>
  <c r="N18" i="86"/>
  <c r="C26" i="86"/>
  <c r="G27" i="86"/>
  <c r="F31" i="86"/>
  <c r="F32" i="86"/>
  <c r="F20" i="86"/>
  <c r="F21" i="86"/>
  <c r="F22" i="86"/>
  <c r="F23" i="86"/>
  <c r="I48" i="34"/>
  <c r="G48" i="34"/>
  <c r="E48" i="34"/>
  <c r="R48" i="34"/>
  <c r="E7" i="34"/>
  <c r="C7" i="34"/>
  <c r="C59" i="34"/>
  <c r="D59" i="34"/>
  <c r="E59" i="34"/>
  <c r="F59" i="34"/>
  <c r="G59" i="34"/>
  <c r="H59" i="34"/>
  <c r="I59" i="34"/>
  <c r="J59" i="34"/>
  <c r="K59" i="34"/>
  <c r="L59" i="34"/>
  <c r="M59" i="34"/>
  <c r="N59" i="34"/>
  <c r="O59" i="34"/>
  <c r="F7" i="34"/>
  <c r="AA7" i="34"/>
  <c r="F8" i="34"/>
  <c r="AA8" i="34"/>
  <c r="C64" i="34"/>
  <c r="F9" i="34"/>
  <c r="AA9" i="34"/>
  <c r="F10" i="34"/>
  <c r="AA10" i="34"/>
  <c r="F11" i="34"/>
  <c r="AA11" i="34"/>
  <c r="B71" i="34"/>
  <c r="F12" i="34"/>
  <c r="AA12" i="34"/>
  <c r="B73" i="34"/>
  <c r="F13" i="34"/>
  <c r="AA13" i="34"/>
  <c r="B75" i="34"/>
  <c r="F14" i="34"/>
  <c r="AA14" i="34"/>
  <c r="D78" i="34"/>
  <c r="F15" i="34"/>
  <c r="AA15" i="34"/>
  <c r="D80" i="34"/>
  <c r="F17" i="34"/>
  <c r="AA17" i="34"/>
  <c r="D82" i="34"/>
  <c r="E82" i="34"/>
  <c r="F19" i="34"/>
  <c r="AA19" i="34"/>
  <c r="F21" i="34"/>
  <c r="AA21" i="34"/>
  <c r="D86" i="34"/>
  <c r="E86" i="34"/>
  <c r="F23" i="34"/>
  <c r="AA23" i="34"/>
  <c r="D88" i="34"/>
  <c r="E88" i="34"/>
  <c r="F88" i="34"/>
  <c r="F25" i="34"/>
  <c r="AA25" i="34"/>
  <c r="B89" i="34"/>
  <c r="F27" i="34"/>
  <c r="AA27" i="34"/>
  <c r="B91" i="34"/>
  <c r="F28" i="34"/>
  <c r="AA28" i="34"/>
  <c r="B93" i="34"/>
  <c r="F29" i="34"/>
  <c r="AA29" i="34"/>
  <c r="B95" i="34"/>
  <c r="F30" i="34"/>
  <c r="AA30" i="34"/>
  <c r="B97" i="34"/>
  <c r="F31" i="34"/>
  <c r="AA31" i="34"/>
  <c r="B99" i="34"/>
  <c r="F32" i="34"/>
  <c r="AA32" i="34"/>
  <c r="F33" i="34"/>
  <c r="AA33" i="34"/>
  <c r="E34" i="34"/>
  <c r="C34" i="34"/>
  <c r="F34" i="34"/>
  <c r="AA34" i="34"/>
  <c r="F35" i="34"/>
  <c r="AA35" i="34"/>
  <c r="D109" i="34"/>
  <c r="F36" i="34"/>
  <c r="AA36" i="34"/>
  <c r="E37" i="34"/>
  <c r="D112" i="34"/>
  <c r="E112" i="34"/>
  <c r="F37" i="34"/>
  <c r="AA37" i="34"/>
  <c r="D114" i="34"/>
  <c r="E114" i="34"/>
  <c r="F38" i="34"/>
  <c r="AA38" i="34"/>
  <c r="F39" i="34"/>
  <c r="AA39" i="34"/>
  <c r="F40" i="34"/>
  <c r="AA40" i="34"/>
  <c r="F41" i="34"/>
  <c r="AA41" i="34"/>
  <c r="F42" i="34"/>
  <c r="AA42" i="34"/>
  <c r="D124" i="34"/>
  <c r="F43" i="34"/>
  <c r="AA43" i="34"/>
  <c r="D126" i="34"/>
  <c r="F44" i="34"/>
  <c r="AA44" i="34"/>
  <c r="B127" i="34"/>
  <c r="F45" i="34"/>
  <c r="AA45" i="34"/>
  <c r="B129" i="34"/>
  <c r="F46" i="34"/>
  <c r="AA46" i="34"/>
  <c r="B131" i="34"/>
  <c r="F47" i="34"/>
  <c r="AA47" i="34"/>
  <c r="R49" i="34"/>
  <c r="T48" i="34"/>
  <c r="G7" i="34"/>
  <c r="H7" i="34"/>
  <c r="AB7" i="34"/>
  <c r="H8" i="34"/>
  <c r="AB8" i="34"/>
  <c r="H9" i="34"/>
  <c r="AB9" i="34"/>
  <c r="H10" i="34"/>
  <c r="AB10" i="34"/>
  <c r="H11" i="34"/>
  <c r="AB11" i="34"/>
  <c r="H12" i="34"/>
  <c r="AB12" i="34"/>
  <c r="H13" i="34"/>
  <c r="AB13" i="34"/>
  <c r="H14" i="34"/>
  <c r="AB14" i="34"/>
  <c r="H15" i="34"/>
  <c r="AB15" i="34"/>
  <c r="H17" i="34"/>
  <c r="AB17" i="34"/>
  <c r="H19" i="34"/>
  <c r="AB19" i="34"/>
  <c r="H21" i="34"/>
  <c r="AB21" i="34"/>
  <c r="H23" i="34"/>
  <c r="AB23" i="34"/>
  <c r="H25" i="34"/>
  <c r="AB25" i="34"/>
  <c r="H27" i="34"/>
  <c r="AB27" i="34"/>
  <c r="H28" i="34"/>
  <c r="AB28" i="34"/>
  <c r="H29" i="34"/>
  <c r="AB29" i="34"/>
  <c r="H30" i="34"/>
  <c r="AB30" i="34"/>
  <c r="H31" i="34"/>
  <c r="AB31" i="34"/>
  <c r="H32" i="34"/>
  <c r="AB32" i="34"/>
  <c r="H33" i="34"/>
  <c r="AB33" i="34"/>
  <c r="H34" i="34"/>
  <c r="AB34" i="34"/>
  <c r="H35" i="34"/>
  <c r="AB35" i="34"/>
  <c r="H36" i="34"/>
  <c r="AB36" i="34"/>
  <c r="G37" i="34"/>
  <c r="H37" i="34"/>
  <c r="AB37" i="34"/>
  <c r="H38" i="34"/>
  <c r="AB38" i="34"/>
  <c r="H39" i="34"/>
  <c r="AB39" i="34"/>
  <c r="H40" i="34"/>
  <c r="AB40" i="34"/>
  <c r="H41" i="34"/>
  <c r="AB41" i="34"/>
  <c r="H42" i="34"/>
  <c r="AB42" i="34"/>
  <c r="H43" i="34"/>
  <c r="AB43" i="34"/>
  <c r="H44" i="34"/>
  <c r="AB44" i="34"/>
  <c r="H45" i="34"/>
  <c r="AB45" i="34"/>
  <c r="H46" i="34"/>
  <c r="AB46" i="34"/>
  <c r="H47" i="34"/>
  <c r="AB47" i="34"/>
  <c r="T49" i="34"/>
  <c r="V48" i="34"/>
  <c r="I7" i="34"/>
  <c r="J7" i="34"/>
  <c r="AC7" i="34"/>
  <c r="J8" i="34"/>
  <c r="AC8" i="34"/>
  <c r="J9" i="34"/>
  <c r="AC9" i="34"/>
  <c r="J10" i="34"/>
  <c r="AC10" i="34"/>
  <c r="J11" i="34"/>
  <c r="AC11" i="34"/>
  <c r="J12" i="34"/>
  <c r="AC12" i="34"/>
  <c r="J13" i="34"/>
  <c r="AC13" i="34"/>
  <c r="J14" i="34"/>
  <c r="AC14" i="34"/>
  <c r="J15" i="34"/>
  <c r="AC15" i="34"/>
  <c r="J17" i="34"/>
  <c r="AC17" i="34"/>
  <c r="J19" i="34"/>
  <c r="AC19" i="34"/>
  <c r="J21" i="34"/>
  <c r="AC21" i="34"/>
  <c r="J23" i="34"/>
  <c r="AC23" i="34"/>
  <c r="J25" i="34"/>
  <c r="AC25" i="34"/>
  <c r="J27" i="34"/>
  <c r="AC27" i="34"/>
  <c r="J28" i="34"/>
  <c r="AC28" i="34"/>
  <c r="J29" i="34"/>
  <c r="AC29" i="34"/>
  <c r="J30" i="34"/>
  <c r="AC30" i="34"/>
  <c r="J31" i="34"/>
  <c r="AC31" i="34"/>
  <c r="J32" i="34"/>
  <c r="AC32" i="34"/>
  <c r="J33" i="34"/>
  <c r="AC33" i="34"/>
  <c r="I34" i="34"/>
  <c r="J34" i="34"/>
  <c r="AC34" i="34"/>
  <c r="J35" i="34"/>
  <c r="AC35" i="34"/>
  <c r="J36" i="34"/>
  <c r="AC36" i="34"/>
  <c r="I37" i="34"/>
  <c r="J37" i="34"/>
  <c r="AC37" i="34"/>
  <c r="J38" i="34"/>
  <c r="AC38" i="34"/>
  <c r="J39" i="34"/>
  <c r="AC39" i="34"/>
  <c r="J40" i="34"/>
  <c r="AC40" i="34"/>
  <c r="J41" i="34"/>
  <c r="AC41" i="34"/>
  <c r="J42" i="34"/>
  <c r="AC42" i="34"/>
  <c r="J43" i="34"/>
  <c r="AC43" i="34"/>
  <c r="J44" i="34"/>
  <c r="AC44" i="34"/>
  <c r="J45" i="34"/>
  <c r="AC45" i="34"/>
  <c r="J46" i="34"/>
  <c r="AC46" i="34"/>
  <c r="J47" i="34"/>
  <c r="AC47" i="34"/>
  <c r="V49" i="34"/>
  <c r="R50" i="34"/>
  <c r="C50" i="34"/>
  <c r="G6" i="94"/>
  <c r="G40" i="86"/>
  <c r="G41" i="86"/>
  <c r="H41" i="86"/>
  <c r="H40" i="86"/>
  <c r="E41" i="86"/>
  <c r="E40" i="86"/>
  <c r="J3" i="91"/>
  <c r="J6" i="91"/>
  <c r="J29" i="91"/>
  <c r="J30" i="91"/>
  <c r="J31" i="91"/>
  <c r="E6" i="34"/>
  <c r="I16" i="86"/>
  <c r="I17" i="86"/>
  <c r="I18" i="86"/>
  <c r="I19" i="86"/>
  <c r="I20" i="86"/>
  <c r="I21" i="86"/>
  <c r="I22" i="86"/>
  <c r="I23" i="86"/>
  <c r="I24" i="86"/>
  <c r="I27" i="86"/>
  <c r="I28" i="86"/>
  <c r="I29" i="86"/>
  <c r="I30" i="86"/>
  <c r="I31" i="86"/>
  <c r="I32" i="86"/>
  <c r="I33" i="86"/>
  <c r="I34" i="86"/>
  <c r="N8" i="91"/>
  <c r="N9" i="91"/>
  <c r="N10" i="91"/>
  <c r="N11" i="91"/>
  <c r="N12" i="91"/>
  <c r="N13" i="91"/>
  <c r="N14" i="91"/>
  <c r="G29" i="86"/>
  <c r="G18" i="86"/>
  <c r="E126" i="94"/>
  <c r="F126" i="94"/>
  <c r="G126" i="94"/>
  <c r="E124" i="94"/>
  <c r="F124" i="94"/>
  <c r="G124" i="94"/>
  <c r="H124" i="94"/>
  <c r="I124" i="94"/>
  <c r="J124" i="94"/>
  <c r="K124" i="94"/>
  <c r="L124" i="94"/>
  <c r="M124" i="94"/>
  <c r="D120" i="94"/>
  <c r="E120" i="94"/>
  <c r="F120" i="94"/>
  <c r="G120" i="94"/>
  <c r="H120" i="94"/>
  <c r="I120" i="94"/>
  <c r="J120" i="94"/>
  <c r="K120" i="94"/>
  <c r="L120" i="94"/>
  <c r="M120" i="94"/>
  <c r="D118" i="94"/>
  <c r="E118" i="94"/>
  <c r="F118" i="94"/>
  <c r="G118" i="94"/>
  <c r="D116" i="94"/>
  <c r="E116" i="94"/>
  <c r="F116" i="94"/>
  <c r="G116" i="94"/>
  <c r="H116" i="94"/>
  <c r="I116" i="94"/>
  <c r="J116" i="94"/>
  <c r="K116" i="94"/>
  <c r="L116" i="94"/>
  <c r="M116" i="94"/>
  <c r="E114" i="94"/>
  <c r="F114" i="94"/>
  <c r="G114" i="94"/>
  <c r="H114" i="94"/>
  <c r="I114" i="94"/>
  <c r="J114" i="94"/>
  <c r="K114" i="94"/>
  <c r="L114" i="94"/>
  <c r="M114" i="94"/>
  <c r="E112" i="94"/>
  <c r="F112" i="94"/>
  <c r="G112" i="94"/>
  <c r="H112" i="94"/>
  <c r="I112" i="94"/>
  <c r="J112" i="94"/>
  <c r="K112" i="94"/>
  <c r="L112" i="94"/>
  <c r="M112" i="94"/>
  <c r="G110" i="94"/>
  <c r="F110" i="94"/>
  <c r="E110" i="94"/>
  <c r="D110" i="94"/>
  <c r="C110" i="94"/>
  <c r="E109" i="94"/>
  <c r="F109" i="94"/>
  <c r="G109" i="94"/>
  <c r="H109" i="94"/>
  <c r="I109" i="94"/>
  <c r="J109" i="94"/>
  <c r="K109" i="94"/>
  <c r="L109" i="94"/>
  <c r="M109" i="94"/>
  <c r="D107" i="94"/>
  <c r="E107" i="94"/>
  <c r="F107" i="94"/>
  <c r="G107" i="94"/>
  <c r="H107" i="94"/>
  <c r="I107" i="94"/>
  <c r="J107" i="94"/>
  <c r="K107" i="94"/>
  <c r="L107" i="94"/>
  <c r="M107" i="94"/>
  <c r="M103" i="94"/>
  <c r="L103" i="94"/>
  <c r="K103" i="94"/>
  <c r="J103" i="94"/>
  <c r="I103" i="94"/>
  <c r="H103" i="94"/>
  <c r="G103" i="94"/>
  <c r="F103" i="94"/>
  <c r="E103" i="94"/>
  <c r="D103" i="94"/>
  <c r="C103" i="94"/>
  <c r="D102" i="94"/>
  <c r="E102" i="94"/>
  <c r="F102" i="94"/>
  <c r="G102" i="94"/>
  <c r="H102" i="94"/>
  <c r="I102" i="94"/>
  <c r="J102" i="94"/>
  <c r="K102" i="94"/>
  <c r="L102" i="94"/>
  <c r="M102" i="94"/>
  <c r="D92" i="94"/>
  <c r="E92" i="94"/>
  <c r="F92" i="94"/>
  <c r="G92" i="94"/>
  <c r="H92" i="94"/>
  <c r="I92" i="94"/>
  <c r="J92" i="94"/>
  <c r="K92" i="94"/>
  <c r="L92" i="94"/>
  <c r="M92" i="94"/>
  <c r="E90" i="94"/>
  <c r="F90" i="94"/>
  <c r="G90" i="94"/>
  <c r="H90" i="94"/>
  <c r="I90" i="94"/>
  <c r="J90" i="94"/>
  <c r="K90" i="94"/>
  <c r="L90" i="94"/>
  <c r="M90" i="94"/>
  <c r="G88" i="94"/>
  <c r="H88" i="94"/>
  <c r="I88" i="94"/>
  <c r="J88" i="94"/>
  <c r="K88" i="94"/>
  <c r="L88" i="94"/>
  <c r="M88" i="94"/>
  <c r="D84" i="94"/>
  <c r="E84" i="94"/>
  <c r="F84" i="94"/>
  <c r="G84" i="94"/>
  <c r="E80" i="94"/>
  <c r="F80" i="94"/>
  <c r="G80" i="94"/>
  <c r="E78" i="94"/>
  <c r="F78" i="94"/>
  <c r="G78" i="94"/>
  <c r="D70" i="94"/>
  <c r="E70" i="94"/>
  <c r="F70" i="94"/>
  <c r="G70" i="94"/>
  <c r="H70" i="94"/>
  <c r="I70" i="94"/>
  <c r="J70" i="94"/>
  <c r="K70" i="94"/>
  <c r="L70" i="94"/>
  <c r="M70" i="94"/>
  <c r="M68" i="94"/>
  <c r="L68" i="94"/>
  <c r="K68" i="94"/>
  <c r="J68" i="94"/>
  <c r="I68" i="94"/>
  <c r="H68" i="94"/>
  <c r="G68" i="94"/>
  <c r="F68" i="94"/>
  <c r="E68" i="94"/>
  <c r="D68" i="94"/>
  <c r="C68" i="94"/>
  <c r="F67" i="94"/>
  <c r="G67" i="94"/>
  <c r="H67" i="94"/>
  <c r="I67" i="94"/>
  <c r="I55" i="94"/>
  <c r="J55" i="94"/>
  <c r="G55" i="94"/>
  <c r="H55" i="94"/>
  <c r="E55" i="94"/>
  <c r="F55" i="94"/>
  <c r="P50" i="94"/>
  <c r="P49" i="94"/>
  <c r="K49" i="94"/>
  <c r="P48" i="94"/>
  <c r="Q47" i="94"/>
  <c r="Z47" i="94"/>
  <c r="Q46" i="94"/>
  <c r="Z46" i="94"/>
  <c r="U45" i="94"/>
  <c r="Q45" i="94"/>
  <c r="Z45" i="94"/>
  <c r="Q44" i="94"/>
  <c r="Z44" i="94"/>
  <c r="Q43" i="94"/>
  <c r="Z43" i="94"/>
  <c r="W42" i="94"/>
  <c r="Q42" i="94"/>
  <c r="Z42" i="94"/>
  <c r="U41" i="94"/>
  <c r="Q41" i="94"/>
  <c r="Z41" i="94"/>
  <c r="Q40" i="94"/>
  <c r="Z40" i="94"/>
  <c r="Q39" i="94"/>
  <c r="Z39" i="94"/>
  <c r="W38" i="94"/>
  <c r="Q38" i="94"/>
  <c r="Z38" i="94"/>
  <c r="U37" i="94"/>
  <c r="Q37" i="94"/>
  <c r="Z37" i="94"/>
  <c r="W36" i="94"/>
  <c r="Q36" i="94"/>
  <c r="Z36" i="94"/>
  <c r="U35" i="94"/>
  <c r="Q35" i="94"/>
  <c r="Z35" i="94"/>
  <c r="S34" i="94"/>
  <c r="Q34" i="94"/>
  <c r="Z34" i="94"/>
  <c r="Q33" i="94"/>
  <c r="Z33" i="94"/>
  <c r="Q32" i="94"/>
  <c r="Z32" i="94"/>
  <c r="W31" i="94"/>
  <c r="Q31" i="94"/>
  <c r="Z31" i="94"/>
  <c r="Q30" i="94"/>
  <c r="Z30" i="94"/>
  <c r="Q29" i="94"/>
  <c r="Z29" i="94"/>
  <c r="Q28" i="94"/>
  <c r="Z28" i="94"/>
  <c r="W27" i="94"/>
  <c r="Q27" i="94"/>
  <c r="Z27" i="94"/>
  <c r="U25" i="94"/>
  <c r="Q25" i="94"/>
  <c r="Z25" i="94"/>
  <c r="Q23" i="94"/>
  <c r="Z23" i="94"/>
  <c r="C23" i="94"/>
  <c r="U21" i="94"/>
  <c r="Q21" i="94"/>
  <c r="Z21" i="94"/>
  <c r="C21" i="94"/>
  <c r="Q19" i="94"/>
  <c r="Z19" i="94"/>
  <c r="C19" i="94"/>
  <c r="U17" i="94"/>
  <c r="Q17" i="94"/>
  <c r="Z17" i="94"/>
  <c r="C17" i="94"/>
  <c r="U15" i="94"/>
  <c r="Q15" i="94"/>
  <c r="Z15" i="94"/>
  <c r="C15" i="94"/>
  <c r="Q14" i="94"/>
  <c r="Z14" i="94"/>
  <c r="Q13" i="94"/>
  <c r="Z13" i="94"/>
  <c r="Q12" i="94"/>
  <c r="Z12" i="94"/>
  <c r="W11" i="94"/>
  <c r="Q11" i="94"/>
  <c r="Z11" i="94"/>
  <c r="Q10" i="94"/>
  <c r="Z10" i="94"/>
  <c r="Q9" i="94"/>
  <c r="Z9" i="94"/>
  <c r="W8" i="94"/>
  <c r="S8" i="94"/>
  <c r="U8" i="94"/>
  <c r="I5" i="94"/>
  <c r="C12" i="4"/>
  <c r="B5" i="1"/>
  <c r="D3" i="94"/>
  <c r="C2" i="94"/>
  <c r="F2" i="94"/>
  <c r="E126" i="93"/>
  <c r="F126" i="93"/>
  <c r="G126" i="93"/>
  <c r="E124" i="93"/>
  <c r="F124" i="93"/>
  <c r="G124" i="93"/>
  <c r="H124" i="93"/>
  <c r="I124" i="93"/>
  <c r="J124" i="93"/>
  <c r="K124" i="93"/>
  <c r="L124" i="93"/>
  <c r="M124" i="93"/>
  <c r="D120" i="93"/>
  <c r="E120" i="93"/>
  <c r="F120" i="93"/>
  <c r="G120" i="93"/>
  <c r="H120" i="93"/>
  <c r="I120" i="93"/>
  <c r="J120" i="93"/>
  <c r="K120" i="93"/>
  <c r="L120" i="93"/>
  <c r="M120" i="93"/>
  <c r="D118" i="93"/>
  <c r="E118" i="93"/>
  <c r="F118" i="93"/>
  <c r="G118" i="93"/>
  <c r="D116" i="93"/>
  <c r="E116" i="93"/>
  <c r="F116" i="93"/>
  <c r="G116" i="93"/>
  <c r="H116" i="93"/>
  <c r="I116" i="93"/>
  <c r="J116" i="93"/>
  <c r="K116" i="93"/>
  <c r="L116" i="93"/>
  <c r="M116" i="93"/>
  <c r="F114" i="93"/>
  <c r="G114" i="93"/>
  <c r="H114" i="93"/>
  <c r="I114" i="93"/>
  <c r="J114" i="93"/>
  <c r="K114" i="93"/>
  <c r="L114" i="93"/>
  <c r="M114" i="93"/>
  <c r="F112" i="93"/>
  <c r="G112" i="93"/>
  <c r="H112" i="93"/>
  <c r="I112" i="93"/>
  <c r="J112" i="93"/>
  <c r="K112" i="93"/>
  <c r="L112" i="93"/>
  <c r="M112" i="93"/>
  <c r="G110" i="93"/>
  <c r="F110" i="93"/>
  <c r="E110" i="93"/>
  <c r="D110" i="93"/>
  <c r="C110" i="93"/>
  <c r="E109" i="93"/>
  <c r="F109" i="93"/>
  <c r="G109" i="93"/>
  <c r="H109" i="93"/>
  <c r="I109" i="93"/>
  <c r="J109" i="93"/>
  <c r="K109" i="93"/>
  <c r="L109" i="93"/>
  <c r="M109" i="93"/>
  <c r="D107" i="93"/>
  <c r="E107" i="93"/>
  <c r="F107" i="93"/>
  <c r="G107" i="93"/>
  <c r="H107" i="93"/>
  <c r="I107" i="93"/>
  <c r="J107" i="93"/>
  <c r="K107" i="93"/>
  <c r="L107" i="93"/>
  <c r="M107" i="93"/>
  <c r="M103" i="93"/>
  <c r="L103" i="93"/>
  <c r="K103" i="93"/>
  <c r="J103" i="93"/>
  <c r="I103" i="93"/>
  <c r="H103" i="93"/>
  <c r="G103" i="93"/>
  <c r="F103" i="93"/>
  <c r="E103" i="93"/>
  <c r="D103" i="93"/>
  <c r="C103" i="93"/>
  <c r="D102" i="93"/>
  <c r="E102" i="93"/>
  <c r="F102" i="93"/>
  <c r="G102" i="93"/>
  <c r="H102" i="93"/>
  <c r="I102" i="93"/>
  <c r="J102" i="93"/>
  <c r="K102" i="93"/>
  <c r="L102" i="93"/>
  <c r="M102" i="93"/>
  <c r="D92" i="93"/>
  <c r="E92" i="93"/>
  <c r="F92" i="93"/>
  <c r="G92" i="93"/>
  <c r="H92" i="93"/>
  <c r="I92" i="93"/>
  <c r="J92" i="93"/>
  <c r="K92" i="93"/>
  <c r="L92" i="93"/>
  <c r="M92" i="93"/>
  <c r="E90" i="93"/>
  <c r="F90" i="93"/>
  <c r="G90" i="93"/>
  <c r="H90" i="93"/>
  <c r="I90" i="93"/>
  <c r="J90" i="93"/>
  <c r="K90" i="93"/>
  <c r="L90" i="93"/>
  <c r="M90" i="93"/>
  <c r="E88" i="93"/>
  <c r="F88" i="93"/>
  <c r="G88" i="93"/>
  <c r="H88" i="93"/>
  <c r="I88" i="93"/>
  <c r="J88" i="93"/>
  <c r="K88" i="93"/>
  <c r="L88" i="93"/>
  <c r="M88" i="93"/>
  <c r="F86" i="93"/>
  <c r="G86" i="93"/>
  <c r="D84" i="93"/>
  <c r="E84" i="93"/>
  <c r="F84" i="93"/>
  <c r="G84" i="93"/>
  <c r="F82" i="93"/>
  <c r="G82" i="93"/>
  <c r="E80" i="93"/>
  <c r="F80" i="93"/>
  <c r="G80" i="93"/>
  <c r="E78" i="93"/>
  <c r="F78" i="93"/>
  <c r="G78" i="93"/>
  <c r="D70" i="93"/>
  <c r="E70" i="93"/>
  <c r="F70" i="93"/>
  <c r="G70" i="93"/>
  <c r="H70" i="93"/>
  <c r="I70" i="93"/>
  <c r="J70" i="93"/>
  <c r="K70" i="93"/>
  <c r="L70" i="93"/>
  <c r="M70" i="93"/>
  <c r="M68" i="93"/>
  <c r="L68" i="93"/>
  <c r="K68" i="93"/>
  <c r="J68" i="93"/>
  <c r="I68" i="93"/>
  <c r="H68" i="93"/>
  <c r="G68" i="93"/>
  <c r="F68" i="93"/>
  <c r="E68" i="93"/>
  <c r="D68" i="93"/>
  <c r="C68" i="93"/>
  <c r="F67" i="93"/>
  <c r="G67" i="93"/>
  <c r="H67" i="93"/>
  <c r="I67" i="93"/>
  <c r="P50" i="93"/>
  <c r="P49" i="93"/>
  <c r="K49" i="93"/>
  <c r="P48" i="93"/>
  <c r="G55" i="93"/>
  <c r="H55" i="93"/>
  <c r="Q47" i="93"/>
  <c r="Z47" i="93"/>
  <c r="Q46" i="93"/>
  <c r="Z46" i="93"/>
  <c r="Q45" i="93"/>
  <c r="Z45" i="93"/>
  <c r="Q44" i="93"/>
  <c r="Z44" i="93"/>
  <c r="Q43" i="93"/>
  <c r="Z43" i="93"/>
  <c r="Q42" i="93"/>
  <c r="Z42" i="93"/>
  <c r="Q41" i="93"/>
  <c r="Z41" i="93"/>
  <c r="Q40" i="93"/>
  <c r="Z40" i="93"/>
  <c r="Q39" i="93"/>
  <c r="Z39" i="93"/>
  <c r="Q38" i="93"/>
  <c r="Z38" i="93"/>
  <c r="U37" i="93"/>
  <c r="Q37" i="93"/>
  <c r="Z37" i="93"/>
  <c r="Q36" i="93"/>
  <c r="Z36" i="93"/>
  <c r="Q35" i="93"/>
  <c r="Z35" i="93"/>
  <c r="Q34" i="93"/>
  <c r="Z34" i="93"/>
  <c r="Q33" i="93"/>
  <c r="Z33" i="93"/>
  <c r="W32" i="93"/>
  <c r="Q32" i="93"/>
  <c r="Z32" i="93"/>
  <c r="U31" i="93"/>
  <c r="Q31" i="93"/>
  <c r="Z31" i="93"/>
  <c r="Q30" i="93"/>
  <c r="Z30" i="93"/>
  <c r="Q29" i="93"/>
  <c r="Z29" i="93"/>
  <c r="Q28" i="93"/>
  <c r="Z28" i="93"/>
  <c r="Q27" i="93"/>
  <c r="Z27" i="93"/>
  <c r="Q25" i="93"/>
  <c r="Z25" i="93"/>
  <c r="U23" i="93"/>
  <c r="Q23" i="93"/>
  <c r="Z23" i="93"/>
  <c r="C23" i="93"/>
  <c r="Q21" i="93"/>
  <c r="Z21" i="93"/>
  <c r="C21" i="93"/>
  <c r="Q19" i="93"/>
  <c r="Z19" i="93"/>
  <c r="C19" i="93"/>
  <c r="Q17" i="93"/>
  <c r="Z17" i="93"/>
  <c r="C17" i="93"/>
  <c r="Q15" i="93"/>
  <c r="Z15" i="93"/>
  <c r="C15" i="93"/>
  <c r="Q14" i="93"/>
  <c r="Z14" i="93"/>
  <c r="W13" i="93"/>
  <c r="Q13" i="93"/>
  <c r="Z13" i="93"/>
  <c r="U12" i="93"/>
  <c r="Q12" i="93"/>
  <c r="Z12" i="93"/>
  <c r="Q11" i="93"/>
  <c r="Z11" i="93"/>
  <c r="Q10" i="93"/>
  <c r="Z10" i="93"/>
  <c r="Q9" i="93"/>
  <c r="Z9" i="93"/>
  <c r="W8" i="93"/>
  <c r="S8" i="93"/>
  <c r="I5" i="93"/>
  <c r="G5" i="93"/>
  <c r="D3" i="93"/>
  <c r="C2" i="93"/>
  <c r="F2" i="93"/>
  <c r="I6" i="92"/>
  <c r="G6" i="92"/>
  <c r="E6" i="92"/>
  <c r="E126" i="92"/>
  <c r="F126" i="92"/>
  <c r="G126" i="92"/>
  <c r="D120" i="92"/>
  <c r="E120" i="92"/>
  <c r="F120" i="92"/>
  <c r="G120" i="92"/>
  <c r="H120" i="92"/>
  <c r="I120" i="92"/>
  <c r="J120" i="92"/>
  <c r="K120" i="92"/>
  <c r="L120" i="92"/>
  <c r="M120" i="92"/>
  <c r="D118" i="92"/>
  <c r="E118" i="92"/>
  <c r="F118" i="92"/>
  <c r="G118" i="92"/>
  <c r="D116" i="92"/>
  <c r="E116" i="92"/>
  <c r="F116" i="92"/>
  <c r="G116" i="92"/>
  <c r="H116" i="92"/>
  <c r="I116" i="92"/>
  <c r="J116" i="92"/>
  <c r="K116" i="92"/>
  <c r="L116" i="92"/>
  <c r="M116" i="92"/>
  <c r="F114" i="92"/>
  <c r="G114" i="92"/>
  <c r="H114" i="92"/>
  <c r="I114" i="92"/>
  <c r="J114" i="92"/>
  <c r="K114" i="92"/>
  <c r="L114" i="92"/>
  <c r="M114" i="92"/>
  <c r="E112" i="92"/>
  <c r="F112" i="92"/>
  <c r="G112" i="92"/>
  <c r="H112" i="92"/>
  <c r="I112" i="92"/>
  <c r="J112" i="92"/>
  <c r="K112" i="92"/>
  <c r="L112" i="92"/>
  <c r="M112" i="92"/>
  <c r="G110" i="92"/>
  <c r="F110" i="92"/>
  <c r="E110" i="92"/>
  <c r="D110" i="92"/>
  <c r="C110" i="92"/>
  <c r="E109" i="92"/>
  <c r="F109" i="92"/>
  <c r="G109" i="92"/>
  <c r="H109" i="92"/>
  <c r="I109" i="92"/>
  <c r="J109" i="92"/>
  <c r="K109" i="92"/>
  <c r="L109" i="92"/>
  <c r="M109" i="92"/>
  <c r="D107" i="92"/>
  <c r="E107" i="92"/>
  <c r="F107" i="92"/>
  <c r="G107" i="92"/>
  <c r="H107" i="92"/>
  <c r="I107" i="92"/>
  <c r="J107" i="92"/>
  <c r="K107" i="92"/>
  <c r="L107" i="92"/>
  <c r="M107" i="92"/>
  <c r="M103" i="92"/>
  <c r="L103" i="92"/>
  <c r="K103" i="92"/>
  <c r="J103" i="92"/>
  <c r="I103" i="92"/>
  <c r="H103" i="92"/>
  <c r="G103" i="92"/>
  <c r="F103" i="92"/>
  <c r="E103" i="92"/>
  <c r="D103" i="92"/>
  <c r="C103" i="92"/>
  <c r="D102" i="92"/>
  <c r="E102" i="92"/>
  <c r="F102" i="92"/>
  <c r="G102" i="92"/>
  <c r="H102" i="92"/>
  <c r="I102" i="92"/>
  <c r="J102" i="92"/>
  <c r="K102" i="92"/>
  <c r="L102" i="92"/>
  <c r="M102" i="92"/>
  <c r="D92" i="92"/>
  <c r="E92" i="92"/>
  <c r="F92" i="92"/>
  <c r="G92" i="92"/>
  <c r="H92" i="92"/>
  <c r="I92" i="92"/>
  <c r="J92" i="92"/>
  <c r="K92" i="92"/>
  <c r="L92" i="92"/>
  <c r="M92" i="92"/>
  <c r="D90" i="92"/>
  <c r="E90" i="92"/>
  <c r="F90" i="92"/>
  <c r="G90" i="92"/>
  <c r="H90" i="92"/>
  <c r="I90" i="92"/>
  <c r="J90" i="92"/>
  <c r="K90" i="92"/>
  <c r="L90" i="92"/>
  <c r="M90" i="92"/>
  <c r="G88" i="92"/>
  <c r="H88" i="92"/>
  <c r="I88" i="92"/>
  <c r="J88" i="92"/>
  <c r="K88" i="92"/>
  <c r="L88" i="92"/>
  <c r="M88" i="92"/>
  <c r="F86" i="92"/>
  <c r="G86" i="92"/>
  <c r="D84" i="92"/>
  <c r="E84" i="92"/>
  <c r="F84" i="92"/>
  <c r="G84" i="92"/>
  <c r="F82" i="92"/>
  <c r="G82" i="92"/>
  <c r="E80" i="92"/>
  <c r="F80" i="92"/>
  <c r="G80" i="92"/>
  <c r="E78" i="92"/>
  <c r="F78" i="92"/>
  <c r="G78" i="92"/>
  <c r="D70" i="92"/>
  <c r="E70" i="92"/>
  <c r="F70" i="92"/>
  <c r="G70" i="92"/>
  <c r="H70" i="92"/>
  <c r="I70" i="92"/>
  <c r="J70" i="92"/>
  <c r="K70" i="92"/>
  <c r="L70" i="92"/>
  <c r="M70" i="92"/>
  <c r="M68" i="92"/>
  <c r="L68" i="92"/>
  <c r="K68" i="92"/>
  <c r="J68" i="92"/>
  <c r="I68" i="92"/>
  <c r="H68" i="92"/>
  <c r="G68" i="92"/>
  <c r="F68" i="92"/>
  <c r="E68" i="92"/>
  <c r="D68" i="92"/>
  <c r="C68" i="92"/>
  <c r="F67" i="92"/>
  <c r="G67" i="92"/>
  <c r="H67" i="92"/>
  <c r="I67" i="92"/>
  <c r="I55" i="92"/>
  <c r="J55" i="92"/>
  <c r="P50" i="92"/>
  <c r="P49" i="92"/>
  <c r="K49" i="92"/>
  <c r="P48" i="92"/>
  <c r="G55" i="92"/>
  <c r="H55" i="92"/>
  <c r="Q47" i="92"/>
  <c r="Z47" i="92"/>
  <c r="Q46" i="92"/>
  <c r="Z46" i="92"/>
  <c r="Q45" i="92"/>
  <c r="Z45" i="92"/>
  <c r="W45" i="92"/>
  <c r="U44" i="92"/>
  <c r="Q44" i="92"/>
  <c r="Z44" i="92"/>
  <c r="S43" i="92"/>
  <c r="Q43" i="92"/>
  <c r="Z43" i="92"/>
  <c r="U42" i="92"/>
  <c r="Q42" i="92"/>
  <c r="Z42" i="92"/>
  <c r="Q41" i="92"/>
  <c r="Z41" i="92"/>
  <c r="Q40" i="92"/>
  <c r="Z40" i="92"/>
  <c r="W39" i="92"/>
  <c r="Q39" i="92"/>
  <c r="Z39" i="92"/>
  <c r="U38" i="92"/>
  <c r="Q38" i="92"/>
  <c r="Z38" i="92"/>
  <c r="Q37" i="92"/>
  <c r="Z37" i="92"/>
  <c r="Q36" i="92"/>
  <c r="Z36" i="92"/>
  <c r="Q35" i="92"/>
  <c r="Z35" i="92"/>
  <c r="Q34" i="92"/>
  <c r="Z34" i="92"/>
  <c r="Q33" i="92"/>
  <c r="Z33" i="92"/>
  <c r="Q32" i="92"/>
  <c r="Z32" i="92"/>
  <c r="Q31" i="92"/>
  <c r="Z31" i="92"/>
  <c r="Q30" i="92"/>
  <c r="Z30" i="92"/>
  <c r="Q29" i="92"/>
  <c r="Z29" i="92"/>
  <c r="Q28" i="92"/>
  <c r="Z28" i="92"/>
  <c r="Q27" i="92"/>
  <c r="Z27" i="92"/>
  <c r="Q25" i="92"/>
  <c r="Z25" i="92"/>
  <c r="I25" i="92"/>
  <c r="G25" i="92"/>
  <c r="Q23" i="92"/>
  <c r="Z23" i="92"/>
  <c r="C23" i="92"/>
  <c r="Q21" i="92"/>
  <c r="Z21" i="92"/>
  <c r="C21" i="92"/>
  <c r="Q19" i="92"/>
  <c r="Z19" i="92"/>
  <c r="C19" i="92"/>
  <c r="Q17" i="92"/>
  <c r="Z17" i="92"/>
  <c r="C17" i="92"/>
  <c r="Q15" i="92"/>
  <c r="Z15" i="92"/>
  <c r="C15" i="92"/>
  <c r="Q14" i="92"/>
  <c r="Z14" i="92"/>
  <c r="Q13" i="92"/>
  <c r="Z13" i="92"/>
  <c r="Q12" i="92"/>
  <c r="Z12" i="92"/>
  <c r="Q11" i="92"/>
  <c r="Z11" i="92"/>
  <c r="Q10" i="92"/>
  <c r="Z10" i="92"/>
  <c r="Q9" i="92"/>
  <c r="Z9" i="92"/>
  <c r="W8" i="92"/>
  <c r="S8" i="92"/>
  <c r="U8" i="92"/>
  <c r="I5" i="92"/>
  <c r="G5" i="92"/>
  <c r="D3" i="92"/>
  <c r="C2" i="92"/>
  <c r="I25" i="34"/>
  <c r="G25" i="34"/>
  <c r="I5" i="34"/>
  <c r="G5" i="34"/>
  <c r="J7" i="91"/>
  <c r="J4" i="91"/>
  <c r="I54" i="91"/>
  <c r="J54" i="91"/>
  <c r="J55" i="91"/>
  <c r="J56" i="91"/>
  <c r="J57" i="91"/>
  <c r="I58" i="91"/>
  <c r="J58" i="91"/>
  <c r="J59" i="91"/>
  <c r="J60" i="91"/>
  <c r="J61" i="91"/>
  <c r="J62" i="91"/>
  <c r="J63" i="91"/>
  <c r="J64" i="91"/>
  <c r="J65" i="91"/>
  <c r="J66" i="91"/>
  <c r="J67" i="91"/>
  <c r="J53" i="91"/>
  <c r="J52" i="91"/>
  <c r="J51" i="91"/>
  <c r="J50" i="91"/>
  <c r="J49" i="91"/>
  <c r="I39" i="91"/>
  <c r="J39" i="91"/>
  <c r="J40" i="91"/>
  <c r="J41" i="91"/>
  <c r="J42" i="91"/>
  <c r="I43" i="91"/>
  <c r="J43" i="91"/>
  <c r="J44" i="91"/>
  <c r="J45" i="91"/>
  <c r="J46" i="91"/>
  <c r="J47" i="91"/>
  <c r="J48" i="91"/>
  <c r="J14" i="91"/>
  <c r="J15" i="91"/>
  <c r="J16" i="91"/>
  <c r="J17" i="91"/>
  <c r="J18" i="91"/>
  <c r="J19" i="91"/>
  <c r="J20" i="91"/>
  <c r="J21" i="91"/>
  <c r="J22" i="91"/>
  <c r="J23" i="91"/>
  <c r="J24" i="91"/>
  <c r="J25" i="91"/>
  <c r="J26" i="91"/>
  <c r="J27" i="91"/>
  <c r="J28" i="91"/>
  <c r="J32" i="91"/>
  <c r="J33" i="91"/>
  <c r="J34" i="91"/>
  <c r="J35" i="91"/>
  <c r="J36" i="91"/>
  <c r="J37" i="91"/>
  <c r="J38" i="91"/>
  <c r="J10" i="91"/>
  <c r="J11" i="91"/>
  <c r="J12" i="91"/>
  <c r="J13" i="91"/>
  <c r="J9" i="91"/>
  <c r="U10" i="94"/>
  <c r="S13" i="94"/>
  <c r="U14" i="94"/>
  <c r="U19" i="94"/>
  <c r="U23" i="94"/>
  <c r="S29" i="94"/>
  <c r="U30" i="94"/>
  <c r="S33" i="94"/>
  <c r="U34" i="94"/>
  <c r="S37" i="94"/>
  <c r="W37" i="94"/>
  <c r="S40" i="94"/>
  <c r="S44" i="94"/>
  <c r="W47" i="94"/>
  <c r="S47" i="94"/>
  <c r="F86" i="94"/>
  <c r="G86" i="94"/>
  <c r="S9" i="94"/>
  <c r="W9" i="94"/>
  <c r="U9" i="94"/>
  <c r="W10" i="94"/>
  <c r="S10" i="94"/>
  <c r="S11" i="94"/>
  <c r="U12" i="94"/>
  <c r="W13" i="94"/>
  <c r="S27" i="94"/>
  <c r="U28" i="94"/>
  <c r="W29" i="94"/>
  <c r="S31" i="94"/>
  <c r="U32" i="94"/>
  <c r="W33" i="94"/>
  <c r="W34" i="94"/>
  <c r="S36" i="94"/>
  <c r="S38" i="94"/>
  <c r="U39" i="94"/>
  <c r="W40" i="94"/>
  <c r="S42" i="94"/>
  <c r="U43" i="94"/>
  <c r="W44" i="94"/>
  <c r="F82" i="94"/>
  <c r="G82" i="94"/>
  <c r="U11" i="94"/>
  <c r="U13" i="94"/>
  <c r="S15" i="94"/>
  <c r="W15" i="94"/>
  <c r="S17" i="94"/>
  <c r="W17" i="94"/>
  <c r="S21" i="94"/>
  <c r="W21" i="94"/>
  <c r="S25" i="94"/>
  <c r="W25" i="94"/>
  <c r="U27" i="94"/>
  <c r="U29" i="94"/>
  <c r="U31" i="94"/>
  <c r="U33" i="94"/>
  <c r="S35" i="94"/>
  <c r="W35" i="94"/>
  <c r="U36" i="94"/>
  <c r="U38" i="94"/>
  <c r="S39" i="94"/>
  <c r="W39" i="94"/>
  <c r="U40" i="94"/>
  <c r="S41" i="94"/>
  <c r="W41" i="94"/>
  <c r="U42" i="94"/>
  <c r="S43" i="94"/>
  <c r="W43" i="94"/>
  <c r="U44" i="94"/>
  <c r="S45" i="94"/>
  <c r="W45" i="94"/>
  <c r="U47" i="94"/>
  <c r="W25" i="93"/>
  <c r="W34" i="93"/>
  <c r="U8" i="93"/>
  <c r="U9" i="93"/>
  <c r="S10" i="93"/>
  <c r="W10" i="93"/>
  <c r="U10" i="93"/>
  <c r="W11" i="93"/>
  <c r="S13" i="93"/>
  <c r="U14" i="93"/>
  <c r="U15" i="93"/>
  <c r="U17" i="93"/>
  <c r="U19" i="93"/>
  <c r="U21" i="93"/>
  <c r="S28" i="93"/>
  <c r="U29" i="93"/>
  <c r="W30" i="93"/>
  <c r="S32" i="93"/>
  <c r="U33" i="93"/>
  <c r="S36" i="93"/>
  <c r="S9" i="93"/>
  <c r="W9" i="93"/>
  <c r="S11" i="93"/>
  <c r="U25" i="93"/>
  <c r="S25" i="93"/>
  <c r="U27" i="93"/>
  <c r="W28" i="93"/>
  <c r="S30" i="93"/>
  <c r="U35" i="93"/>
  <c r="W36" i="93"/>
  <c r="S37" i="93"/>
  <c r="W37" i="93"/>
  <c r="W45" i="93"/>
  <c r="W47" i="93"/>
  <c r="U11" i="93"/>
  <c r="S12" i="93"/>
  <c r="W12" i="93"/>
  <c r="U13" i="93"/>
  <c r="S14" i="93"/>
  <c r="W14" i="93"/>
  <c r="S15" i="93"/>
  <c r="W15" i="93"/>
  <c r="S17" i="93"/>
  <c r="W17" i="93"/>
  <c r="S19" i="93"/>
  <c r="W19" i="93"/>
  <c r="S21" i="93"/>
  <c r="W21" i="93"/>
  <c r="S23" i="93"/>
  <c r="W23" i="93"/>
  <c r="S27" i="93"/>
  <c r="W27" i="93"/>
  <c r="U28" i="93"/>
  <c r="S29" i="93"/>
  <c r="W29" i="93"/>
  <c r="U30" i="93"/>
  <c r="S31" i="93"/>
  <c r="W31" i="93"/>
  <c r="U32" i="93"/>
  <c r="S33" i="93"/>
  <c r="W33" i="93"/>
  <c r="S35" i="93"/>
  <c r="W35" i="93"/>
  <c r="U36" i="93"/>
  <c r="S39" i="93"/>
  <c r="W39" i="93"/>
  <c r="U40" i="93"/>
  <c r="S41" i="93"/>
  <c r="W41" i="93"/>
  <c r="U42" i="93"/>
  <c r="S43" i="93"/>
  <c r="W43" i="93"/>
  <c r="U46" i="93"/>
  <c r="E55" i="93"/>
  <c r="F55" i="93"/>
  <c r="I55" i="93"/>
  <c r="J55" i="93"/>
  <c r="S38" i="93"/>
  <c r="W38" i="93"/>
  <c r="U39" i="93"/>
  <c r="S40" i="93"/>
  <c r="W40" i="93"/>
  <c r="U41" i="93"/>
  <c r="S42" i="93"/>
  <c r="W42" i="93"/>
  <c r="U43" i="93"/>
  <c r="S44" i="93"/>
  <c r="W44" i="93"/>
  <c r="U45" i="93"/>
  <c r="S46" i="93"/>
  <c r="W46" i="93"/>
  <c r="U47" i="93"/>
  <c r="E55" i="92"/>
  <c r="F55" i="92"/>
  <c r="W34" i="92"/>
  <c r="U10" i="92"/>
  <c r="U15" i="92"/>
  <c r="U19" i="92"/>
  <c r="S25" i="92"/>
  <c r="W25" i="92"/>
  <c r="U27" i="92"/>
  <c r="S28" i="92"/>
  <c r="W28" i="92"/>
  <c r="U29" i="92"/>
  <c r="S30" i="92"/>
  <c r="W30" i="92"/>
  <c r="U31" i="92"/>
  <c r="S32" i="92"/>
  <c r="W32" i="92"/>
  <c r="U33" i="92"/>
  <c r="U35" i="92"/>
  <c r="W36" i="92"/>
  <c r="S36" i="92"/>
  <c r="S39" i="92"/>
  <c r="U40" i="92"/>
  <c r="W41" i="92"/>
  <c r="W43" i="92"/>
  <c r="S45" i="92"/>
  <c r="U46" i="92"/>
  <c r="W47" i="92"/>
  <c r="E124" i="92"/>
  <c r="F124" i="92"/>
  <c r="G124" i="92"/>
  <c r="H124" i="92"/>
  <c r="I124" i="92"/>
  <c r="J124" i="92"/>
  <c r="K124" i="92"/>
  <c r="L124" i="92"/>
  <c r="M124" i="92"/>
  <c r="F2" i="92"/>
  <c r="S9" i="92"/>
  <c r="W9" i="92"/>
  <c r="S11" i="92"/>
  <c r="W11" i="92"/>
  <c r="U12" i="92"/>
  <c r="S13" i="92"/>
  <c r="W13" i="92"/>
  <c r="U14" i="92"/>
  <c r="U17" i="92"/>
  <c r="U21" i="92"/>
  <c r="U23" i="92"/>
  <c r="U9" i="92"/>
  <c r="S10" i="92"/>
  <c r="W10" i="92"/>
  <c r="U11" i="92"/>
  <c r="S12" i="92"/>
  <c r="W12" i="92"/>
  <c r="U13" i="92"/>
  <c r="S14" i="92"/>
  <c r="W14" i="92"/>
  <c r="S15" i="92"/>
  <c r="W15" i="92"/>
  <c r="S17" i="92"/>
  <c r="W17" i="92"/>
  <c r="S19" i="92"/>
  <c r="W19" i="92"/>
  <c r="S21" i="92"/>
  <c r="W21" i="92"/>
  <c r="S23" i="92"/>
  <c r="W23" i="92"/>
  <c r="U25" i="92"/>
  <c r="S27" i="92"/>
  <c r="W27" i="92"/>
  <c r="U28" i="92"/>
  <c r="S29" i="92"/>
  <c r="W29" i="92"/>
  <c r="U30" i="92"/>
  <c r="S31" i="92"/>
  <c r="W31" i="92"/>
  <c r="U32" i="92"/>
  <c r="S33" i="92"/>
  <c r="W33" i="92"/>
  <c r="S35" i="92"/>
  <c r="W35" i="92"/>
  <c r="U36" i="92"/>
  <c r="S41" i="92"/>
  <c r="S47" i="92"/>
  <c r="S38" i="92"/>
  <c r="W38" i="92"/>
  <c r="U39" i="92"/>
  <c r="S40" i="92"/>
  <c r="W40" i="92"/>
  <c r="U41" i="92"/>
  <c r="S42" i="92"/>
  <c r="W42" i="92"/>
  <c r="S44" i="92"/>
  <c r="W44" i="92"/>
  <c r="U45" i="92"/>
  <c r="S46" i="92"/>
  <c r="W46" i="92"/>
  <c r="U47" i="92"/>
  <c r="J5" i="91"/>
  <c r="S28" i="94"/>
  <c r="S19" i="94"/>
  <c r="W7" i="94"/>
  <c r="I49" i="94"/>
  <c r="S7" i="94"/>
  <c r="U46" i="94"/>
  <c r="S23" i="94"/>
  <c r="W14" i="94"/>
  <c r="W12" i="94"/>
  <c r="S32" i="94"/>
  <c r="S30" i="94"/>
  <c r="W32" i="94"/>
  <c r="W30" i="94"/>
  <c r="W28" i="94"/>
  <c r="W19" i="94"/>
  <c r="S46" i="94"/>
  <c r="G49" i="94"/>
  <c r="U7" i="94"/>
  <c r="W46" i="94"/>
  <c r="W23" i="94"/>
  <c r="S14" i="94"/>
  <c r="S12" i="94"/>
  <c r="S47" i="93"/>
  <c r="S45" i="93"/>
  <c r="U38" i="93"/>
  <c r="U34" i="93"/>
  <c r="S7" i="93"/>
  <c r="U7" i="93"/>
  <c r="G49" i="93"/>
  <c r="U44" i="93"/>
  <c r="S34" i="93"/>
  <c r="I49" i="93"/>
  <c r="W7" i="93"/>
  <c r="U7" i="92"/>
  <c r="U37" i="92"/>
  <c r="U34" i="92"/>
  <c r="W7" i="92"/>
  <c r="I49" i="92"/>
  <c r="S7" i="92"/>
  <c r="U43" i="92"/>
  <c r="S37" i="92"/>
  <c r="W37" i="92"/>
  <c r="S34" i="92"/>
  <c r="J2" i="91"/>
  <c r="E49" i="94"/>
  <c r="I53" i="94"/>
  <c r="J53" i="94"/>
  <c r="G54" i="94"/>
  <c r="H54" i="94"/>
  <c r="G53" i="94"/>
  <c r="H53" i="94"/>
  <c r="I53" i="93"/>
  <c r="J53" i="93"/>
  <c r="G54" i="93"/>
  <c r="H54" i="93"/>
  <c r="G53" i="93"/>
  <c r="H53" i="93"/>
  <c r="E49" i="92"/>
  <c r="I53" i="92"/>
  <c r="J53" i="92"/>
  <c r="G49" i="92"/>
  <c r="M8" i="89"/>
  <c r="N8" i="89"/>
  <c r="O8" i="89"/>
  <c r="P8" i="89"/>
  <c r="L8" i="89"/>
  <c r="M6" i="89"/>
  <c r="N6" i="89"/>
  <c r="O6" i="89"/>
  <c r="P6" i="89"/>
  <c r="L6" i="89"/>
  <c r="AD119" i="89"/>
  <c r="Q119" i="89"/>
  <c r="R119" i="89"/>
  <c r="M119" i="89"/>
  <c r="K119" i="89"/>
  <c r="J119" i="89"/>
  <c r="AD118" i="89"/>
  <c r="Q118" i="89"/>
  <c r="R118" i="89"/>
  <c r="M118" i="89"/>
  <c r="K118" i="89"/>
  <c r="J118" i="89"/>
  <c r="Q117" i="89"/>
  <c r="R117" i="89"/>
  <c r="M117" i="89"/>
  <c r="K117" i="89"/>
  <c r="J117" i="89"/>
  <c r="Q116" i="89"/>
  <c r="R116" i="89"/>
  <c r="U116" i="89"/>
  <c r="M116" i="89"/>
  <c r="K116" i="89"/>
  <c r="J116" i="89"/>
  <c r="AC115" i="89"/>
  <c r="AD115" i="89"/>
  <c r="Y115" i="89"/>
  <c r="Z115" i="89"/>
  <c r="Q115" i="89"/>
  <c r="R115" i="89"/>
  <c r="M115" i="89"/>
  <c r="K115" i="89"/>
  <c r="J115" i="89"/>
  <c r="AC114" i="89"/>
  <c r="AD114" i="89"/>
  <c r="Y114" i="89"/>
  <c r="Z114" i="89"/>
  <c r="Q114" i="89"/>
  <c r="R114" i="89"/>
  <c r="U114" i="89"/>
  <c r="V114" i="89"/>
  <c r="M114" i="89"/>
  <c r="J114" i="89"/>
  <c r="AC113" i="89"/>
  <c r="AD113" i="89"/>
  <c r="Y113" i="89"/>
  <c r="Z113" i="89"/>
  <c r="Q113" i="89"/>
  <c r="R113" i="89"/>
  <c r="U113" i="89"/>
  <c r="V113" i="89"/>
  <c r="M113" i="89"/>
  <c r="K113" i="89"/>
  <c r="J113" i="89"/>
  <c r="Q112" i="89"/>
  <c r="R112" i="89"/>
  <c r="M112" i="89"/>
  <c r="K112" i="89"/>
  <c r="J112" i="89"/>
  <c r="AD105" i="89"/>
  <c r="Q105" i="89"/>
  <c r="R105" i="89"/>
  <c r="M105" i="89"/>
  <c r="K105" i="89"/>
  <c r="J105" i="89"/>
  <c r="AD104" i="89"/>
  <c r="Q104" i="89"/>
  <c r="R104" i="89"/>
  <c r="M104" i="89"/>
  <c r="K104" i="89"/>
  <c r="J104" i="89"/>
  <c r="Q103" i="89"/>
  <c r="R103" i="89"/>
  <c r="U103" i="89"/>
  <c r="M103" i="89"/>
  <c r="K103" i="89"/>
  <c r="J103" i="89"/>
  <c r="Q102" i="89"/>
  <c r="R102" i="89"/>
  <c r="M102" i="89"/>
  <c r="K102" i="89"/>
  <c r="J102" i="89"/>
  <c r="Q101" i="89"/>
  <c r="R101" i="89"/>
  <c r="U101" i="89"/>
  <c r="M101" i="89"/>
  <c r="K101" i="89"/>
  <c r="J101" i="89"/>
  <c r="Q100" i="89"/>
  <c r="R100" i="89"/>
  <c r="M100" i="89"/>
  <c r="K100" i="89"/>
  <c r="J100" i="89"/>
  <c r="Q99" i="89"/>
  <c r="R99" i="89"/>
  <c r="U99" i="89"/>
  <c r="M99" i="89"/>
  <c r="K99" i="89"/>
  <c r="J99" i="89"/>
  <c r="Q98" i="89"/>
  <c r="R98" i="89"/>
  <c r="M98" i="89"/>
  <c r="K98" i="89"/>
  <c r="J98" i="89"/>
  <c r="Q97" i="89"/>
  <c r="R97" i="89"/>
  <c r="U97" i="89"/>
  <c r="M97" i="89"/>
  <c r="K97" i="89"/>
  <c r="J97" i="89"/>
  <c r="AC91" i="89"/>
  <c r="AD91" i="89"/>
  <c r="Y91" i="89"/>
  <c r="Z91" i="89"/>
  <c r="U91" i="89"/>
  <c r="V91" i="89"/>
  <c r="Q91" i="89"/>
  <c r="R91" i="89"/>
  <c r="M91" i="89"/>
  <c r="K91" i="89"/>
  <c r="J91" i="89"/>
  <c r="AC90" i="89"/>
  <c r="AD90" i="89"/>
  <c r="Y90" i="89"/>
  <c r="Z90" i="89"/>
  <c r="U90" i="89"/>
  <c r="V90" i="89"/>
  <c r="Q90" i="89"/>
  <c r="R90" i="89"/>
  <c r="M90" i="89"/>
  <c r="K90" i="89"/>
  <c r="J90" i="89"/>
  <c r="AC89" i="89"/>
  <c r="AD89" i="89"/>
  <c r="Y89" i="89"/>
  <c r="Z89" i="89"/>
  <c r="U89" i="89"/>
  <c r="V89" i="89"/>
  <c r="Q89" i="89"/>
  <c r="R89" i="89"/>
  <c r="M89" i="89"/>
  <c r="K89" i="89"/>
  <c r="J89" i="89"/>
  <c r="AC88" i="89"/>
  <c r="AD88" i="89"/>
  <c r="Y88" i="89"/>
  <c r="Z88" i="89"/>
  <c r="U88" i="89"/>
  <c r="V88" i="89"/>
  <c r="Q88" i="89"/>
  <c r="R88" i="89"/>
  <c r="M88" i="89"/>
  <c r="K88" i="89"/>
  <c r="J88" i="89"/>
  <c r="AC87" i="89"/>
  <c r="AD87" i="89"/>
  <c r="Y87" i="89"/>
  <c r="Z87" i="89"/>
  <c r="Q87" i="89"/>
  <c r="R87" i="89"/>
  <c r="M87" i="89"/>
  <c r="K87" i="89"/>
  <c r="J87" i="89"/>
  <c r="AC86" i="89"/>
  <c r="AD86" i="89"/>
  <c r="Y86" i="89"/>
  <c r="Z86" i="89"/>
  <c r="U86" i="89"/>
  <c r="V86" i="89"/>
  <c r="Q86" i="89"/>
  <c r="R86" i="89"/>
  <c r="M86" i="89"/>
  <c r="K86" i="89"/>
  <c r="J86" i="89"/>
  <c r="AC85" i="89"/>
  <c r="AD85" i="89"/>
  <c r="Y85" i="89"/>
  <c r="Z85" i="89"/>
  <c r="U85" i="89"/>
  <c r="V85" i="89"/>
  <c r="Q85" i="89"/>
  <c r="R85" i="89"/>
  <c r="M85" i="89"/>
  <c r="K85" i="89"/>
  <c r="J85" i="89"/>
  <c r="AC84" i="89"/>
  <c r="AD84" i="89"/>
  <c r="U84" i="89"/>
  <c r="V84" i="89"/>
  <c r="Y84" i="89"/>
  <c r="Z84" i="89"/>
  <c r="R84" i="89"/>
  <c r="M84" i="89"/>
  <c r="K84" i="89"/>
  <c r="J84" i="89"/>
  <c r="Q83" i="89"/>
  <c r="R83" i="89"/>
  <c r="U83" i="89"/>
  <c r="M83" i="89"/>
  <c r="K83" i="89"/>
  <c r="J83" i="89"/>
  <c r="Q82" i="89"/>
  <c r="R82" i="89"/>
  <c r="M82" i="89"/>
  <c r="K82" i="89"/>
  <c r="J82" i="89"/>
  <c r="Q81" i="89"/>
  <c r="R81" i="89"/>
  <c r="U81" i="89"/>
  <c r="M81" i="89"/>
  <c r="K81" i="89"/>
  <c r="J81" i="89"/>
  <c r="Q80" i="89"/>
  <c r="R80" i="89"/>
  <c r="M80" i="89"/>
  <c r="K80" i="89"/>
  <c r="J80" i="89"/>
  <c r="Q79" i="89"/>
  <c r="R79" i="89"/>
  <c r="U79" i="89"/>
  <c r="M79" i="89"/>
  <c r="K79" i="89"/>
  <c r="J79" i="89"/>
  <c r="AC72" i="89"/>
  <c r="AD72" i="89"/>
  <c r="Y72" i="89"/>
  <c r="Z72" i="89"/>
  <c r="U72" i="89"/>
  <c r="V72" i="89"/>
  <c r="Q72" i="89"/>
  <c r="R72" i="89"/>
  <c r="M72" i="89"/>
  <c r="K72" i="89"/>
  <c r="J72" i="89"/>
  <c r="AC71" i="89"/>
  <c r="AD71" i="89"/>
  <c r="Y71" i="89"/>
  <c r="Z71" i="89"/>
  <c r="U71" i="89"/>
  <c r="V71" i="89"/>
  <c r="Q71" i="89"/>
  <c r="R71" i="89"/>
  <c r="M71" i="89"/>
  <c r="K71" i="89"/>
  <c r="J71" i="89"/>
  <c r="AC70" i="89"/>
  <c r="AD70" i="89"/>
  <c r="Y70" i="89"/>
  <c r="Z70" i="89"/>
  <c r="U70" i="89"/>
  <c r="V70" i="89"/>
  <c r="Q70" i="89"/>
  <c r="R70" i="89"/>
  <c r="M70" i="89"/>
  <c r="K70" i="89"/>
  <c r="J70" i="89"/>
  <c r="AC69" i="89"/>
  <c r="AD69" i="89"/>
  <c r="Y69" i="89"/>
  <c r="Z69" i="89"/>
  <c r="U69" i="89"/>
  <c r="V69" i="89"/>
  <c r="Q69" i="89"/>
  <c r="R69" i="89"/>
  <c r="M69" i="89"/>
  <c r="K69" i="89"/>
  <c r="J69" i="89"/>
  <c r="AC68" i="89"/>
  <c r="AD68" i="89"/>
  <c r="Y68" i="89"/>
  <c r="Z68" i="89"/>
  <c r="U68" i="89"/>
  <c r="V68" i="89"/>
  <c r="Q68" i="89"/>
  <c r="R68" i="89"/>
  <c r="M68" i="89"/>
  <c r="K68" i="89"/>
  <c r="J68" i="89"/>
  <c r="AC67" i="89"/>
  <c r="AD67" i="89"/>
  <c r="Y67" i="89"/>
  <c r="Z67" i="89"/>
  <c r="U67" i="89"/>
  <c r="V67" i="89"/>
  <c r="Q67" i="89"/>
  <c r="R67" i="89"/>
  <c r="M67" i="89"/>
  <c r="K67" i="89"/>
  <c r="J67" i="89"/>
  <c r="AC66" i="89"/>
  <c r="AD66" i="89"/>
  <c r="Y66" i="89"/>
  <c r="Z66" i="89"/>
  <c r="Q66" i="89"/>
  <c r="R66" i="89"/>
  <c r="M66" i="89"/>
  <c r="K66" i="89"/>
  <c r="J66" i="89"/>
  <c r="AC65" i="89"/>
  <c r="AD65" i="89"/>
  <c r="Y65" i="89"/>
  <c r="Z65" i="89"/>
  <c r="Q65" i="89"/>
  <c r="R65" i="89"/>
  <c r="U65" i="89"/>
  <c r="V65" i="89"/>
  <c r="M65" i="89"/>
  <c r="K65" i="89"/>
  <c r="J65" i="89"/>
  <c r="AC64" i="89"/>
  <c r="AD64" i="89"/>
  <c r="Y64" i="89"/>
  <c r="Z64" i="89"/>
  <c r="U64" i="89"/>
  <c r="V64" i="89"/>
  <c r="Q64" i="89"/>
  <c r="R64" i="89"/>
  <c r="M64" i="89"/>
  <c r="K64" i="89"/>
  <c r="J64" i="89"/>
  <c r="AC63" i="89"/>
  <c r="AD63" i="89"/>
  <c r="Y63" i="89"/>
  <c r="Z63" i="89"/>
  <c r="Q63" i="89"/>
  <c r="R63" i="89"/>
  <c r="U63" i="89"/>
  <c r="V63" i="89"/>
  <c r="M63" i="89"/>
  <c r="K63" i="89"/>
  <c r="J63" i="89"/>
  <c r="AC62" i="89"/>
  <c r="AD62" i="89"/>
  <c r="Y62" i="89"/>
  <c r="Z62" i="89"/>
  <c r="U62" i="89"/>
  <c r="V62" i="89"/>
  <c r="Q62" i="89"/>
  <c r="R62" i="89"/>
  <c r="M62" i="89"/>
  <c r="K62" i="89"/>
  <c r="J62" i="89"/>
  <c r="AC61" i="89"/>
  <c r="AD61" i="89"/>
  <c r="Y61" i="89"/>
  <c r="Z61" i="89"/>
  <c r="Q61" i="89"/>
  <c r="R61" i="89"/>
  <c r="U61" i="89"/>
  <c r="V61" i="89"/>
  <c r="M61" i="89"/>
  <c r="K61" i="89"/>
  <c r="J61" i="89"/>
  <c r="AC60" i="89"/>
  <c r="AD60" i="89"/>
  <c r="U60" i="89"/>
  <c r="V60" i="89"/>
  <c r="R60" i="89"/>
  <c r="M60" i="89"/>
  <c r="K60" i="89"/>
  <c r="J60" i="89"/>
  <c r="Q59" i="89"/>
  <c r="R59" i="89"/>
  <c r="M59" i="89"/>
  <c r="K59" i="89"/>
  <c r="J59" i="89"/>
  <c r="Q58" i="89"/>
  <c r="R58" i="89"/>
  <c r="U58" i="89"/>
  <c r="M58" i="89"/>
  <c r="K58" i="89"/>
  <c r="J58" i="89"/>
  <c r="Q57" i="89"/>
  <c r="R57" i="89"/>
  <c r="M57" i="89"/>
  <c r="K57" i="89"/>
  <c r="J57" i="89"/>
  <c r="Q56" i="89"/>
  <c r="R56" i="89"/>
  <c r="U56" i="89"/>
  <c r="M56" i="89"/>
  <c r="K56" i="89"/>
  <c r="J56" i="89"/>
  <c r="Q55" i="89"/>
  <c r="R55" i="89"/>
  <c r="M55" i="89"/>
  <c r="K55" i="89"/>
  <c r="J55" i="89"/>
  <c r="AC50" i="89"/>
  <c r="AD50" i="89"/>
  <c r="Y50" i="89"/>
  <c r="Z50" i="89"/>
  <c r="U50" i="89"/>
  <c r="V50" i="89"/>
  <c r="Q50" i="89"/>
  <c r="R50" i="89"/>
  <c r="M50" i="89"/>
  <c r="K50" i="89"/>
  <c r="J50" i="89"/>
  <c r="AC49" i="89"/>
  <c r="AD49" i="89"/>
  <c r="Y49" i="89"/>
  <c r="Z49" i="89"/>
  <c r="U49" i="89"/>
  <c r="V49" i="89"/>
  <c r="M49" i="89"/>
  <c r="K49" i="89"/>
  <c r="J49" i="89"/>
  <c r="AC48" i="89"/>
  <c r="AD48" i="89"/>
  <c r="Y48" i="89"/>
  <c r="Z48" i="89"/>
  <c r="U48" i="89"/>
  <c r="V48" i="89"/>
  <c r="Q48" i="89"/>
  <c r="R48" i="89"/>
  <c r="M48" i="89"/>
  <c r="K48" i="89"/>
  <c r="J48" i="89"/>
  <c r="AC47" i="89"/>
  <c r="AD47" i="89"/>
  <c r="Y47" i="89"/>
  <c r="Z47" i="89"/>
  <c r="U47" i="89"/>
  <c r="V47" i="89"/>
  <c r="Q47" i="89"/>
  <c r="R47" i="89"/>
  <c r="M47" i="89"/>
  <c r="K47" i="89"/>
  <c r="J47" i="89"/>
  <c r="AC46" i="89"/>
  <c r="AD46" i="89"/>
  <c r="Y46" i="89"/>
  <c r="Z46" i="89"/>
  <c r="Q46" i="89"/>
  <c r="R46" i="89"/>
  <c r="U46" i="89"/>
  <c r="V46" i="89"/>
  <c r="M46" i="89"/>
  <c r="K46" i="89"/>
  <c r="J46" i="89"/>
  <c r="AC45" i="89"/>
  <c r="AD45" i="89"/>
  <c r="Y45" i="89"/>
  <c r="Z45" i="89"/>
  <c r="U45" i="89"/>
  <c r="V45" i="89"/>
  <c r="Q45" i="89"/>
  <c r="R45" i="89"/>
  <c r="M45" i="89"/>
  <c r="K45" i="89"/>
  <c r="J45" i="89"/>
  <c r="AC44" i="89"/>
  <c r="AD44" i="89"/>
  <c r="Y44" i="89"/>
  <c r="Z44" i="89"/>
  <c r="U44" i="89"/>
  <c r="V44" i="89"/>
  <c r="Q44" i="89"/>
  <c r="R44" i="89"/>
  <c r="M44" i="89"/>
  <c r="K44" i="89"/>
  <c r="J44" i="89"/>
  <c r="AC43" i="89"/>
  <c r="AD43" i="89"/>
  <c r="Y43" i="89"/>
  <c r="Z43" i="89"/>
  <c r="Q43" i="89"/>
  <c r="R43" i="89"/>
  <c r="M43" i="89"/>
  <c r="K43" i="89"/>
  <c r="J43" i="89"/>
  <c r="AC42" i="89"/>
  <c r="AD42" i="89"/>
  <c r="Y42" i="89"/>
  <c r="Z42" i="89"/>
  <c r="Q42" i="89"/>
  <c r="R42" i="89"/>
  <c r="U42" i="89"/>
  <c r="V42" i="89"/>
  <c r="M42" i="89"/>
  <c r="K42" i="89"/>
  <c r="J42" i="89"/>
  <c r="AC41" i="89"/>
  <c r="AD41" i="89"/>
  <c r="Y41" i="89"/>
  <c r="Z41" i="89"/>
  <c r="U41" i="89"/>
  <c r="V41" i="89"/>
  <c r="Q41" i="89"/>
  <c r="R41" i="89"/>
  <c r="M41" i="89"/>
  <c r="K41" i="89"/>
  <c r="J41" i="89"/>
  <c r="AC40" i="89"/>
  <c r="AD40" i="89"/>
  <c r="Y40" i="89"/>
  <c r="Z40" i="89"/>
  <c r="Q40" i="89"/>
  <c r="R40" i="89"/>
  <c r="U40" i="89"/>
  <c r="V40" i="89"/>
  <c r="M40" i="89"/>
  <c r="K40" i="89"/>
  <c r="J40" i="89"/>
  <c r="AC39" i="89"/>
  <c r="AD39" i="89"/>
  <c r="Y39" i="89"/>
  <c r="Z39" i="89"/>
  <c r="U39" i="89"/>
  <c r="V39" i="89"/>
  <c r="Q39" i="89"/>
  <c r="R39" i="89"/>
  <c r="M39" i="89"/>
  <c r="K39" i="89"/>
  <c r="J39" i="89"/>
  <c r="AC38" i="89"/>
  <c r="AD38" i="89"/>
  <c r="Y38" i="89"/>
  <c r="Z38" i="89"/>
  <c r="Q38" i="89"/>
  <c r="R38" i="89"/>
  <c r="U38" i="89"/>
  <c r="V38" i="89"/>
  <c r="M38" i="89"/>
  <c r="K38" i="89"/>
  <c r="J38" i="89"/>
  <c r="AC37" i="89"/>
  <c r="AD37" i="89"/>
  <c r="U37" i="89"/>
  <c r="V37" i="89"/>
  <c r="R37" i="89"/>
  <c r="M37" i="89"/>
  <c r="K37" i="89"/>
  <c r="J37" i="89"/>
  <c r="Q36" i="89"/>
  <c r="R36" i="89"/>
  <c r="M36" i="89"/>
  <c r="K36" i="89"/>
  <c r="J36" i="89"/>
  <c r="Q35" i="89"/>
  <c r="R35" i="89"/>
  <c r="U35" i="89"/>
  <c r="M35" i="89"/>
  <c r="K35" i="89"/>
  <c r="J35" i="89"/>
  <c r="Q34" i="89"/>
  <c r="R34" i="89"/>
  <c r="M34" i="89"/>
  <c r="K34" i="89"/>
  <c r="J34" i="89"/>
  <c r="Q33" i="89"/>
  <c r="R33" i="89"/>
  <c r="U33" i="89"/>
  <c r="M33" i="89"/>
  <c r="K33" i="89"/>
  <c r="J33" i="89"/>
  <c r="Q32" i="89"/>
  <c r="R32" i="89"/>
  <c r="M32" i="89"/>
  <c r="K32" i="89"/>
  <c r="J32" i="89"/>
  <c r="H13" i="86"/>
  <c r="G13" i="86"/>
  <c r="E7" i="86"/>
  <c r="F13" i="86"/>
  <c r="E6" i="86"/>
  <c r="E13" i="86"/>
  <c r="E5" i="86"/>
  <c r="C13" i="86"/>
  <c r="B13" i="86"/>
  <c r="E3" i="86"/>
  <c r="A13" i="86"/>
  <c r="V61" i="70"/>
  <c r="V62" i="70"/>
  <c r="AC60" i="70"/>
  <c r="V57" i="70"/>
  <c r="V58" i="70"/>
  <c r="V59" i="70"/>
  <c r="V60" i="70"/>
  <c r="AC56" i="70"/>
  <c r="AD60" i="70"/>
  <c r="G8" i="86"/>
  <c r="E8" i="86"/>
  <c r="V53" i="70"/>
  <c r="V54" i="70"/>
  <c r="C24" i="70"/>
  <c r="V55" i="70"/>
  <c r="V56" i="70"/>
  <c r="AC52" i="70"/>
  <c r="AD56" i="70"/>
  <c r="G7" i="86"/>
  <c r="C7" i="86"/>
  <c r="V49" i="70"/>
  <c r="V50" i="70"/>
  <c r="V51" i="70"/>
  <c r="V52" i="70"/>
  <c r="AC48" i="70"/>
  <c r="AD52" i="70"/>
  <c r="G6" i="86"/>
  <c r="V45" i="70"/>
  <c r="V46" i="70"/>
  <c r="V47" i="70"/>
  <c r="V48" i="70"/>
  <c r="AC44" i="70"/>
  <c r="AD48" i="70"/>
  <c r="G5" i="86"/>
  <c r="V41" i="70"/>
  <c r="V42" i="70"/>
  <c r="V43" i="70"/>
  <c r="V44" i="70"/>
  <c r="AC40" i="70"/>
  <c r="AD44" i="70"/>
  <c r="G4" i="86"/>
  <c r="E4" i="86"/>
  <c r="V37" i="70"/>
  <c r="V38" i="70"/>
  <c r="V39" i="70"/>
  <c r="V40" i="70"/>
  <c r="AC36" i="70"/>
  <c r="AD40" i="70"/>
  <c r="G3" i="86"/>
  <c r="E2" i="86"/>
  <c r="I3" i="76"/>
  <c r="A1" i="86"/>
  <c r="E54" i="94"/>
  <c r="F54" i="94"/>
  <c r="E53" i="94"/>
  <c r="F53" i="94"/>
  <c r="I54" i="94"/>
  <c r="J54" i="94"/>
  <c r="C49" i="94"/>
  <c r="E49" i="93"/>
  <c r="E54" i="92"/>
  <c r="F54" i="92"/>
  <c r="E53" i="92"/>
  <c r="F53" i="92"/>
  <c r="G54" i="92"/>
  <c r="H54" i="92"/>
  <c r="G53" i="92"/>
  <c r="H53" i="92"/>
  <c r="I54" i="92"/>
  <c r="J54" i="92"/>
  <c r="Y116" i="89"/>
  <c r="V116" i="89"/>
  <c r="U112" i="89"/>
  <c r="U115" i="89"/>
  <c r="V115" i="89"/>
  <c r="U117" i="89"/>
  <c r="Y99" i="89"/>
  <c r="V99" i="89"/>
  <c r="Y103" i="89"/>
  <c r="V103" i="89"/>
  <c r="Y97" i="89"/>
  <c r="V97" i="89"/>
  <c r="Y101" i="89"/>
  <c r="V101" i="89"/>
  <c r="U98" i="89"/>
  <c r="U100" i="89"/>
  <c r="U102" i="89"/>
  <c r="Y79" i="89"/>
  <c r="V79" i="89"/>
  <c r="Y83" i="89"/>
  <c r="V83" i="89"/>
  <c r="Y81" i="89"/>
  <c r="V81" i="89"/>
  <c r="U80" i="89"/>
  <c r="U82" i="89"/>
  <c r="U87" i="89"/>
  <c r="V87" i="89"/>
  <c r="Y56" i="89"/>
  <c r="V56" i="89"/>
  <c r="Y58" i="89"/>
  <c r="V58" i="89"/>
  <c r="U55" i="89"/>
  <c r="U57" i="89"/>
  <c r="U59" i="89"/>
  <c r="Y60" i="89"/>
  <c r="Z60" i="89"/>
  <c r="U66" i="89"/>
  <c r="V66" i="89"/>
  <c r="Y33" i="89"/>
  <c r="V33" i="89"/>
  <c r="Y35" i="89"/>
  <c r="V35" i="89"/>
  <c r="U32" i="89"/>
  <c r="U34" i="89"/>
  <c r="U36" i="89"/>
  <c r="Y37" i="89"/>
  <c r="Z37" i="89"/>
  <c r="U43" i="89"/>
  <c r="V43" i="89"/>
  <c r="H29" i="86"/>
  <c r="B2" i="94"/>
  <c r="B3" i="94"/>
  <c r="E54" i="93"/>
  <c r="F54" i="93"/>
  <c r="E53" i="93"/>
  <c r="F53" i="93"/>
  <c r="I54" i="93"/>
  <c r="J54" i="93"/>
  <c r="C49" i="93"/>
  <c r="C50" i="92"/>
  <c r="V117" i="89"/>
  <c r="Y117" i="89"/>
  <c r="V112" i="89"/>
  <c r="Y112" i="89"/>
  <c r="AC116" i="89"/>
  <c r="AD116" i="89"/>
  <c r="Z116" i="89"/>
  <c r="V102" i="89"/>
  <c r="Y102" i="89"/>
  <c r="V98" i="89"/>
  <c r="Y98" i="89"/>
  <c r="AC101" i="89"/>
  <c r="AD101" i="89"/>
  <c r="Z101" i="89"/>
  <c r="AC97" i="89"/>
  <c r="AD97" i="89"/>
  <c r="Z97" i="89"/>
  <c r="AC103" i="89"/>
  <c r="AD103" i="89"/>
  <c r="Z103" i="89"/>
  <c r="AC99" i="89"/>
  <c r="AD99" i="89"/>
  <c r="Z99" i="89"/>
  <c r="V100" i="89"/>
  <c r="Y100" i="89"/>
  <c r="V82" i="89"/>
  <c r="Y82" i="89"/>
  <c r="V80" i="89"/>
  <c r="Y80" i="89"/>
  <c r="AC81" i="89"/>
  <c r="AD81" i="89"/>
  <c r="Z81" i="89"/>
  <c r="AC83" i="89"/>
  <c r="AD83" i="89"/>
  <c r="Z83" i="89"/>
  <c r="AC79" i="89"/>
  <c r="AD79" i="89"/>
  <c r="Z79" i="89"/>
  <c r="V57" i="89"/>
  <c r="Y57" i="89"/>
  <c r="V59" i="89"/>
  <c r="Y59" i="89"/>
  <c r="V55" i="89"/>
  <c r="Y55" i="89"/>
  <c r="AC58" i="89"/>
  <c r="AD58" i="89"/>
  <c r="Z58" i="89"/>
  <c r="AC56" i="89"/>
  <c r="AD56" i="89"/>
  <c r="Z56" i="89"/>
  <c r="V34" i="89"/>
  <c r="Y34" i="89"/>
  <c r="V36" i="89"/>
  <c r="Y36" i="89"/>
  <c r="V32" i="89"/>
  <c r="Y32" i="89"/>
  <c r="AC35" i="89"/>
  <c r="AD35" i="89"/>
  <c r="Z35" i="89"/>
  <c r="AC33" i="89"/>
  <c r="AD33" i="89"/>
  <c r="Z33" i="89"/>
  <c r="H30" i="86"/>
  <c r="H27" i="86"/>
  <c r="H28" i="86"/>
  <c r="H18" i="86"/>
  <c r="B3" i="93"/>
  <c r="B2" i="93"/>
  <c r="B3" i="92"/>
  <c r="B2" i="92"/>
  <c r="Z112" i="89"/>
  <c r="AC112" i="89"/>
  <c r="AD112" i="89"/>
  <c r="Z117" i="89"/>
  <c r="AC117" i="89"/>
  <c r="AD117" i="89"/>
  <c r="Z100" i="89"/>
  <c r="AC100" i="89"/>
  <c r="AD100" i="89"/>
  <c r="Z98" i="89"/>
  <c r="AC98" i="89"/>
  <c r="AD98" i="89"/>
  <c r="Z102" i="89"/>
  <c r="AC102" i="89"/>
  <c r="AD102" i="89"/>
  <c r="Z80" i="89"/>
  <c r="AC80" i="89"/>
  <c r="AD80" i="89"/>
  <c r="Z82" i="89"/>
  <c r="AC82" i="89"/>
  <c r="AD82" i="89"/>
  <c r="Z55" i="89"/>
  <c r="AC55" i="89"/>
  <c r="AD55" i="89"/>
  <c r="Z59" i="89"/>
  <c r="AC59" i="89"/>
  <c r="AD59" i="89"/>
  <c r="Z57" i="89"/>
  <c r="AC57" i="89"/>
  <c r="AD57" i="89"/>
  <c r="Z32" i="89"/>
  <c r="AC32" i="89"/>
  <c r="AD32" i="89"/>
  <c r="Z36" i="89"/>
  <c r="AC36" i="89"/>
  <c r="AD36" i="89"/>
  <c r="Z34" i="89"/>
  <c r="AC34" i="89"/>
  <c r="AD34" i="89"/>
  <c r="H32" i="86"/>
  <c r="H31" i="86"/>
  <c r="H33" i="86"/>
  <c r="J33" i="86"/>
  <c r="K33" i="86"/>
  <c r="H19" i="86"/>
  <c r="K9" i="84"/>
  <c r="J9" i="84"/>
  <c r="D9" i="84"/>
  <c r="J4" i="84"/>
  <c r="K3" i="84"/>
  <c r="J3" i="84"/>
  <c r="J2" i="84"/>
  <c r="G5" i="83"/>
  <c r="D5" i="83"/>
  <c r="G4" i="83"/>
  <c r="D4" i="83"/>
  <c r="G3" i="83"/>
  <c r="D3" i="83"/>
  <c r="G2" i="83"/>
  <c r="D2" i="83"/>
  <c r="I2" i="82"/>
  <c r="F36" i="81"/>
  <c r="N31" i="81"/>
  <c r="N37" i="81"/>
  <c r="M31" i="81"/>
  <c r="M37" i="81"/>
  <c r="L31" i="81"/>
  <c r="L37" i="81"/>
  <c r="N38" i="81"/>
  <c r="N39" i="81"/>
  <c r="F31" i="81"/>
  <c r="F13" i="81"/>
  <c r="F40" i="80"/>
  <c r="F41" i="80"/>
  <c r="J38" i="80"/>
  <c r="I38" i="80"/>
  <c r="J30" i="80"/>
  <c r="I30" i="80"/>
  <c r="J29" i="80"/>
  <c r="I29" i="80"/>
  <c r="J28" i="80"/>
  <c r="I28" i="80"/>
  <c r="J26" i="80"/>
  <c r="I26" i="80"/>
  <c r="J24" i="80"/>
  <c r="I24" i="80"/>
  <c r="J22" i="80"/>
  <c r="I22" i="80"/>
  <c r="J20" i="80"/>
  <c r="I20" i="80"/>
  <c r="J18" i="80"/>
  <c r="I18" i="80"/>
  <c r="J16" i="80"/>
  <c r="I16" i="80"/>
  <c r="J14" i="80"/>
  <c r="I14" i="80"/>
  <c r="J13" i="80"/>
  <c r="I13" i="80"/>
  <c r="J12" i="80"/>
  <c r="I12" i="80"/>
  <c r="J11" i="80"/>
  <c r="I11" i="80"/>
  <c r="J10" i="80"/>
  <c r="I10" i="80"/>
  <c r="J9" i="80"/>
  <c r="I9" i="80"/>
  <c r="J8" i="80"/>
  <c r="I8" i="80"/>
  <c r="J7" i="80"/>
  <c r="I7" i="80"/>
  <c r="J6" i="80"/>
  <c r="I6" i="80"/>
  <c r="J5" i="80"/>
  <c r="I5" i="80"/>
  <c r="J4" i="80"/>
  <c r="I4" i="80"/>
  <c r="J3" i="80"/>
  <c r="I3" i="80"/>
  <c r="J2" i="80"/>
  <c r="I2" i="80"/>
  <c r="F86" i="79"/>
  <c r="J85" i="79"/>
  <c r="I85" i="79"/>
  <c r="J84" i="79"/>
  <c r="I84" i="79"/>
  <c r="J83" i="79"/>
  <c r="I83" i="79"/>
  <c r="J82" i="79"/>
  <c r="I82" i="79"/>
  <c r="J81" i="79"/>
  <c r="I81" i="79"/>
  <c r="J80" i="79"/>
  <c r="I80" i="79"/>
  <c r="J79" i="79"/>
  <c r="I79" i="79"/>
  <c r="J78" i="79"/>
  <c r="I78" i="79"/>
  <c r="J77" i="79"/>
  <c r="I77" i="79"/>
  <c r="J76" i="79"/>
  <c r="I76" i="79"/>
  <c r="J75" i="79"/>
  <c r="I75" i="79"/>
  <c r="J74" i="79"/>
  <c r="I74" i="79"/>
  <c r="J73" i="79"/>
  <c r="I73" i="79"/>
  <c r="J72" i="79"/>
  <c r="I72" i="79"/>
  <c r="J71" i="79"/>
  <c r="I71" i="79"/>
  <c r="J70" i="79"/>
  <c r="I70" i="79"/>
  <c r="J69" i="79"/>
  <c r="I69" i="79"/>
  <c r="J68" i="79"/>
  <c r="I68" i="79"/>
  <c r="J67" i="79"/>
  <c r="I67" i="79"/>
  <c r="J66" i="79"/>
  <c r="I66" i="79"/>
  <c r="J65" i="79"/>
  <c r="I65" i="79"/>
  <c r="J64" i="79"/>
  <c r="I64" i="79"/>
  <c r="J63" i="79"/>
  <c r="I63" i="79"/>
  <c r="J62" i="79"/>
  <c r="I62" i="79"/>
  <c r="J61" i="79"/>
  <c r="I61" i="79"/>
  <c r="J60" i="79"/>
  <c r="I60" i="79"/>
  <c r="J59" i="79"/>
  <c r="I59" i="79"/>
  <c r="J58" i="79"/>
  <c r="I58" i="79"/>
  <c r="J57" i="79"/>
  <c r="I57" i="79"/>
  <c r="J56" i="79"/>
  <c r="I56" i="79"/>
  <c r="J55" i="79"/>
  <c r="I55" i="79"/>
  <c r="J54" i="79"/>
  <c r="I54" i="79"/>
  <c r="J53" i="79"/>
  <c r="I53" i="79"/>
  <c r="J52" i="79"/>
  <c r="I52" i="79"/>
  <c r="J51" i="79"/>
  <c r="I51" i="79"/>
  <c r="J50" i="79"/>
  <c r="I50" i="79"/>
  <c r="J49" i="79"/>
  <c r="I49" i="79"/>
  <c r="J48" i="79"/>
  <c r="I48" i="79"/>
  <c r="J47" i="79"/>
  <c r="I47" i="79"/>
  <c r="J46" i="79"/>
  <c r="I46" i="79"/>
  <c r="J45" i="79"/>
  <c r="I45" i="79"/>
  <c r="J44" i="79"/>
  <c r="I44" i="79"/>
  <c r="J43" i="79"/>
  <c r="I43" i="79"/>
  <c r="J42" i="79"/>
  <c r="I42" i="79"/>
  <c r="J41" i="79"/>
  <c r="I41" i="79"/>
  <c r="J40" i="79"/>
  <c r="I40" i="79"/>
  <c r="J39" i="79"/>
  <c r="I39" i="79"/>
  <c r="J38" i="79"/>
  <c r="I38" i="79"/>
  <c r="J37" i="79"/>
  <c r="I37" i="79"/>
  <c r="J36" i="79"/>
  <c r="I36" i="79"/>
  <c r="J35" i="79"/>
  <c r="I35" i="79"/>
  <c r="J34" i="79"/>
  <c r="I34" i="79"/>
  <c r="J33" i="79"/>
  <c r="I33" i="79"/>
  <c r="J32" i="79"/>
  <c r="I32" i="79"/>
  <c r="J31" i="79"/>
  <c r="I31" i="79"/>
  <c r="J30" i="79"/>
  <c r="I30" i="79"/>
  <c r="J29" i="79"/>
  <c r="I29" i="79"/>
  <c r="J28" i="79"/>
  <c r="I28" i="79"/>
  <c r="J27" i="79"/>
  <c r="I27" i="79"/>
  <c r="J26" i="79"/>
  <c r="I26" i="79"/>
  <c r="J25" i="79"/>
  <c r="I25" i="79"/>
  <c r="J24" i="79"/>
  <c r="I24" i="79"/>
  <c r="J23" i="79"/>
  <c r="I23" i="79"/>
  <c r="J22" i="79"/>
  <c r="I22" i="79"/>
  <c r="J21" i="79"/>
  <c r="I21" i="79"/>
  <c r="J20" i="79"/>
  <c r="I20" i="79"/>
  <c r="J19" i="79"/>
  <c r="I19" i="79"/>
  <c r="J18" i="79"/>
  <c r="I18" i="79"/>
  <c r="J17" i="79"/>
  <c r="I17" i="79"/>
  <c r="J16" i="79"/>
  <c r="I16" i="79"/>
  <c r="J15" i="79"/>
  <c r="I15" i="79"/>
  <c r="J14" i="79"/>
  <c r="I14" i="79"/>
  <c r="J13" i="79"/>
  <c r="I13" i="79"/>
  <c r="J12" i="79"/>
  <c r="I12" i="79"/>
  <c r="J11" i="79"/>
  <c r="I11" i="79"/>
  <c r="J10" i="79"/>
  <c r="I10" i="79"/>
  <c r="J9" i="79"/>
  <c r="I9" i="79"/>
  <c r="J8" i="79"/>
  <c r="I8" i="79"/>
  <c r="J7" i="79"/>
  <c r="I7" i="79"/>
  <c r="J6" i="79"/>
  <c r="I6" i="79"/>
  <c r="J5" i="79"/>
  <c r="I5" i="79"/>
  <c r="J4" i="79"/>
  <c r="I4" i="79"/>
  <c r="J3" i="79"/>
  <c r="I3" i="79"/>
  <c r="J2" i="79"/>
  <c r="I2" i="79"/>
  <c r="H20" i="86"/>
  <c r="L2" i="77"/>
  <c r="L3" i="77"/>
  <c r="G2" i="43"/>
  <c r="I2" i="43"/>
  <c r="N5" i="43"/>
  <c r="F81" i="43"/>
  <c r="H82" i="43"/>
  <c r="G82" i="43"/>
  <c r="H83" i="43"/>
  <c r="G83" i="43"/>
  <c r="H84" i="43"/>
  <c r="G84" i="43"/>
  <c r="H85" i="43"/>
  <c r="G85" i="43"/>
  <c r="H86" i="43"/>
  <c r="G86" i="43"/>
  <c r="H87" i="43"/>
  <c r="G87" i="43"/>
  <c r="H88" i="43"/>
  <c r="G88" i="43"/>
  <c r="H81" i="43"/>
  <c r="G81" i="43"/>
  <c r="M2" i="65"/>
  <c r="M4" i="65"/>
  <c r="E20" i="1"/>
  <c r="I7" i="76"/>
  <c r="I6" i="76"/>
  <c r="B13" i="1"/>
  <c r="I5" i="76"/>
  <c r="C37" i="76"/>
  <c r="E29" i="76"/>
  <c r="E26" i="76"/>
  <c r="E25" i="76"/>
  <c r="E24" i="76"/>
  <c r="C22" i="76"/>
  <c r="I20" i="76"/>
  <c r="C21" i="76"/>
  <c r="F19" i="76"/>
  <c r="E19" i="76"/>
  <c r="C18" i="76"/>
  <c r="E16" i="76"/>
  <c r="F16" i="76"/>
  <c r="E15" i="76"/>
  <c r="C15" i="76"/>
  <c r="M10" i="76"/>
  <c r="P9" i="76"/>
  <c r="O10" i="76"/>
  <c r="I8" i="76"/>
  <c r="M2" i="76"/>
  <c r="M4" i="76"/>
  <c r="M11" i="76"/>
  <c r="G5" i="75"/>
  <c r="G7" i="75"/>
  <c r="M3" i="75"/>
  <c r="B3" i="75"/>
  <c r="D3" i="75"/>
  <c r="M2" i="75"/>
  <c r="M4" i="75"/>
  <c r="B2" i="75"/>
  <c r="D2" i="75"/>
  <c r="E143" i="74"/>
  <c r="E114" i="74"/>
  <c r="E103" i="74"/>
  <c r="E91" i="74"/>
  <c r="E75" i="74"/>
  <c r="E61" i="74"/>
  <c r="E47" i="74"/>
  <c r="E31" i="74"/>
  <c r="K6" i="74"/>
  <c r="K5" i="74"/>
  <c r="K3" i="74"/>
  <c r="K144" i="74"/>
  <c r="R35" i="65"/>
  <c r="O31" i="65"/>
  <c r="Q35" i="65"/>
  <c r="O30" i="65"/>
  <c r="N30" i="65"/>
  <c r="E43" i="1"/>
  <c r="E44" i="1"/>
  <c r="E45" i="1"/>
  <c r="E46" i="1"/>
  <c r="E47" i="1"/>
  <c r="E42" i="1"/>
  <c r="H27" i="73"/>
  <c r="H26" i="73"/>
  <c r="D11" i="73"/>
  <c r="B11" i="73"/>
  <c r="E8" i="73"/>
  <c r="L1" i="73"/>
  <c r="E144" i="74"/>
  <c r="H21" i="86"/>
  <c r="C8" i="76"/>
  <c r="C12" i="76"/>
  <c r="C10" i="76"/>
  <c r="C9" i="76"/>
  <c r="J3" i="76"/>
  <c r="C11" i="76"/>
  <c r="H23" i="86"/>
  <c r="H22" i="86"/>
  <c r="C13" i="76"/>
  <c r="C14" i="76"/>
  <c r="C20" i="76"/>
  <c r="C19" i="76"/>
  <c r="C17" i="76"/>
  <c r="C16" i="76"/>
  <c r="C23" i="76"/>
  <c r="C27" i="76"/>
  <c r="H38" i="65"/>
  <c r="I39" i="65"/>
  <c r="I40" i="65"/>
  <c r="L38" i="65"/>
  <c r="H33" i="65"/>
  <c r="H34" i="65"/>
  <c r="I45" i="15"/>
  <c r="K46" i="15"/>
  <c r="I36" i="65"/>
  <c r="H36" i="65"/>
  <c r="H37" i="65"/>
  <c r="D55" i="11"/>
  <c r="N14" i="43"/>
  <c r="N13" i="43"/>
  <c r="M15" i="43"/>
  <c r="M14" i="43"/>
  <c r="M13" i="43"/>
  <c r="I20" i="65"/>
  <c r="I17" i="65"/>
  <c r="H15" i="65"/>
  <c r="H14" i="65"/>
  <c r="H12" i="65"/>
  <c r="I11" i="65"/>
  <c r="H9" i="65"/>
  <c r="I8" i="65"/>
  <c r="B52" i="72"/>
  <c r="B43" i="72"/>
  <c r="B41" i="72"/>
  <c r="B31" i="72"/>
  <c r="B24" i="72"/>
  <c r="B23" i="72"/>
  <c r="B22" i="72"/>
  <c r="N20" i="72"/>
  <c r="N6" i="72"/>
  <c r="Y6" i="72"/>
  <c r="K15" i="72"/>
  <c r="P14" i="72"/>
  <c r="O14" i="72"/>
  <c r="K14" i="72"/>
  <c r="M14" i="72"/>
  <c r="AP13" i="72"/>
  <c r="AG13" i="72"/>
  <c r="AE13" i="72"/>
  <c r="P13" i="72"/>
  <c r="O13" i="72"/>
  <c r="F13" i="72"/>
  <c r="D13" i="72"/>
  <c r="G13" i="72"/>
  <c r="A13" i="72"/>
  <c r="S13" i="72"/>
  <c r="AP12" i="72"/>
  <c r="AG12" i="72"/>
  <c r="AE12" i="72"/>
  <c r="P12" i="72"/>
  <c r="O12" i="72"/>
  <c r="F12" i="72"/>
  <c r="D12" i="72"/>
  <c r="G12" i="72"/>
  <c r="A12" i="72"/>
  <c r="R12" i="72"/>
  <c r="AP11" i="72"/>
  <c r="AG11" i="72"/>
  <c r="AE11" i="72"/>
  <c r="P11" i="72"/>
  <c r="O11" i="72"/>
  <c r="F11" i="72"/>
  <c r="D11" i="72"/>
  <c r="G11" i="72"/>
  <c r="A11" i="72"/>
  <c r="S11" i="72"/>
  <c r="AP10" i="72"/>
  <c r="AG10" i="72"/>
  <c r="AE10" i="72"/>
  <c r="P10" i="72"/>
  <c r="O10" i="72"/>
  <c r="F10" i="72"/>
  <c r="D10" i="72"/>
  <c r="G10" i="72"/>
  <c r="A10" i="72"/>
  <c r="R10" i="72"/>
  <c r="AP9" i="72"/>
  <c r="AG9" i="72"/>
  <c r="AE9" i="72"/>
  <c r="P9" i="72"/>
  <c r="O9" i="72"/>
  <c r="F9" i="72"/>
  <c r="D9" i="72"/>
  <c r="G9" i="72"/>
  <c r="A9" i="72"/>
  <c r="S9" i="72"/>
  <c r="AP8" i="72"/>
  <c r="AG8" i="72"/>
  <c r="AE8" i="72"/>
  <c r="P8" i="72"/>
  <c r="O8" i="72"/>
  <c r="F8" i="72"/>
  <c r="D8" i="72"/>
  <c r="A8" i="72"/>
  <c r="R8" i="72"/>
  <c r="AP7" i="72"/>
  <c r="AG7" i="72"/>
  <c r="AE7" i="72"/>
  <c r="P7" i="72"/>
  <c r="O7" i="72"/>
  <c r="F7" i="72"/>
  <c r="D7" i="72"/>
  <c r="A7" i="72"/>
  <c r="K7" i="72"/>
  <c r="M7" i="72"/>
  <c r="AP6" i="72"/>
  <c r="AG6" i="72"/>
  <c r="U6" i="72"/>
  <c r="P6" i="72"/>
  <c r="O6" i="72"/>
  <c r="F6" i="72"/>
  <c r="D6" i="72"/>
  <c r="A6" i="72"/>
  <c r="S6" i="72"/>
  <c r="T4" i="72"/>
  <c r="B2" i="72"/>
  <c r="C42" i="72"/>
  <c r="P16" i="72"/>
  <c r="B12" i="72"/>
  <c r="E12" i="72"/>
  <c r="G7" i="72"/>
  <c r="B10" i="72"/>
  <c r="E10" i="72"/>
  <c r="S10" i="72"/>
  <c r="AR10" i="72"/>
  <c r="R6" i="72"/>
  <c r="R16" i="72"/>
  <c r="K9" i="72"/>
  <c r="M9" i="72"/>
  <c r="K11" i="72"/>
  <c r="M11" i="72"/>
  <c r="R11" i="72"/>
  <c r="K13" i="72"/>
  <c r="M13" i="72"/>
  <c r="R13" i="72"/>
  <c r="K10" i="72"/>
  <c r="M10" i="72"/>
  <c r="K12" i="72"/>
  <c r="M12" i="72"/>
  <c r="B13" i="72"/>
  <c r="E13" i="72"/>
  <c r="B40" i="72"/>
  <c r="I18" i="65"/>
  <c r="B39" i="72"/>
  <c r="I58" i="70"/>
  <c r="I57" i="70"/>
  <c r="I56" i="70"/>
  <c r="I54" i="70"/>
  <c r="I53" i="70"/>
  <c r="I52" i="70"/>
  <c r="I50" i="70"/>
  <c r="I49" i="70"/>
  <c r="I48" i="70"/>
  <c r="I46" i="70"/>
  <c r="I45" i="70"/>
  <c r="I44" i="70"/>
  <c r="I42" i="70"/>
  <c r="I41" i="70"/>
  <c r="I40" i="70"/>
  <c r="I38" i="70"/>
  <c r="I36" i="70"/>
  <c r="I37" i="70"/>
  <c r="P35" i="65"/>
  <c r="O29" i="65"/>
  <c r="O35" i="65"/>
  <c r="O28" i="65"/>
  <c r="N35" i="65"/>
  <c r="O27" i="65"/>
  <c r="M35" i="65"/>
  <c r="O26" i="65"/>
  <c r="L35" i="65"/>
  <c r="O25" i="65"/>
  <c r="J49" i="70"/>
  <c r="Q28" i="65"/>
  <c r="J41" i="70"/>
  <c r="Q26" i="65"/>
  <c r="X55" i="70"/>
  <c r="X56" i="70"/>
  <c r="X57" i="70"/>
  <c r="X58" i="70"/>
  <c r="AC57" i="70"/>
  <c r="X59" i="70"/>
  <c r="X60" i="70"/>
  <c r="X61" i="70"/>
  <c r="X62" i="70"/>
  <c r="AC61" i="70"/>
  <c r="W36" i="70"/>
  <c r="W37" i="70"/>
  <c r="W38" i="70"/>
  <c r="W39" i="70"/>
  <c r="W40" i="70"/>
  <c r="W41" i="70"/>
  <c r="W42" i="70"/>
  <c r="AC39" i="70"/>
  <c r="W43" i="70"/>
  <c r="W44" i="70"/>
  <c r="W45" i="70"/>
  <c r="W46" i="70"/>
  <c r="AC43" i="70"/>
  <c r="W47" i="70"/>
  <c r="W48" i="70"/>
  <c r="W49" i="70"/>
  <c r="W50" i="70"/>
  <c r="AC47" i="70"/>
  <c r="W51" i="70"/>
  <c r="W52" i="70"/>
  <c r="W53" i="70"/>
  <c r="W54" i="70"/>
  <c r="AC51" i="70"/>
  <c r="W55" i="70"/>
  <c r="W56" i="70"/>
  <c r="W57" i="70"/>
  <c r="W58" i="70"/>
  <c r="AC55" i="70"/>
  <c r="W59" i="70"/>
  <c r="W60" i="70"/>
  <c r="W61" i="70"/>
  <c r="W62" i="70"/>
  <c r="AC59" i="70"/>
  <c r="V36" i="70"/>
  <c r="AA38" i="70"/>
  <c r="AA39" i="70"/>
  <c r="AA40" i="70"/>
  <c r="AA42" i="70"/>
  <c r="AA43" i="70"/>
  <c r="AA44" i="70"/>
  <c r="AA46" i="70"/>
  <c r="AA47" i="70"/>
  <c r="AA48" i="70"/>
  <c r="AA50" i="70"/>
  <c r="AA51" i="70"/>
  <c r="AA52" i="70"/>
  <c r="AA54" i="70"/>
  <c r="AA58" i="70"/>
  <c r="AA59" i="70"/>
  <c r="AA60" i="70"/>
  <c r="AA62" i="70"/>
  <c r="X30" i="70"/>
  <c r="X31" i="70"/>
  <c r="F24" i="70"/>
  <c r="E54" i="70"/>
  <c r="F54" i="70"/>
  <c r="E55" i="70"/>
  <c r="F55" i="70"/>
  <c r="E56" i="70"/>
  <c r="F56" i="70"/>
  <c r="E57" i="70"/>
  <c r="F57" i="70"/>
  <c r="E58" i="70"/>
  <c r="F58" i="70"/>
  <c r="E59" i="70"/>
  <c r="F59" i="70"/>
  <c r="E60" i="70"/>
  <c r="F60" i="70"/>
  <c r="E61" i="70"/>
  <c r="F61" i="70"/>
  <c r="E62" i="70"/>
  <c r="F62" i="70"/>
  <c r="J45" i="70"/>
  <c r="Q27" i="65"/>
  <c r="J53" i="70"/>
  <c r="Q29" i="65"/>
  <c r="R27" i="65"/>
  <c r="AA61" i="70"/>
  <c r="AA57" i="70"/>
  <c r="AA53" i="70"/>
  <c r="AA49" i="70"/>
  <c r="AA45" i="70"/>
  <c r="AA41" i="70"/>
  <c r="AA37" i="70"/>
  <c r="J57" i="70"/>
  <c r="Q30" i="65"/>
  <c r="C55" i="71"/>
  <c r="E18" i="71"/>
  <c r="D18" i="71"/>
  <c r="E17" i="71"/>
  <c r="D17" i="71"/>
  <c r="E16" i="71"/>
  <c r="E15" i="71"/>
  <c r="F16" i="71"/>
  <c r="D53" i="71"/>
  <c r="D16" i="71"/>
  <c r="E14" i="71"/>
  <c r="F15" i="71"/>
  <c r="D52" i="71"/>
  <c r="D15" i="71"/>
  <c r="D14" i="71"/>
  <c r="E13" i="71"/>
  <c r="D13" i="71"/>
  <c r="E12" i="71"/>
  <c r="E11" i="71"/>
  <c r="F12" i="71"/>
  <c r="D49" i="71"/>
  <c r="D12" i="71"/>
  <c r="K11" i="71"/>
  <c r="B11" i="71"/>
  <c r="K10" i="71"/>
  <c r="I10" i="71"/>
  <c r="H10" i="71"/>
  <c r="E10" i="71"/>
  <c r="F10" i="71"/>
  <c r="D47" i="71"/>
  <c r="K9" i="71"/>
  <c r="F9" i="71"/>
  <c r="D46" i="71"/>
  <c r="K8" i="71"/>
  <c r="F8" i="71"/>
  <c r="D45" i="71"/>
  <c r="K7" i="71"/>
  <c r="F7" i="71"/>
  <c r="D44" i="71"/>
  <c r="D7" i="71"/>
  <c r="J6" i="71"/>
  <c r="D6" i="71"/>
  <c r="O92" i="70"/>
  <c r="M92" i="70"/>
  <c r="L92" i="70"/>
  <c r="O91" i="70"/>
  <c r="M91" i="70"/>
  <c r="L91" i="70"/>
  <c r="O90" i="70"/>
  <c r="M90" i="70"/>
  <c r="L90" i="70"/>
  <c r="O89" i="70"/>
  <c r="M89" i="70"/>
  <c r="L89" i="70"/>
  <c r="O88" i="70"/>
  <c r="M88" i="70"/>
  <c r="L88" i="70"/>
  <c r="O87" i="70"/>
  <c r="M87" i="70"/>
  <c r="L87" i="70"/>
  <c r="O86" i="70"/>
  <c r="M86" i="70"/>
  <c r="L86" i="70"/>
  <c r="O85" i="70"/>
  <c r="M85" i="70"/>
  <c r="O84" i="70"/>
  <c r="M84" i="70"/>
  <c r="L84" i="70"/>
  <c r="O83" i="70"/>
  <c r="M83" i="70"/>
  <c r="L83" i="70"/>
  <c r="O82" i="70"/>
  <c r="M82" i="70"/>
  <c r="L82" i="70"/>
  <c r="O81" i="70"/>
  <c r="M81" i="70"/>
  <c r="L81" i="70"/>
  <c r="O80" i="70"/>
  <c r="M80" i="70"/>
  <c r="L80" i="70"/>
  <c r="O79" i="70"/>
  <c r="M79" i="70"/>
  <c r="L79" i="70"/>
  <c r="O78" i="70"/>
  <c r="M78" i="70"/>
  <c r="L78" i="70"/>
  <c r="O77" i="70"/>
  <c r="M77" i="70"/>
  <c r="L77" i="70"/>
  <c r="O76" i="70"/>
  <c r="M76" i="70"/>
  <c r="L76" i="70"/>
  <c r="O75" i="70"/>
  <c r="M75" i="70"/>
  <c r="L75" i="70"/>
  <c r="O74" i="70"/>
  <c r="M74" i="70"/>
  <c r="L74" i="70"/>
  <c r="Q62" i="70"/>
  <c r="M62" i="70"/>
  <c r="L62" i="70"/>
  <c r="Q61" i="70"/>
  <c r="M61" i="70"/>
  <c r="L61" i="70"/>
  <c r="Q60" i="70"/>
  <c r="M60" i="70"/>
  <c r="L60" i="70"/>
  <c r="Q59" i="70"/>
  <c r="M59" i="70"/>
  <c r="L59" i="70"/>
  <c r="Q58" i="70"/>
  <c r="M58" i="70"/>
  <c r="L58" i="70"/>
  <c r="Q57" i="70"/>
  <c r="Q56" i="70"/>
  <c r="M56" i="70"/>
  <c r="L56" i="70"/>
  <c r="Q55" i="70"/>
  <c r="M55" i="70"/>
  <c r="O54" i="70"/>
  <c r="M54" i="70"/>
  <c r="L54" i="70"/>
  <c r="O53" i="70"/>
  <c r="M53" i="70"/>
  <c r="L53" i="70"/>
  <c r="F53" i="70"/>
  <c r="E53" i="70"/>
  <c r="O52" i="70"/>
  <c r="M52" i="70"/>
  <c r="L52" i="70"/>
  <c r="F52" i="70"/>
  <c r="E52" i="70"/>
  <c r="O51" i="70"/>
  <c r="M51" i="70"/>
  <c r="T54" i="70"/>
  <c r="J16" i="71"/>
  <c r="L51" i="70"/>
  <c r="F51" i="70"/>
  <c r="E51" i="70"/>
  <c r="O50" i="70"/>
  <c r="M50" i="70"/>
  <c r="L50" i="70"/>
  <c r="F50" i="70"/>
  <c r="E50" i="70"/>
  <c r="O49" i="70"/>
  <c r="M49" i="70"/>
  <c r="L49" i="70"/>
  <c r="F49" i="70"/>
  <c r="E49" i="70"/>
  <c r="O48" i="70"/>
  <c r="M48" i="70"/>
  <c r="L48" i="70"/>
  <c r="F48" i="70"/>
  <c r="E48" i="70"/>
  <c r="O47" i="70"/>
  <c r="M47" i="70"/>
  <c r="F47" i="70"/>
  <c r="E47" i="70"/>
  <c r="O46" i="70"/>
  <c r="M46" i="70"/>
  <c r="L46" i="70"/>
  <c r="F46" i="70"/>
  <c r="E46" i="70"/>
  <c r="O45" i="70"/>
  <c r="M45" i="70"/>
  <c r="L45" i="70"/>
  <c r="F45" i="70"/>
  <c r="E45" i="70"/>
  <c r="O44" i="70"/>
  <c r="M44" i="70"/>
  <c r="L44" i="70"/>
  <c r="F44" i="70"/>
  <c r="E44" i="70"/>
  <c r="O43" i="70"/>
  <c r="M43" i="70"/>
  <c r="T46" i="70"/>
  <c r="J14" i="71"/>
  <c r="L43" i="70"/>
  <c r="F43" i="70"/>
  <c r="E43" i="70"/>
  <c r="O42" i="70"/>
  <c r="M42" i="70"/>
  <c r="L42" i="70"/>
  <c r="F42" i="70"/>
  <c r="E42" i="70"/>
  <c r="O41" i="70"/>
  <c r="M41" i="70"/>
  <c r="L41" i="70"/>
  <c r="F41" i="70"/>
  <c r="E41" i="70"/>
  <c r="O40" i="70"/>
  <c r="M40" i="70"/>
  <c r="L40" i="70"/>
  <c r="F40" i="70"/>
  <c r="E40" i="70"/>
  <c r="O39" i="70"/>
  <c r="M39" i="70"/>
  <c r="L39" i="70"/>
  <c r="F39" i="70"/>
  <c r="E39" i="70"/>
  <c r="O38" i="70"/>
  <c r="M38" i="70"/>
  <c r="L38" i="70"/>
  <c r="F38" i="70"/>
  <c r="E38" i="70"/>
  <c r="O37" i="70"/>
  <c r="M37" i="70"/>
  <c r="L37" i="70"/>
  <c r="F37" i="70"/>
  <c r="E37" i="70"/>
  <c r="O36" i="70"/>
  <c r="M36" i="70"/>
  <c r="L36" i="70"/>
  <c r="N36" i="70"/>
  <c r="X29" i="70"/>
  <c r="X28" i="70"/>
  <c r="X27" i="70"/>
  <c r="X26" i="70"/>
  <c r="M26" i="70"/>
  <c r="M57" i="70"/>
  <c r="L26" i="70"/>
  <c r="L57" i="70"/>
  <c r="R58" i="70"/>
  <c r="X25" i="70"/>
  <c r="X24" i="70"/>
  <c r="AB23" i="70"/>
  <c r="AA23" i="70"/>
  <c r="X54" i="70"/>
  <c r="AC53" i="70"/>
  <c r="Y23" i="70"/>
  <c r="X23" i="70"/>
  <c r="R23" i="70"/>
  <c r="Q23" i="70"/>
  <c r="Q54" i="70"/>
  <c r="O23" i="70"/>
  <c r="N23" i="70"/>
  <c r="I23" i="70"/>
  <c r="F23" i="70"/>
  <c r="E23" i="70"/>
  <c r="AG22" i="70"/>
  <c r="AB22" i="70"/>
  <c r="AA22" i="70"/>
  <c r="X53" i="70"/>
  <c r="Y22" i="70"/>
  <c r="X22" i="70"/>
  <c r="R22" i="70"/>
  <c r="Q22" i="70"/>
  <c r="Q91" i="70"/>
  <c r="O22" i="70"/>
  <c r="N22" i="70"/>
  <c r="I22" i="70"/>
  <c r="F22" i="70"/>
  <c r="E22" i="70"/>
  <c r="AG21" i="70"/>
  <c r="AB21" i="70"/>
  <c r="AA21" i="70"/>
  <c r="X52" i="70"/>
  <c r="Y21" i="70"/>
  <c r="X21" i="70"/>
  <c r="R21" i="70"/>
  <c r="Q21" i="70"/>
  <c r="Q52" i="70"/>
  <c r="O21" i="70"/>
  <c r="N21" i="70"/>
  <c r="I21" i="70"/>
  <c r="F21" i="70"/>
  <c r="E21" i="70"/>
  <c r="AG20" i="70"/>
  <c r="AB20" i="70"/>
  <c r="AA20" i="70"/>
  <c r="X51" i="70"/>
  <c r="Y20" i="70"/>
  <c r="X20" i="70"/>
  <c r="R20" i="70"/>
  <c r="Q20" i="70"/>
  <c r="Q89" i="70"/>
  <c r="O20" i="70"/>
  <c r="N20" i="70"/>
  <c r="F20" i="70"/>
  <c r="E20" i="70"/>
  <c r="AG19" i="70"/>
  <c r="AB19" i="70"/>
  <c r="AA19" i="70"/>
  <c r="X50" i="70"/>
  <c r="AC49" i="70"/>
  <c r="Y19" i="70"/>
  <c r="X19" i="70"/>
  <c r="R19" i="70"/>
  <c r="Q19" i="70"/>
  <c r="Q50" i="70"/>
  <c r="O19" i="70"/>
  <c r="N19" i="70"/>
  <c r="I19" i="70"/>
  <c r="F19" i="70"/>
  <c r="E19" i="70"/>
  <c r="AG18" i="70"/>
  <c r="AB18" i="70"/>
  <c r="AA18" i="70"/>
  <c r="X49" i="70"/>
  <c r="Y18" i="70"/>
  <c r="X18" i="70"/>
  <c r="R18" i="70"/>
  <c r="Q18" i="70"/>
  <c r="O18" i="70"/>
  <c r="N18" i="70"/>
  <c r="I18" i="70"/>
  <c r="F18" i="70"/>
  <c r="E18" i="70"/>
  <c r="AG17" i="70"/>
  <c r="AB17" i="70"/>
  <c r="AA17" i="70"/>
  <c r="X48" i="70"/>
  <c r="Y17" i="70"/>
  <c r="X17" i="70"/>
  <c r="Q17" i="70"/>
  <c r="I17" i="70"/>
  <c r="F17" i="70"/>
  <c r="E17" i="70"/>
  <c r="AG16" i="70"/>
  <c r="AB16" i="70"/>
  <c r="AA16" i="70"/>
  <c r="X47" i="70"/>
  <c r="Y16" i="70"/>
  <c r="X16" i="70"/>
  <c r="P16" i="70"/>
  <c r="O17" i="70"/>
  <c r="L16" i="70"/>
  <c r="F16" i="70"/>
  <c r="E16" i="70"/>
  <c r="AG15" i="70"/>
  <c r="AB15" i="70"/>
  <c r="AA15" i="70"/>
  <c r="X46" i="70"/>
  <c r="AC45" i="70"/>
  <c r="Y15" i="70"/>
  <c r="X15" i="70"/>
  <c r="R15" i="70"/>
  <c r="Q15" i="70"/>
  <c r="Q84" i="70"/>
  <c r="O15" i="70"/>
  <c r="N15" i="70"/>
  <c r="I15" i="70"/>
  <c r="E15" i="70"/>
  <c r="AG14" i="70"/>
  <c r="AB14" i="70"/>
  <c r="AA14" i="70"/>
  <c r="Y14" i="70"/>
  <c r="X14" i="70"/>
  <c r="R14" i="70"/>
  <c r="Q14" i="70"/>
  <c r="O14" i="70"/>
  <c r="N14" i="70"/>
  <c r="I14" i="70"/>
  <c r="G14" i="70"/>
  <c r="E14" i="70"/>
  <c r="AG13" i="70"/>
  <c r="AB13" i="70"/>
  <c r="AA13" i="70"/>
  <c r="X44" i="70"/>
  <c r="Y13" i="70"/>
  <c r="X13" i="70"/>
  <c r="R13" i="70"/>
  <c r="Q13" i="70"/>
  <c r="Q82" i="70"/>
  <c r="O13" i="70"/>
  <c r="N13" i="70"/>
  <c r="I13" i="70"/>
  <c r="F13" i="70"/>
  <c r="E13" i="70"/>
  <c r="AB12" i="70"/>
  <c r="AA12" i="70"/>
  <c r="X43" i="70"/>
  <c r="Y12" i="70"/>
  <c r="X12" i="70"/>
  <c r="R12" i="70"/>
  <c r="Q12" i="70"/>
  <c r="Q81" i="70"/>
  <c r="O12" i="70"/>
  <c r="N12" i="70"/>
  <c r="F12" i="70"/>
  <c r="E12" i="70"/>
  <c r="AB11" i="70"/>
  <c r="AA11" i="70"/>
  <c r="X42" i="70"/>
  <c r="AC41" i="70"/>
  <c r="Y11" i="70"/>
  <c r="X11" i="70"/>
  <c r="R11" i="70"/>
  <c r="Q11" i="70"/>
  <c r="Q42" i="70"/>
  <c r="O11" i="70"/>
  <c r="N11" i="70"/>
  <c r="I11" i="70"/>
  <c r="F11" i="70"/>
  <c r="E11" i="70"/>
  <c r="AB10" i="70"/>
  <c r="AA10" i="70"/>
  <c r="X41" i="70"/>
  <c r="Y10" i="70"/>
  <c r="X10" i="70"/>
  <c r="R10" i="70"/>
  <c r="Q10" i="70"/>
  <c r="O10" i="70"/>
  <c r="N10" i="70"/>
  <c r="I10" i="70"/>
  <c r="F10" i="70"/>
  <c r="E10" i="70"/>
  <c r="AB9" i="70"/>
  <c r="AA9" i="70"/>
  <c r="X40" i="70"/>
  <c r="Y9" i="70"/>
  <c r="X9" i="70"/>
  <c r="R9" i="70"/>
  <c r="Q9" i="70"/>
  <c r="Q40" i="70"/>
  <c r="O9" i="70"/>
  <c r="N9" i="70"/>
  <c r="I9" i="70"/>
  <c r="E9" i="70"/>
  <c r="AB8" i="70"/>
  <c r="AA8" i="70"/>
  <c r="Y8" i="70"/>
  <c r="X8" i="70"/>
  <c r="R8" i="70"/>
  <c r="Q8" i="70"/>
  <c r="O8" i="70"/>
  <c r="N8" i="70"/>
  <c r="G8" i="70"/>
  <c r="E8" i="70"/>
  <c r="AB7" i="70"/>
  <c r="AA7" i="70"/>
  <c r="Y7" i="70"/>
  <c r="X7" i="70"/>
  <c r="R7" i="70"/>
  <c r="Q7" i="70"/>
  <c r="O7" i="70"/>
  <c r="N7" i="70"/>
  <c r="G7" i="70"/>
  <c r="E7" i="70"/>
  <c r="AB6" i="70"/>
  <c r="AA6" i="70"/>
  <c r="Y6" i="70"/>
  <c r="X6" i="70"/>
  <c r="R6" i="70"/>
  <c r="Q6" i="70"/>
  <c r="G6" i="70"/>
  <c r="Q37" i="70"/>
  <c r="O6" i="70"/>
  <c r="N6" i="70"/>
  <c r="E6" i="70"/>
  <c r="AB5" i="70"/>
  <c r="AA5" i="70"/>
  <c r="Y5" i="70"/>
  <c r="X5" i="70"/>
  <c r="R5" i="70"/>
  <c r="Q5" i="70"/>
  <c r="O5" i="70"/>
  <c r="N5" i="70"/>
  <c r="G5" i="70"/>
  <c r="X36" i="70"/>
  <c r="AA4" i="70"/>
  <c r="X35" i="70"/>
  <c r="Q4" i="70"/>
  <c r="D4" i="70"/>
  <c r="C4" i="70"/>
  <c r="I5" i="70"/>
  <c r="W35" i="70"/>
  <c r="AC35" i="70"/>
  <c r="J23" i="70"/>
  <c r="F14" i="71"/>
  <c r="D51" i="71"/>
  <c r="F18" i="71"/>
  <c r="D55" i="71"/>
  <c r="R26" i="65"/>
  <c r="R28" i="65"/>
  <c r="I6" i="70"/>
  <c r="V35" i="70"/>
  <c r="AA36" i="70"/>
  <c r="X37" i="70"/>
  <c r="X38" i="70"/>
  <c r="AC37" i="70"/>
  <c r="X39" i="70"/>
  <c r="Q83" i="70"/>
  <c r="X45" i="70"/>
  <c r="L55" i="70"/>
  <c r="L8" i="71"/>
  <c r="R49" i="70"/>
  <c r="Q36" i="70"/>
  <c r="R40" i="70"/>
  <c r="S62" i="70"/>
  <c r="K18" i="71"/>
  <c r="R61" i="70"/>
  <c r="N76" i="70"/>
  <c r="N78" i="70"/>
  <c r="N80" i="70"/>
  <c r="N82" i="70"/>
  <c r="N84" i="70"/>
  <c r="F6" i="70"/>
  <c r="Q76" i="70"/>
  <c r="F8" i="70"/>
  <c r="Q48" i="70"/>
  <c r="J19" i="70"/>
  <c r="S58" i="70"/>
  <c r="K17" i="71"/>
  <c r="T42" i="70"/>
  <c r="J13" i="71"/>
  <c r="N41" i="70"/>
  <c r="N50" i="70"/>
  <c r="R56" i="70"/>
  <c r="T62" i="70"/>
  <c r="J18" i="71"/>
  <c r="R60" i="70"/>
  <c r="R62" i="70"/>
  <c r="N90" i="70"/>
  <c r="N92" i="70"/>
  <c r="R42" i="70"/>
  <c r="T50" i="70"/>
  <c r="J15" i="71"/>
  <c r="R51" i="70"/>
  <c r="R53" i="70"/>
  <c r="Q88" i="70"/>
  <c r="Q75" i="70"/>
  <c r="F7" i="70"/>
  <c r="I7" i="70"/>
  <c r="J11" i="70"/>
  <c r="O16" i="70"/>
  <c r="Q16" i="70"/>
  <c r="Q47" i="70"/>
  <c r="E24" i="70"/>
  <c r="T38" i="70"/>
  <c r="J12" i="71"/>
  <c r="R37" i="70"/>
  <c r="S42" i="70"/>
  <c r="K13" i="71"/>
  <c r="N40" i="70"/>
  <c r="R41" i="70"/>
  <c r="N42" i="70"/>
  <c r="R43" i="70"/>
  <c r="R45" i="70"/>
  <c r="N49" i="70"/>
  <c r="R50" i="70"/>
  <c r="R55" i="70"/>
  <c r="R59" i="70"/>
  <c r="N75" i="70"/>
  <c r="N77" i="70"/>
  <c r="N79" i="70"/>
  <c r="N81" i="70"/>
  <c r="N83" i="70"/>
  <c r="N88" i="70"/>
  <c r="Q92" i="70"/>
  <c r="T58" i="70"/>
  <c r="J17" i="71"/>
  <c r="E5" i="70"/>
  <c r="Q79" i="70"/>
  <c r="Q41" i="70"/>
  <c r="F15" i="70"/>
  <c r="J15" i="70"/>
  <c r="L85" i="70"/>
  <c r="N85" i="70"/>
  <c r="L47" i="70"/>
  <c r="Q85" i="70"/>
  <c r="N17" i="70"/>
  <c r="Q87" i="70"/>
  <c r="Q49" i="70"/>
  <c r="N37" i="70"/>
  <c r="S38" i="70"/>
  <c r="K12" i="71"/>
  <c r="N43" i="70"/>
  <c r="Q43" i="70"/>
  <c r="N45" i="70"/>
  <c r="Q45" i="70"/>
  <c r="S46" i="70"/>
  <c r="K14" i="71"/>
  <c r="N51" i="70"/>
  <c r="Q51" i="70"/>
  <c r="N53" i="70"/>
  <c r="Q53" i="70"/>
  <c r="S54" i="70"/>
  <c r="K16" i="71"/>
  <c r="Q86" i="70"/>
  <c r="Q90" i="70"/>
  <c r="F13" i="71"/>
  <c r="D50" i="71"/>
  <c r="F17" i="71"/>
  <c r="D54" i="71"/>
  <c r="Q77" i="70"/>
  <c r="Q39" i="70"/>
  <c r="F9" i="70"/>
  <c r="F14" i="70"/>
  <c r="N16" i="70"/>
  <c r="R16" i="70"/>
  <c r="R17" i="70"/>
  <c r="R38" i="70"/>
  <c r="N38" i="70"/>
  <c r="Q38" i="70"/>
  <c r="R39" i="70"/>
  <c r="R44" i="70"/>
  <c r="N44" i="70"/>
  <c r="Q44" i="70"/>
  <c r="R46" i="70"/>
  <c r="N46" i="70"/>
  <c r="Q46" i="70"/>
  <c r="N48" i="70"/>
  <c r="R52" i="70"/>
  <c r="N52" i="70"/>
  <c r="R54" i="70"/>
  <c r="N54" i="70"/>
  <c r="R57" i="70"/>
  <c r="Q74" i="70"/>
  <c r="Q78" i="70"/>
  <c r="Q80" i="70"/>
  <c r="N87" i="70"/>
  <c r="N89" i="70"/>
  <c r="N91" i="70"/>
  <c r="F11" i="71"/>
  <c r="D48" i="71"/>
  <c r="N39" i="70"/>
  <c r="AA55" i="70"/>
  <c r="AA56" i="70"/>
  <c r="N86" i="70"/>
  <c r="S50" i="70"/>
  <c r="K15" i="71"/>
  <c r="N47" i="70"/>
  <c r="R48" i="70"/>
  <c r="R47" i="70"/>
  <c r="R29" i="65"/>
  <c r="R30" i="65"/>
  <c r="I15" i="69"/>
  <c r="E15" i="69"/>
  <c r="A15" i="69"/>
  <c r="AM13" i="69"/>
  <c r="AM15" i="69"/>
  <c r="AH13" i="69"/>
  <c r="AK13" i="69"/>
  <c r="AC13" i="69"/>
  <c r="AF13" i="69"/>
  <c r="AC15" i="69"/>
  <c r="Y13" i="69"/>
  <c r="AB13" i="69"/>
  <c r="AG13" i="69"/>
  <c r="AL13" i="69"/>
  <c r="Y15" i="69"/>
  <c r="S13" i="69"/>
  <c r="J13" i="69"/>
  <c r="AP12" i="69"/>
  <c r="AJ12" i="69"/>
  <c r="AK12" i="69"/>
  <c r="AF12" i="69"/>
  <c r="AA12" i="69"/>
  <c r="AB12" i="69"/>
  <c r="S12" i="69"/>
  <c r="AO11" i="69"/>
  <c r="AP11" i="69"/>
  <c r="AJ11" i="69"/>
  <c r="AK11" i="69"/>
  <c r="AE11" i="69"/>
  <c r="AF11" i="69"/>
  <c r="AA11" i="69"/>
  <c r="AB11" i="69"/>
  <c r="S11" i="69"/>
  <c r="J11" i="69"/>
  <c r="AO10" i="69"/>
  <c r="AP10" i="69"/>
  <c r="AJ10" i="69"/>
  <c r="AK10" i="69"/>
  <c r="AE10" i="69"/>
  <c r="AF10" i="69"/>
  <c r="AA10" i="69"/>
  <c r="AB10" i="69"/>
  <c r="AN9" i="69"/>
  <c r="AP9" i="69"/>
  <c r="AI9" i="69"/>
  <c r="AK9" i="69"/>
  <c r="AD9" i="69"/>
  <c r="AF9" i="69"/>
  <c r="Z9" i="69"/>
  <c r="AB9" i="69"/>
  <c r="S9" i="69"/>
  <c r="J9" i="69"/>
  <c r="AN8" i="69"/>
  <c r="AP8" i="69"/>
  <c r="AI8" i="69"/>
  <c r="AK8" i="69"/>
  <c r="AD8" i="69"/>
  <c r="AF8" i="69"/>
  <c r="Z8" i="69"/>
  <c r="AB8" i="69"/>
  <c r="S8" i="69"/>
  <c r="J8" i="69"/>
  <c r="AP7" i="69"/>
  <c r="AK7" i="69"/>
  <c r="AF7" i="69"/>
  <c r="AA7" i="69"/>
  <c r="AB7" i="69"/>
  <c r="AG7" i="69"/>
  <c r="AL7" i="69"/>
  <c r="AQ7" i="69"/>
  <c r="S7" i="69"/>
  <c r="J7" i="69"/>
  <c r="AO6" i="69"/>
  <c r="AP6" i="69"/>
  <c r="AK6" i="69"/>
  <c r="AE6" i="69"/>
  <c r="AF6" i="69"/>
  <c r="AA6" i="69"/>
  <c r="AB6" i="69"/>
  <c r="AG6" i="69"/>
  <c r="AL6" i="69"/>
  <c r="AQ6" i="69"/>
  <c r="AO5" i="69"/>
  <c r="AO15" i="69"/>
  <c r="AK5" i="69"/>
  <c r="AE5" i="69"/>
  <c r="AF5" i="69"/>
  <c r="AB5" i="69"/>
  <c r="AG5" i="69"/>
  <c r="AL5" i="69"/>
  <c r="S5" i="69"/>
  <c r="N5" i="69"/>
  <c r="O5" i="69"/>
  <c r="J5" i="69"/>
  <c r="AP4" i="69"/>
  <c r="AI4" i="69"/>
  <c r="AK4" i="69"/>
  <c r="AK15" i="69"/>
  <c r="AF4" i="69"/>
  <c r="Z4" i="69"/>
  <c r="AB4" i="69"/>
  <c r="AB15" i="69"/>
  <c r="S4" i="69"/>
  <c r="N4" i="69"/>
  <c r="O4" i="69"/>
  <c r="J4" i="69"/>
  <c r="AG8" i="69"/>
  <c r="AG10" i="69"/>
  <c r="AF15" i="69"/>
  <c r="AI15" i="69"/>
  <c r="AE15" i="69"/>
  <c r="AA15" i="69"/>
  <c r="AG12" i="69"/>
  <c r="AL12" i="69"/>
  <c r="AQ12" i="69"/>
  <c r="AP13" i="69"/>
  <c r="AQ13" i="69"/>
  <c r="AL8" i="69"/>
  <c r="AQ8" i="69"/>
  <c r="AG9" i="69"/>
  <c r="AL9" i="69"/>
  <c r="AQ9" i="69"/>
  <c r="AL10" i="69"/>
  <c r="AQ10" i="69"/>
  <c r="AG11" i="69"/>
  <c r="AL11" i="69"/>
  <c r="AQ11" i="69"/>
  <c r="AG4" i="69"/>
  <c r="Z15" i="69"/>
  <c r="AD15" i="69"/>
  <c r="AH15" i="69"/>
  <c r="AJ15" i="69"/>
  <c r="AN15" i="69"/>
  <c r="AP5" i="69"/>
  <c r="AQ5" i="69"/>
  <c r="AP15" i="69"/>
  <c r="AG15" i="69"/>
  <c r="AL4" i="69"/>
  <c r="AQ4" i="69"/>
  <c r="AQ15" i="69"/>
  <c r="AL15" i="69"/>
  <c r="E70" i="68"/>
  <c r="E74" i="68"/>
  <c r="F73" i="68"/>
  <c r="J72" i="68"/>
  <c r="F72" i="68"/>
  <c r="F74" i="68"/>
  <c r="J71" i="68"/>
  <c r="F68" i="68"/>
  <c r="E68" i="68"/>
  <c r="J67" i="68"/>
  <c r="J66" i="68"/>
  <c r="J65" i="68"/>
  <c r="F64" i="68"/>
  <c r="E64" i="68"/>
  <c r="J63" i="68"/>
  <c r="J62" i="68"/>
  <c r="J61" i="68"/>
  <c r="J60" i="68"/>
  <c r="J59" i="68"/>
  <c r="J58" i="68"/>
  <c r="J57" i="68"/>
  <c r="J56" i="68"/>
  <c r="J55" i="68"/>
  <c r="J54" i="68"/>
  <c r="J53" i="68"/>
  <c r="J52" i="68"/>
  <c r="J51" i="68"/>
  <c r="J50" i="68"/>
  <c r="J49" i="68"/>
  <c r="J48" i="68"/>
  <c r="J47" i="68"/>
  <c r="J46" i="68"/>
  <c r="J45" i="68"/>
  <c r="J44" i="68"/>
  <c r="E43" i="68"/>
  <c r="F42" i="68"/>
  <c r="F38" i="68"/>
  <c r="J37" i="68"/>
  <c r="F37" i="68"/>
  <c r="F34" i="68"/>
  <c r="E34" i="68"/>
  <c r="E32" i="68"/>
  <c r="J31" i="68"/>
  <c r="J30" i="68"/>
  <c r="F30" i="68"/>
  <c r="E30" i="68"/>
  <c r="F29" i="68"/>
  <c r="F28" i="68"/>
  <c r="J25" i="68"/>
  <c r="F25" i="68"/>
  <c r="F35" i="68"/>
  <c r="J19" i="68"/>
  <c r="J18" i="68"/>
  <c r="F18" i="68"/>
  <c r="J16" i="68"/>
  <c r="F14" i="68"/>
  <c r="J13" i="68"/>
  <c r="F13" i="68"/>
  <c r="F23" i="68"/>
  <c r="E13" i="68"/>
  <c r="E23" i="68"/>
  <c r="E12" i="68"/>
  <c r="J11" i="68"/>
  <c r="F11" i="68"/>
  <c r="J10" i="68"/>
  <c r="J7" i="68"/>
  <c r="F7" i="68"/>
  <c r="F12" i="68"/>
  <c r="E6" i="68"/>
  <c r="F5" i="68"/>
  <c r="F6" i="68"/>
  <c r="G38" i="67"/>
  <c r="D38" i="67"/>
  <c r="C38" i="67"/>
  <c r="G31" i="67"/>
  <c r="D31" i="67"/>
  <c r="C31" i="67"/>
  <c r="G23" i="67"/>
  <c r="D23" i="67"/>
  <c r="C23" i="67"/>
  <c r="G17" i="67"/>
  <c r="G42" i="67"/>
  <c r="G43" i="67"/>
  <c r="D17" i="67"/>
  <c r="C17" i="67"/>
  <c r="C42" i="67"/>
  <c r="D10" i="67"/>
  <c r="C10" i="67"/>
  <c r="I7" i="65"/>
  <c r="E28" i="65"/>
  <c r="C21" i="65"/>
  <c r="E19" i="65"/>
  <c r="C36" i="65"/>
  <c r="E25" i="65"/>
  <c r="C22" i="65"/>
  <c r="F19" i="65"/>
  <c r="F16" i="65"/>
  <c r="E15" i="65"/>
  <c r="C15" i="65"/>
  <c r="M10" i="65"/>
  <c r="H10" i="65"/>
  <c r="P9" i="65"/>
  <c r="O10" i="65"/>
  <c r="D42" i="67"/>
  <c r="D43" i="67"/>
  <c r="E35" i="68"/>
  <c r="E69" i="68"/>
  <c r="E75" i="68"/>
  <c r="F43" i="68"/>
  <c r="F69" i="68"/>
  <c r="F75" i="68"/>
  <c r="C43" i="67"/>
  <c r="E24" i="65"/>
  <c r="C29" i="35"/>
  <c r="I29" i="35"/>
  <c r="D87" i="35"/>
  <c r="E87" i="35"/>
  <c r="J29" i="35"/>
  <c r="E20" i="43"/>
  <c r="AH5" i="59"/>
  <c r="AG5" i="59"/>
  <c r="AE5" i="59"/>
  <c r="AF5" i="59"/>
  <c r="AD5" i="59"/>
  <c r="Q5" i="59"/>
  <c r="P5" i="59"/>
  <c r="O5" i="59"/>
  <c r="N5" i="59"/>
  <c r="D29" i="43"/>
  <c r="D39" i="43"/>
  <c r="H39" i="43"/>
  <c r="G13" i="61"/>
  <c r="F13" i="61"/>
  <c r="E13" i="61"/>
  <c r="G14" i="61"/>
  <c r="F14" i="61"/>
  <c r="E14" i="61"/>
  <c r="G15" i="61"/>
  <c r="F15" i="61"/>
  <c r="E15" i="61"/>
  <c r="E16" i="61"/>
  <c r="F16" i="61"/>
  <c r="G16" i="61"/>
  <c r="G17" i="61"/>
  <c r="F17" i="61"/>
  <c r="E17" i="61"/>
  <c r="AH6" i="59"/>
  <c r="AG6" i="59"/>
  <c r="AE6" i="59"/>
  <c r="AF6" i="59"/>
  <c r="AD6" i="59"/>
  <c r="Q6" i="59"/>
  <c r="P6" i="59"/>
  <c r="O6" i="59"/>
  <c r="N6" i="59"/>
  <c r="AH7" i="59"/>
  <c r="AG7" i="59"/>
  <c r="AE7" i="59"/>
  <c r="AF7" i="59"/>
  <c r="AD7" i="59"/>
  <c r="Q7" i="59"/>
  <c r="P7" i="59"/>
  <c r="O7" i="59"/>
  <c r="N7" i="59"/>
  <c r="D15" i="48"/>
  <c r="I1" i="4"/>
  <c r="F61" i="57"/>
  <c r="F59" i="9"/>
  <c r="E61" i="57"/>
  <c r="K42" i="40"/>
  <c r="K47" i="39"/>
  <c r="K36" i="36"/>
  <c r="K38" i="35"/>
  <c r="K42" i="37"/>
  <c r="K49" i="34"/>
  <c r="K48" i="33"/>
  <c r="K48" i="21"/>
  <c r="E59" i="9"/>
  <c r="B14" i="62"/>
  <c r="B1" i="62"/>
  <c r="F112" i="9"/>
  <c r="I112" i="9"/>
  <c r="D127" i="9"/>
  <c r="H14" i="62"/>
  <c r="B7" i="62"/>
  <c r="C7" i="62"/>
  <c r="A14" i="55"/>
  <c r="I108" i="57"/>
  <c r="I106" i="9"/>
  <c r="AH8" i="59"/>
  <c r="AG8" i="59"/>
  <c r="AE8" i="59"/>
  <c r="AF8" i="59"/>
  <c r="AD8" i="59"/>
  <c r="Q8" i="59"/>
  <c r="P8" i="59"/>
  <c r="O8" i="59"/>
  <c r="N8" i="59"/>
  <c r="AH9" i="59"/>
  <c r="AG9" i="59"/>
  <c r="AE9" i="59"/>
  <c r="AF9" i="59"/>
  <c r="AD9" i="59"/>
  <c r="Q9" i="59"/>
  <c r="P9" i="59"/>
  <c r="O9" i="59"/>
  <c r="N9" i="59"/>
  <c r="O11" i="59"/>
  <c r="N11" i="59"/>
  <c r="AH10" i="59"/>
  <c r="AG10" i="59"/>
  <c r="AE10" i="59"/>
  <c r="AF10" i="59"/>
  <c r="AD10" i="59"/>
  <c r="Q10" i="59"/>
  <c r="Q11" i="59"/>
  <c r="P10" i="59"/>
  <c r="P11" i="59"/>
  <c r="O10" i="59"/>
  <c r="N10" i="59"/>
  <c r="B2" i="48"/>
  <c r="B5" i="48" s="1"/>
  <c r="D5" i="48" s="1"/>
  <c r="O12" i="59"/>
  <c r="O13" i="59"/>
  <c r="N12" i="59"/>
  <c r="N13" i="59"/>
  <c r="AH11" i="59"/>
  <c r="AG11" i="59"/>
  <c r="AE11" i="59"/>
  <c r="AF11" i="59"/>
  <c r="AD11" i="59"/>
  <c r="Q12" i="59"/>
  <c r="Q13" i="59"/>
  <c r="P12" i="59"/>
  <c r="P13" i="59"/>
  <c r="AH12" i="59"/>
  <c r="AG12" i="59"/>
  <c r="AE12" i="59"/>
  <c r="AF12" i="59"/>
  <c r="AD12" i="59"/>
  <c r="M15" i="45"/>
  <c r="L15" i="45"/>
  <c r="K15" i="45"/>
  <c r="J15" i="45"/>
  <c r="I15" i="45"/>
  <c r="H15" i="45"/>
  <c r="G15" i="45"/>
  <c r="F15" i="45"/>
  <c r="E15" i="45"/>
  <c r="D15" i="45"/>
  <c r="C15" i="45"/>
  <c r="B15" i="45"/>
  <c r="AH13" i="59"/>
  <c r="AG13" i="59"/>
  <c r="AE13" i="59"/>
  <c r="AF13" i="59"/>
  <c r="AD13" i="59"/>
  <c r="AH14" i="59"/>
  <c r="AG14" i="59"/>
  <c r="AE14" i="59"/>
  <c r="AF14" i="59"/>
  <c r="AD14" i="59"/>
  <c r="Q14" i="59"/>
  <c r="P14" i="59"/>
  <c r="O14" i="59"/>
  <c r="N14" i="59"/>
  <c r="L3" i="59"/>
  <c r="AH3" i="59"/>
  <c r="K3" i="59"/>
  <c r="AG3" i="59"/>
  <c r="J3" i="59"/>
  <c r="AE3" i="59"/>
  <c r="I3" i="59"/>
  <c r="AD3" i="59"/>
  <c r="AH15" i="59"/>
  <c r="AG15" i="59"/>
  <c r="AE15" i="59"/>
  <c r="AF15" i="59"/>
  <c r="AD15" i="59"/>
  <c r="Q15" i="59"/>
  <c r="Q16" i="59"/>
  <c r="P15" i="59"/>
  <c r="P16" i="59"/>
  <c r="O15" i="59"/>
  <c r="O16" i="59"/>
  <c r="N15" i="59"/>
  <c r="N16" i="59"/>
  <c r="N17" i="59"/>
  <c r="O17" i="59"/>
  <c r="P17" i="59"/>
  <c r="Q17" i="59"/>
  <c r="AD16" i="59"/>
  <c r="AE16" i="59"/>
  <c r="AF16" i="59"/>
  <c r="AG16" i="59"/>
  <c r="AH16" i="59"/>
  <c r="M48" i="15"/>
  <c r="B24" i="1"/>
  <c r="J50" i="15"/>
  <c r="J51" i="15"/>
  <c r="B26" i="1"/>
  <c r="E19" i="1"/>
  <c r="AH17" i="59"/>
  <c r="AG17" i="59"/>
  <c r="AE17" i="59"/>
  <c r="AF17" i="59"/>
  <c r="AD17" i="59"/>
  <c r="AH18" i="59"/>
  <c r="AG18" i="59"/>
  <c r="AE18" i="59"/>
  <c r="AF18" i="59"/>
  <c r="AD18" i="59"/>
  <c r="Q18" i="59"/>
  <c r="F18" i="59"/>
  <c r="F17" i="59"/>
  <c r="F16" i="59"/>
  <c r="P18" i="59"/>
  <c r="O18" i="59"/>
  <c r="N18" i="59"/>
  <c r="Q19" i="59"/>
  <c r="P19" i="59"/>
  <c r="O19" i="59"/>
  <c r="N19" i="59"/>
  <c r="D19" i="59"/>
  <c r="E18" i="59"/>
  <c r="E17" i="59"/>
  <c r="E16" i="59"/>
  <c r="E15" i="59"/>
  <c r="E14" i="59"/>
  <c r="E13" i="59"/>
  <c r="E12" i="59"/>
  <c r="E11" i="59"/>
  <c r="E10" i="59"/>
  <c r="C18" i="59"/>
  <c r="C17" i="59"/>
  <c r="A2" i="50"/>
  <c r="K60" i="15"/>
  <c r="P59" i="15"/>
  <c r="A127" i="57"/>
  <c r="A123" i="9"/>
  <c r="A16" i="54"/>
  <c r="B14" i="60"/>
  <c r="A14" i="54"/>
  <c r="B12" i="60"/>
  <c r="A19" i="55"/>
  <c r="A13" i="55"/>
  <c r="A1" i="52"/>
  <c r="A4" i="50"/>
  <c r="P20" i="59"/>
  <c r="O20" i="59"/>
  <c r="N20" i="59"/>
  <c r="Q20"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c r="B3" i="62"/>
  <c r="O21" i="59"/>
  <c r="P21" i="59"/>
  <c r="Q21" i="59"/>
  <c r="N21"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H33" i="59"/>
  <c r="AG33" i="59"/>
  <c r="AE33" i="59"/>
  <c r="AD33" i="59"/>
  <c r="AF33" i="59"/>
  <c r="AD34" i="59"/>
  <c r="AE34" i="59"/>
  <c r="AF34" i="59"/>
  <c r="AG34" i="59"/>
  <c r="AH34" i="59"/>
  <c r="S5" i="31"/>
  <c r="M5" i="31"/>
  <c r="N5" i="31"/>
  <c r="O5" i="31"/>
  <c r="P5" i="31"/>
  <c r="Q5" i="31"/>
  <c r="R5" i="31"/>
  <c r="C1" i="61"/>
  <c r="L1" i="61"/>
  <c r="B68" i="60"/>
  <c r="D28" i="57"/>
  <c r="D29" i="57"/>
  <c r="D28" i="9"/>
  <c r="D29" i="9"/>
  <c r="A6" i="52"/>
  <c r="B64" i="60"/>
  <c r="A10" i="54"/>
  <c r="B9" i="60"/>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c r="A112" i="9"/>
  <c r="A125" i="9"/>
  <c r="F110" i="9"/>
  <c r="F116" i="57"/>
  <c r="A133" i="57"/>
  <c r="A120" i="57"/>
  <c r="A116" i="9"/>
  <c r="F114" i="57"/>
  <c r="A118" i="57"/>
  <c r="A131" i="57"/>
  <c r="A114" i="9"/>
  <c r="A127" i="9"/>
  <c r="F114" i="9"/>
  <c r="A129" i="9"/>
  <c r="A12" i="52"/>
  <c r="B67" i="60"/>
  <c r="B45" i="50"/>
  <c r="B59" i="60"/>
  <c r="D2" i="52"/>
  <c r="B60" i="60"/>
  <c r="B18" i="50"/>
  <c r="B10" i="50"/>
  <c r="B31" i="50"/>
  <c r="C6" i="50"/>
  <c r="B18" i="60"/>
  <c r="A13" i="54"/>
  <c r="B10" i="60"/>
  <c r="B51" i="60"/>
  <c r="B50" i="60"/>
  <c r="B47" i="60"/>
  <c r="B16" i="60"/>
  <c r="B51" i="10"/>
  <c r="B49" i="60"/>
  <c r="A15" i="55"/>
  <c r="B45" i="60"/>
  <c r="B44" i="60"/>
  <c r="B43" i="60"/>
  <c r="C10" i="50"/>
  <c r="B24" i="60"/>
  <c r="C7" i="50"/>
  <c r="C15" i="50"/>
  <c r="C35" i="50"/>
  <c r="C34" i="50"/>
  <c r="C33" i="50"/>
  <c r="B13" i="60"/>
  <c r="C42" i="50"/>
  <c r="C36" i="50"/>
  <c r="C39" i="50"/>
  <c r="I19" i="43"/>
  <c r="A136" i="57"/>
  <c r="F119" i="57"/>
  <c r="D83" i="59"/>
  <c r="F82" i="59"/>
  <c r="F81" i="59"/>
  <c r="F80" i="59"/>
  <c r="E82" i="59"/>
  <c r="E81" i="59"/>
  <c r="E80" i="59"/>
  <c r="C82" i="59"/>
  <c r="D82" i="59"/>
  <c r="B82" i="59"/>
  <c r="B81" i="59"/>
  <c r="B80" i="59"/>
  <c r="D79" i="59"/>
  <c r="F78" i="59"/>
  <c r="E78" i="59"/>
  <c r="E77" i="59"/>
  <c r="E76" i="59"/>
  <c r="C78" i="59"/>
  <c r="D78" i="59"/>
  <c r="B78" i="59"/>
  <c r="F77" i="59"/>
  <c r="F76" i="59"/>
  <c r="B77" i="59"/>
  <c r="B76" i="59"/>
  <c r="D75" i="59"/>
  <c r="Q74" i="59"/>
  <c r="P74" i="59"/>
  <c r="O74" i="59"/>
  <c r="N74" i="59"/>
  <c r="F74" i="59"/>
  <c r="E74" i="59"/>
  <c r="U74" i="59"/>
  <c r="C74" i="59"/>
  <c r="T74" i="59"/>
  <c r="B74" i="59"/>
  <c r="Q73" i="59"/>
  <c r="P73" i="59"/>
  <c r="O73" i="59"/>
  <c r="N73" i="59"/>
  <c r="Q72" i="59"/>
  <c r="P72" i="59"/>
  <c r="O72" i="59"/>
  <c r="N72" i="59"/>
  <c r="Q71" i="59"/>
  <c r="P71" i="59"/>
  <c r="O71" i="59"/>
  <c r="N71" i="59"/>
  <c r="D71" i="59"/>
  <c r="B70" i="59"/>
  <c r="S70" i="59"/>
  <c r="Q70" i="59"/>
  <c r="P70" i="59"/>
  <c r="O70" i="59"/>
  <c r="N70" i="59"/>
  <c r="F70" i="59"/>
  <c r="V70" i="59"/>
  <c r="E70" i="59"/>
  <c r="U70" i="59"/>
  <c r="C70" i="59"/>
  <c r="T70" i="59"/>
  <c r="Q69" i="59"/>
  <c r="P69" i="59"/>
  <c r="O69" i="59"/>
  <c r="N69" i="59"/>
  <c r="F69" i="59"/>
  <c r="F68" i="59"/>
  <c r="B69" i="59"/>
  <c r="B68" i="59"/>
  <c r="Q68" i="59"/>
  <c r="P68" i="59"/>
  <c r="O68" i="59"/>
  <c r="N68" i="59"/>
  <c r="Q67" i="59"/>
  <c r="P67" i="59"/>
  <c r="O67" i="59"/>
  <c r="N67" i="59"/>
  <c r="D67" i="59"/>
  <c r="Q66" i="59"/>
  <c r="P66" i="59"/>
  <c r="O66" i="59"/>
  <c r="N66" i="59"/>
  <c r="F66" i="59"/>
  <c r="E66" i="59"/>
  <c r="C66" i="59"/>
  <c r="B66" i="59"/>
  <c r="Q65" i="59"/>
  <c r="P65" i="59"/>
  <c r="O65" i="59"/>
  <c r="N65" i="59"/>
  <c r="Q64" i="59"/>
  <c r="P64" i="59"/>
  <c r="O64" i="59"/>
  <c r="N64" i="59"/>
  <c r="Q63" i="59"/>
  <c r="P63" i="59"/>
  <c r="O63" i="59"/>
  <c r="N63" i="59"/>
  <c r="D63" i="59"/>
  <c r="F62" i="59"/>
  <c r="E62" i="59"/>
  <c r="E61" i="59"/>
  <c r="E60" i="59"/>
  <c r="P59" i="59"/>
  <c r="C62" i="59"/>
  <c r="B62" i="59"/>
  <c r="B61" i="59"/>
  <c r="D59" i="59"/>
  <c r="Q58" i="59"/>
  <c r="P58" i="59"/>
  <c r="O58" i="59"/>
  <c r="N58" i="59"/>
  <c r="Q57" i="59"/>
  <c r="P57" i="59"/>
  <c r="O57" i="59"/>
  <c r="N57" i="59"/>
  <c r="Q56" i="59"/>
  <c r="P56" i="59"/>
  <c r="O56" i="59"/>
  <c r="N56" i="59"/>
  <c r="Q55" i="59"/>
  <c r="F56" i="59"/>
  <c r="F57" i="59"/>
  <c r="F58" i="59"/>
  <c r="V58" i="59"/>
  <c r="P55" i="59"/>
  <c r="E56" i="59"/>
  <c r="O55" i="59"/>
  <c r="C56" i="59"/>
  <c r="N55" i="59"/>
  <c r="B56" i="59"/>
  <c r="B57" i="59"/>
  <c r="B58" i="59"/>
  <c r="S58" i="59"/>
  <c r="D55" i="59"/>
  <c r="Q54" i="59"/>
  <c r="P54" i="59"/>
  <c r="O54" i="59"/>
  <c r="N54" i="59"/>
  <c r="Q53" i="59"/>
  <c r="P53" i="59"/>
  <c r="O53" i="59"/>
  <c r="N53" i="59"/>
  <c r="Q52" i="59"/>
  <c r="P52" i="59"/>
  <c r="O52" i="59"/>
  <c r="N52" i="59"/>
  <c r="Q51" i="59"/>
  <c r="F52" i="59"/>
  <c r="F53" i="59"/>
  <c r="F54" i="59"/>
  <c r="V54" i="59"/>
  <c r="P51" i="59"/>
  <c r="E52" i="59"/>
  <c r="E53" i="59"/>
  <c r="E54" i="59"/>
  <c r="U54" i="59"/>
  <c r="O51" i="59"/>
  <c r="C52" i="59"/>
  <c r="N51" i="59"/>
  <c r="B52" i="59"/>
  <c r="B53" i="59"/>
  <c r="B54" i="59"/>
  <c r="S54" i="59"/>
  <c r="D51" i="59"/>
  <c r="Q50" i="59"/>
  <c r="P50" i="59"/>
  <c r="O50" i="59"/>
  <c r="N50" i="59"/>
  <c r="Q49" i="59"/>
  <c r="P49" i="59"/>
  <c r="O49" i="59"/>
  <c r="N49" i="59"/>
  <c r="Q48" i="59"/>
  <c r="P48" i="59"/>
  <c r="O48" i="59"/>
  <c r="N48" i="59"/>
  <c r="Q47" i="59"/>
  <c r="F48" i="59"/>
  <c r="F49" i="59"/>
  <c r="F50" i="59"/>
  <c r="V50" i="59"/>
  <c r="P47" i="59"/>
  <c r="E48" i="59"/>
  <c r="O47" i="59"/>
  <c r="C48" i="59"/>
  <c r="N47" i="59"/>
  <c r="B48" i="59"/>
  <c r="B49" i="59"/>
  <c r="B50" i="59"/>
  <c r="S50" i="59"/>
  <c r="D47" i="59"/>
  <c r="Q46" i="59"/>
  <c r="P46" i="59"/>
  <c r="O46" i="59"/>
  <c r="N46" i="59"/>
  <c r="Q45" i="59"/>
  <c r="P45" i="59"/>
  <c r="O45" i="59"/>
  <c r="N45" i="59"/>
  <c r="Q44" i="59"/>
  <c r="P44" i="59"/>
  <c r="O44" i="59"/>
  <c r="N44" i="59"/>
  <c r="Q43" i="59"/>
  <c r="F44" i="59"/>
  <c r="F45" i="59"/>
  <c r="F46" i="59"/>
  <c r="V46" i="59"/>
  <c r="P43" i="59"/>
  <c r="E44" i="59"/>
  <c r="E45" i="59"/>
  <c r="E46" i="59"/>
  <c r="U46" i="59"/>
  <c r="O43" i="59"/>
  <c r="C44" i="59"/>
  <c r="N43" i="59"/>
  <c r="B44" i="59"/>
  <c r="B45" i="59"/>
  <c r="B46" i="59"/>
  <c r="S46" i="59"/>
  <c r="D43" i="59"/>
  <c r="T42" i="59"/>
  <c r="Q42" i="59"/>
  <c r="P42" i="59"/>
  <c r="O42" i="59"/>
  <c r="N42" i="59"/>
  <c r="D42" i="59"/>
  <c r="Q41" i="59"/>
  <c r="P41" i="59"/>
  <c r="O41" i="59"/>
  <c r="N41" i="59"/>
  <c r="Q40" i="59"/>
  <c r="P40" i="59"/>
  <c r="O40" i="59"/>
  <c r="N40" i="59"/>
  <c r="Q39" i="59"/>
  <c r="F40" i="59"/>
  <c r="F41" i="59"/>
  <c r="F42" i="59"/>
  <c r="V42" i="59"/>
  <c r="P39" i="59"/>
  <c r="E40" i="59"/>
  <c r="E41" i="59"/>
  <c r="E42" i="59"/>
  <c r="U42" i="59"/>
  <c r="O39" i="59"/>
  <c r="C40" i="59"/>
  <c r="N39" i="59"/>
  <c r="B40" i="59"/>
  <c r="B41" i="59"/>
  <c r="B42" i="59"/>
  <c r="S42" i="59"/>
  <c r="D39" i="59"/>
  <c r="Q38" i="59"/>
  <c r="P38" i="59"/>
  <c r="O38" i="59"/>
  <c r="N38" i="59"/>
  <c r="Q37" i="59"/>
  <c r="P37" i="59"/>
  <c r="O37" i="59"/>
  <c r="N37" i="59"/>
  <c r="Q36" i="59"/>
  <c r="P36" i="59"/>
  <c r="O36" i="59"/>
  <c r="N36" i="59"/>
  <c r="Q35" i="59"/>
  <c r="F36" i="59"/>
  <c r="F37" i="59"/>
  <c r="F38" i="59"/>
  <c r="V38" i="59"/>
  <c r="P35" i="59"/>
  <c r="E36" i="59"/>
  <c r="E37" i="59"/>
  <c r="E38" i="59"/>
  <c r="U38" i="59"/>
  <c r="O35" i="59"/>
  <c r="C36" i="59"/>
  <c r="N35" i="59"/>
  <c r="B36" i="59"/>
  <c r="B37" i="59"/>
  <c r="B38" i="59"/>
  <c r="S38" i="59"/>
  <c r="D35" i="59"/>
  <c r="Q34" i="59"/>
  <c r="P34" i="59"/>
  <c r="O34" i="59"/>
  <c r="N34" i="59"/>
  <c r="Q33" i="59"/>
  <c r="AB33" i="59"/>
  <c r="P33" i="59"/>
  <c r="AA33" i="59"/>
  <c r="O33" i="59"/>
  <c r="Y33" i="59"/>
  <c r="Z33" i="59"/>
  <c r="N33" i="59"/>
  <c r="X33" i="59"/>
  <c r="Q32" i="59"/>
  <c r="P32" i="59"/>
  <c r="AA32" i="59"/>
  <c r="O32" i="59"/>
  <c r="Y32" i="59"/>
  <c r="Z32" i="59"/>
  <c r="N32" i="59"/>
  <c r="X32" i="59"/>
  <c r="Q31" i="59"/>
  <c r="P31" i="59"/>
  <c r="AA31" i="59"/>
  <c r="O31" i="59"/>
  <c r="Y31" i="59"/>
  <c r="Z31" i="59"/>
  <c r="C32" i="59"/>
  <c r="N31" i="59"/>
  <c r="B32" i="59"/>
  <c r="B33" i="59"/>
  <c r="B34" i="59"/>
  <c r="S34" i="59"/>
  <c r="D31" i="59"/>
  <c r="Q30" i="59"/>
  <c r="AB30" i="59"/>
  <c r="P30" i="59"/>
  <c r="AA30" i="59"/>
  <c r="O30" i="59"/>
  <c r="Y30" i="59"/>
  <c r="Z30" i="59"/>
  <c r="N30" i="59"/>
  <c r="X30" i="59"/>
  <c r="Q29" i="59"/>
  <c r="AB29" i="59"/>
  <c r="P29" i="59"/>
  <c r="AA29" i="59"/>
  <c r="O29" i="59"/>
  <c r="Y29" i="59"/>
  <c r="Z29" i="59"/>
  <c r="N29" i="59"/>
  <c r="X29" i="59"/>
  <c r="Q28" i="59"/>
  <c r="AB28" i="59"/>
  <c r="P28" i="59"/>
  <c r="AA28" i="59"/>
  <c r="O28" i="59"/>
  <c r="Y28" i="59"/>
  <c r="Z28" i="59"/>
  <c r="N28" i="59"/>
  <c r="X28" i="59"/>
  <c r="Q27" i="59"/>
  <c r="AB27" i="59"/>
  <c r="P27" i="59"/>
  <c r="AA27" i="59"/>
  <c r="O27" i="59"/>
  <c r="Y27" i="59"/>
  <c r="Z27" i="59"/>
  <c r="N27" i="59"/>
  <c r="X27" i="59"/>
  <c r="D27" i="59"/>
  <c r="Q26" i="59"/>
  <c r="P26" i="59"/>
  <c r="AA26" i="59"/>
  <c r="O26" i="59"/>
  <c r="N26" i="59"/>
  <c r="X26" i="59"/>
  <c r="Q25" i="59"/>
  <c r="AB25" i="59"/>
  <c r="P25" i="59"/>
  <c r="AA25" i="59"/>
  <c r="O25" i="59"/>
  <c r="Y25" i="59"/>
  <c r="Z25" i="59"/>
  <c r="N25" i="59"/>
  <c r="X25" i="59"/>
  <c r="Q24" i="59"/>
  <c r="AB24" i="59"/>
  <c r="P24" i="59"/>
  <c r="AA24" i="59"/>
  <c r="O24" i="59"/>
  <c r="Y24" i="59"/>
  <c r="Z24" i="59"/>
  <c r="N24" i="59"/>
  <c r="X24" i="59"/>
  <c r="Q23" i="59"/>
  <c r="AB23" i="59"/>
  <c r="P23" i="59"/>
  <c r="AA23" i="59"/>
  <c r="O23" i="59"/>
  <c r="Y23" i="59"/>
  <c r="Z23" i="59"/>
  <c r="C24" i="59"/>
  <c r="N23" i="59"/>
  <c r="X23" i="59"/>
  <c r="D23" i="59"/>
  <c r="O22" i="59"/>
  <c r="N22" i="59"/>
  <c r="C22" i="59"/>
  <c r="T22" i="59"/>
  <c r="Y19" i="59"/>
  <c r="Z19" i="59"/>
  <c r="Y20" i="59"/>
  <c r="Z20" i="59"/>
  <c r="Y22" i="59"/>
  <c r="Z22" i="59"/>
  <c r="Y21" i="59"/>
  <c r="Z21" i="59"/>
  <c r="B22" i="59"/>
  <c r="X22" i="59"/>
  <c r="X21" i="59"/>
  <c r="X19" i="59"/>
  <c r="X20" i="59"/>
  <c r="C25" i="59"/>
  <c r="D24" i="59"/>
  <c r="C33" i="59"/>
  <c r="D32" i="59"/>
  <c r="C37" i="59"/>
  <c r="D36" i="59"/>
  <c r="C45" i="59"/>
  <c r="D44" i="59"/>
  <c r="P22" i="59"/>
  <c r="P60" i="59"/>
  <c r="U66" i="59"/>
  <c r="E65" i="59"/>
  <c r="E64" i="59"/>
  <c r="Q22" i="59"/>
  <c r="N61" i="59"/>
  <c r="B60" i="59"/>
  <c r="T62" i="59"/>
  <c r="O62" i="59"/>
  <c r="D62" i="59"/>
  <c r="C61" i="59"/>
  <c r="T66" i="59"/>
  <c r="D66" i="59"/>
  <c r="C65" i="59"/>
  <c r="Q62" i="59"/>
  <c r="C69" i="59"/>
  <c r="E69" i="59"/>
  <c r="E68" i="59"/>
  <c r="D70" i="59"/>
  <c r="C73" i="59"/>
  <c r="E73" i="59"/>
  <c r="E72" i="59"/>
  <c r="D74" i="59"/>
  <c r="C77" i="59"/>
  <c r="C81" i="59"/>
  <c r="B21" i="59"/>
  <c r="B20" i="59"/>
  <c r="S22" i="59"/>
  <c r="F22" i="59"/>
  <c r="AB3" i="59"/>
  <c r="AB19" i="59"/>
  <c r="AB20" i="59"/>
  <c r="AB21" i="59"/>
  <c r="AB22" i="59"/>
  <c r="E22" i="59"/>
  <c r="AA20" i="59"/>
  <c r="AA21" i="59"/>
  <c r="AA22" i="59"/>
  <c r="AA3" i="59"/>
  <c r="AA19" i="59"/>
  <c r="C21" i="59"/>
  <c r="C20" i="59"/>
  <c r="D22" i="59"/>
  <c r="D77" i="59"/>
  <c r="C76" i="59"/>
  <c r="D76" i="59"/>
  <c r="D69" i="59"/>
  <c r="C68" i="59"/>
  <c r="D68" i="59"/>
  <c r="C64" i="59"/>
  <c r="D64" i="59"/>
  <c r="D65" i="59"/>
  <c r="C46" i="59"/>
  <c r="D45" i="59"/>
  <c r="D81" i="59"/>
  <c r="C80" i="59"/>
  <c r="D80" i="59"/>
  <c r="D73" i="59"/>
  <c r="C72" i="59"/>
  <c r="D72" i="59"/>
  <c r="C60" i="59"/>
  <c r="O61" i="59"/>
  <c r="D61" i="59"/>
  <c r="N59" i="59"/>
  <c r="N60" i="59"/>
  <c r="C38" i="59"/>
  <c r="D38" i="59"/>
  <c r="D37" i="59"/>
  <c r="C34" i="59"/>
  <c r="D34" i="59"/>
  <c r="D33" i="59"/>
  <c r="C26" i="59"/>
  <c r="D26" i="59"/>
  <c r="D25" i="59"/>
  <c r="D21" i="59"/>
  <c r="D20" i="59"/>
  <c r="E21" i="59"/>
  <c r="E20" i="59"/>
  <c r="U22" i="59"/>
  <c r="F21" i="59"/>
  <c r="F20" i="59"/>
  <c r="V22" i="59"/>
  <c r="O60" i="59"/>
  <c r="D60" i="59"/>
  <c r="O59" i="59"/>
  <c r="T46" i="59"/>
  <c r="D46" i="59"/>
  <c r="T26" i="59"/>
  <c r="T38" i="59"/>
  <c r="Q25" i="40"/>
  <c r="Z25" i="40"/>
  <c r="D94" i="40"/>
  <c r="E94" i="40"/>
  <c r="F94" i="40"/>
  <c r="G94" i="40"/>
  <c r="H25" i="40"/>
  <c r="U25" i="40"/>
  <c r="F25" i="40"/>
  <c r="AA25" i="40"/>
  <c r="Q27" i="39"/>
  <c r="Z27" i="39"/>
  <c r="D101" i="39"/>
  <c r="E101" i="39"/>
  <c r="F101" i="39"/>
  <c r="G101" i="39"/>
  <c r="Q18" i="36"/>
  <c r="Z18" i="36"/>
  <c r="F18" i="36"/>
  <c r="AA18" i="36"/>
  <c r="C18" i="36"/>
  <c r="D66" i="36"/>
  <c r="E66" i="36"/>
  <c r="F66" i="36"/>
  <c r="G66" i="36"/>
  <c r="Q18" i="35"/>
  <c r="Z18" i="35"/>
  <c r="D68" i="35"/>
  <c r="E68" i="35"/>
  <c r="F68" i="35"/>
  <c r="G68" i="35"/>
  <c r="J18" i="35"/>
  <c r="AC18" i="35"/>
  <c r="H18" i="35"/>
  <c r="AB18" i="35"/>
  <c r="F18" i="35"/>
  <c r="AA18" i="35"/>
  <c r="C18" i="35"/>
  <c r="Q21" i="37"/>
  <c r="Z21" i="37"/>
  <c r="D77" i="37"/>
  <c r="E77" i="37"/>
  <c r="F77" i="37"/>
  <c r="G77" i="37"/>
  <c r="H21" i="37"/>
  <c r="AB21" i="37"/>
  <c r="F21" i="37"/>
  <c r="AA21" i="37"/>
  <c r="C21" i="37"/>
  <c r="Q21" i="34"/>
  <c r="Z21" i="34"/>
  <c r="D84" i="34"/>
  <c r="E84" i="34"/>
  <c r="F84" i="34"/>
  <c r="G84" i="34"/>
  <c r="C21" i="34"/>
  <c r="Q21" i="33"/>
  <c r="Z21" i="33"/>
  <c r="D83" i="33"/>
  <c r="E83" i="33"/>
  <c r="F83" i="33"/>
  <c r="G83" i="33"/>
  <c r="H21" i="33"/>
  <c r="AB21" i="33"/>
  <c r="F21" i="33"/>
  <c r="AA21" i="33"/>
  <c r="C21" i="33"/>
  <c r="Q21" i="21"/>
  <c r="Z21" i="21"/>
  <c r="D83" i="21"/>
  <c r="E83" i="21"/>
  <c r="F83" i="21"/>
  <c r="F21" i="21"/>
  <c r="AA21" i="21"/>
  <c r="C21" i="21"/>
  <c r="G20" i="20"/>
  <c r="B86" i="43"/>
  <c r="C22" i="20"/>
  <c r="B66" i="43"/>
  <c r="AB25" i="40"/>
  <c r="S25" i="40"/>
  <c r="S18" i="36"/>
  <c r="W18" i="35"/>
  <c r="S18" i="35"/>
  <c r="U21" i="37"/>
  <c r="U21" i="33"/>
  <c r="J25" i="40"/>
  <c r="J27" i="39"/>
  <c r="H27" i="39"/>
  <c r="F27" i="39"/>
  <c r="H18" i="36"/>
  <c r="J18" i="36"/>
  <c r="J21" i="37"/>
  <c r="J21" i="33"/>
  <c r="H21" i="21"/>
  <c r="F8" i="15"/>
  <c r="F52" i="15"/>
  <c r="F15" i="15"/>
  <c r="F16" i="15"/>
  <c r="F17" i="15"/>
  <c r="F18" i="15"/>
  <c r="F20" i="15"/>
  <c r="F23" i="15"/>
  <c r="D23" i="15"/>
  <c r="F26" i="15"/>
  <c r="F21" i="15"/>
  <c r="C21" i="15"/>
  <c r="F33" i="15"/>
  <c r="F62" i="15"/>
  <c r="F36" i="15"/>
  <c r="F65" i="15"/>
  <c r="F37" i="15"/>
  <c r="F66" i="15"/>
  <c r="F38" i="15"/>
  <c r="F67" i="15"/>
  <c r="M6" i="15"/>
  <c r="M8" i="15"/>
  <c r="M9" i="15"/>
  <c r="F6" i="15"/>
  <c r="G58" i="40"/>
  <c r="C58" i="40"/>
  <c r="M19" i="15"/>
  <c r="M24" i="15"/>
  <c r="M22" i="15"/>
  <c r="J15" i="15"/>
  <c r="M23" i="15"/>
  <c r="F9" i="15"/>
  <c r="C2" i="11"/>
  <c r="F2" i="11"/>
  <c r="C7" i="12"/>
  <c r="C8" i="12"/>
  <c r="C4" i="12"/>
  <c r="D20" i="12"/>
  <c r="D19" i="12"/>
  <c r="E19" i="12"/>
  <c r="C19" i="12"/>
  <c r="E20" i="12"/>
  <c r="C20" i="12"/>
  <c r="E13" i="1"/>
  <c r="C18" i="12"/>
  <c r="D17" i="12"/>
  <c r="D14" i="12"/>
  <c r="C2" i="12"/>
  <c r="B25" i="1"/>
  <c r="F28" i="12"/>
  <c r="B6" i="50"/>
  <c r="B17" i="60"/>
  <c r="B1" i="4"/>
  <c r="B9" i="49"/>
  <c r="B2" i="60"/>
  <c r="C27" i="58"/>
  <c r="C32" i="58"/>
  <c r="I23" i="58"/>
  <c r="D20" i="58"/>
  <c r="I19" i="58"/>
  <c r="I18" i="58"/>
  <c r="I17" i="58"/>
  <c r="I20" i="58"/>
  <c r="E15" i="58"/>
  <c r="I14" i="58"/>
  <c r="I13" i="58"/>
  <c r="I12" i="58"/>
  <c r="I15" i="58"/>
  <c r="I9" i="58"/>
  <c r="I8" i="58"/>
  <c r="I7" i="58"/>
  <c r="I6" i="58"/>
  <c r="I5" i="58"/>
  <c r="I4" i="58"/>
  <c r="I3" i="58"/>
  <c r="G57" i="40"/>
  <c r="C57" i="40"/>
  <c r="G56" i="40"/>
  <c r="C56" i="40"/>
  <c r="B21" i="50"/>
  <c r="B42" i="50"/>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G100" i="43"/>
  <c r="D100" i="43"/>
  <c r="H100" i="43"/>
  <c r="L100" i="43"/>
  <c r="B84" i="43"/>
  <c r="B83" i="43"/>
  <c r="B72" i="43"/>
  <c r="B61" i="43"/>
  <c r="B50" i="43"/>
  <c r="M78" i="43"/>
  <c r="N78" i="43"/>
  <c r="K78" i="43"/>
  <c r="J78" i="43"/>
  <c r="M77" i="43"/>
  <c r="N77" i="43"/>
  <c r="K77" i="43"/>
  <c r="J77" i="43"/>
  <c r="D77" i="43"/>
  <c r="M76" i="43"/>
  <c r="N76" i="43"/>
  <c r="K76" i="43"/>
  <c r="J76" i="43"/>
  <c r="D76" i="43"/>
  <c r="M75" i="43"/>
  <c r="N75" i="43"/>
  <c r="K75" i="43"/>
  <c r="J75" i="43"/>
  <c r="D75" i="43"/>
  <c r="M74" i="43"/>
  <c r="N74" i="43"/>
  <c r="K74" i="43"/>
  <c r="J74" i="43"/>
  <c r="D74" i="43"/>
  <c r="M73" i="43"/>
  <c r="N73" i="43"/>
  <c r="K73" i="43"/>
  <c r="J73" i="43"/>
  <c r="M72" i="43"/>
  <c r="N72" i="43"/>
  <c r="K72" i="43"/>
  <c r="J72" i="43"/>
  <c r="D72" i="43"/>
  <c r="M71" i="43"/>
  <c r="N71" i="43"/>
  <c r="K71" i="43"/>
  <c r="J71" i="43"/>
  <c r="D71" i="43"/>
  <c r="K70" i="43"/>
  <c r="D70" i="43"/>
  <c r="D73" i="43"/>
  <c r="D78" i="43"/>
  <c r="E70" i="43"/>
  <c r="B68" i="43"/>
  <c r="M70" i="43"/>
  <c r="N70" i="43"/>
  <c r="J70" i="43"/>
  <c r="M67" i="43"/>
  <c r="N67" i="43"/>
  <c r="K67" i="43"/>
  <c r="J67" i="43"/>
  <c r="D67" i="43"/>
  <c r="M66" i="43"/>
  <c r="N66" i="43"/>
  <c r="K66" i="43"/>
  <c r="J66" i="43"/>
  <c r="D66" i="43"/>
  <c r="M65" i="43"/>
  <c r="N65" i="43"/>
  <c r="K65" i="43"/>
  <c r="J65" i="43"/>
  <c r="D65" i="43"/>
  <c r="M64" i="43"/>
  <c r="N64" i="43"/>
  <c r="K64" i="43"/>
  <c r="J64" i="43"/>
  <c r="M63" i="43"/>
  <c r="N63" i="43"/>
  <c r="K63" i="43"/>
  <c r="J63" i="43"/>
  <c r="D63" i="43"/>
  <c r="M62" i="43"/>
  <c r="N62" i="43"/>
  <c r="K62" i="43"/>
  <c r="J62" i="43"/>
  <c r="M61" i="43"/>
  <c r="N61" i="43"/>
  <c r="K61" i="43"/>
  <c r="J61" i="43"/>
  <c r="D61" i="43"/>
  <c r="M60" i="43"/>
  <c r="N60" i="43"/>
  <c r="K60" i="43"/>
  <c r="J60" i="43"/>
  <c r="D60" i="43"/>
  <c r="K59" i="43"/>
  <c r="D59" i="43"/>
  <c r="D62" i="43"/>
  <c r="D64" i="43"/>
  <c r="E59" i="43"/>
  <c r="B57" i="43"/>
  <c r="M59" i="43"/>
  <c r="N59" i="43"/>
  <c r="J59" i="43"/>
  <c r="Q70" i="15"/>
  <c r="Q57" i="15"/>
  <c r="Q56" i="15"/>
  <c r="Q49" i="15"/>
  <c r="L48" i="15"/>
  <c r="D9" i="31"/>
  <c r="E9" i="31"/>
  <c r="F9" i="31"/>
  <c r="G9" i="31"/>
  <c r="H9" i="31"/>
  <c r="I9" i="31"/>
  <c r="J9" i="31"/>
  <c r="K9" i="31"/>
  <c r="L9" i="31"/>
  <c r="M9" i="31"/>
  <c r="N9" i="31"/>
  <c r="O9" i="31"/>
  <c r="P9" i="31"/>
  <c r="Q9" i="31"/>
  <c r="R9" i="31"/>
  <c r="S9" i="31"/>
  <c r="B6" i="1"/>
  <c r="M21"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c r="C33" i="57"/>
  <c r="X27" i="31"/>
  <c r="X25" i="31"/>
  <c r="Y27" i="31"/>
  <c r="V27" i="31"/>
  <c r="U27" i="31"/>
  <c r="D115" i="57"/>
  <c r="D114" i="57"/>
  <c r="D113" i="57"/>
  <c r="I110" i="57"/>
  <c r="I109" i="57"/>
  <c r="I107" i="57"/>
  <c r="D127" i="57"/>
  <c r="D102" i="57"/>
  <c r="C102" i="57"/>
  <c r="C93" i="57"/>
  <c r="D91" i="57"/>
  <c r="C91" i="57"/>
  <c r="C89" i="57"/>
  <c r="C96" i="57"/>
  <c r="E92" i="57"/>
  <c r="H79" i="57"/>
  <c r="D79" i="57"/>
  <c r="P57" i="57"/>
  <c r="O57" i="57"/>
  <c r="F58" i="57"/>
  <c r="L57" i="57"/>
  <c r="I57" i="57"/>
  <c r="F57" i="57"/>
  <c r="P55" i="57"/>
  <c r="P56" i="57"/>
  <c r="O56" i="57"/>
  <c r="O55" i="57"/>
  <c r="E50" i="57"/>
  <c r="O54" i="57"/>
  <c r="D27" i="57"/>
  <c r="C24" i="57"/>
  <c r="H19" i="57"/>
  <c r="D17" i="57"/>
  <c r="C17" i="57"/>
  <c r="M4" i="57"/>
  <c r="L4" i="57"/>
  <c r="B32" i="9"/>
  <c r="C23" i="31"/>
  <c r="C2" i="36"/>
  <c r="F2" i="36"/>
  <c r="C2" i="35"/>
  <c r="C2" i="37"/>
  <c r="F2" i="37"/>
  <c r="C2" i="34"/>
  <c r="C2" i="33"/>
  <c r="C2" i="21"/>
  <c r="C2" i="15"/>
  <c r="P73" i="15"/>
  <c r="H19" i="9"/>
  <c r="C108" i="9"/>
  <c r="C91" i="9"/>
  <c r="D89" i="9"/>
  <c r="C89" i="9"/>
  <c r="C87" i="9"/>
  <c r="C92"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J15" i="4"/>
  <c r="J14" i="4"/>
  <c r="J13" i="4"/>
  <c r="I5" i="4"/>
  <c r="L4" i="9"/>
  <c r="M4" i="9"/>
  <c r="F16" i="4"/>
  <c r="A5" i="55"/>
  <c r="B54" i="60"/>
  <c r="A4" i="55"/>
  <c r="B52" i="60"/>
  <c r="H16" i="48"/>
  <c r="D16" i="48"/>
  <c r="B21" i="49"/>
  <c r="B5" i="60"/>
  <c r="B12" i="49"/>
  <c r="B3" i="60"/>
  <c r="H6" i="44"/>
  <c r="E31" i="4"/>
  <c r="C7" i="4"/>
  <c r="G3" i="43"/>
  <c r="C121" i="9"/>
  <c r="C4" i="52"/>
  <c r="B36" i="60"/>
  <c r="B121" i="9"/>
  <c r="B4" i="52"/>
  <c r="A41" i="1"/>
  <c r="A40" i="1"/>
  <c r="A39" i="1"/>
  <c r="A38" i="1"/>
  <c r="A37" i="1"/>
  <c r="A30" i="1"/>
  <c r="A35" i="1"/>
  <c r="D111" i="9"/>
  <c r="I108" i="9"/>
  <c r="D110" i="9"/>
  <c r="I107" i="9"/>
  <c r="D109" i="9"/>
  <c r="I105" i="9"/>
  <c r="H101" i="9"/>
  <c r="J35" i="15"/>
  <c r="Q69" i="15"/>
  <c r="F27" i="11"/>
  <c r="F45" i="11"/>
  <c r="F36" i="11"/>
  <c r="M28" i="15"/>
  <c r="M26" i="15"/>
  <c r="F42" i="15"/>
  <c r="F40" i="15"/>
  <c r="F69" i="15"/>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c r="J4" i="47"/>
  <c r="I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E31" i="1"/>
  <c r="E29" i="1"/>
  <c r="G1" i="15"/>
  <c r="F35" i="11"/>
  <c r="F38" i="11"/>
  <c r="E37" i="11"/>
  <c r="F20" i="11"/>
  <c r="F39" i="11"/>
  <c r="F21" i="11"/>
  <c r="F40" i="11"/>
  <c r="F7" i="11"/>
  <c r="F12" i="12"/>
  <c r="F13" i="12"/>
  <c r="F15" i="12"/>
  <c r="E14" i="12"/>
  <c r="E17" i="12"/>
  <c r="F22" i="12"/>
  <c r="F23" i="12"/>
  <c r="F24" i="12"/>
  <c r="C17" i="9"/>
  <c r="D17" i="9"/>
  <c r="I55" i="9"/>
  <c r="F55" i="9"/>
  <c r="P53" i="9"/>
  <c r="E15" i="1"/>
  <c r="E19" i="11"/>
  <c r="E40" i="1"/>
  <c r="F34" i="15"/>
  <c r="F63" i="15"/>
  <c r="F35" i="15"/>
  <c r="F64" i="15"/>
  <c r="C63" i="15"/>
  <c r="O55" i="9"/>
  <c r="P55" i="9"/>
  <c r="O54" i="9"/>
  <c r="O53" i="9"/>
  <c r="E48" i="9"/>
  <c r="O52" i="9"/>
  <c r="F56" i="9"/>
  <c r="P54" i="9"/>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F87" i="35"/>
  <c r="G87" i="35"/>
  <c r="H87" i="35"/>
  <c r="I87" i="35"/>
  <c r="J87" i="35"/>
  <c r="K87" i="35"/>
  <c r="L87" i="35"/>
  <c r="M87" i="35"/>
  <c r="H34" i="37"/>
  <c r="AB34" i="37"/>
  <c r="D101" i="37"/>
  <c r="F34" i="37"/>
  <c r="AA34" i="37"/>
  <c r="D99" i="37"/>
  <c r="E99" i="37"/>
  <c r="F99" i="37"/>
  <c r="G99" i="37"/>
  <c r="S4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Q22" i="36"/>
  <c r="Z22" i="36"/>
  <c r="J22" i="36"/>
  <c r="AC22" i="36"/>
  <c r="Q20" i="36"/>
  <c r="Z20" i="36"/>
  <c r="Q16" i="36"/>
  <c r="Z16" i="36"/>
  <c r="Q14" i="36"/>
  <c r="Z14" i="36"/>
  <c r="Q13" i="36"/>
  <c r="Z13" i="36"/>
  <c r="Q12" i="36"/>
  <c r="Z12" i="36"/>
  <c r="Q11" i="36"/>
  <c r="Z11" i="36"/>
  <c r="Q10" i="36"/>
  <c r="Z10" i="36"/>
  <c r="F10" i="36"/>
  <c r="AA10" i="36"/>
  <c r="Q9" i="36"/>
  <c r="Z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B99" i="35"/>
  <c r="B97" i="35"/>
  <c r="J34" i="35"/>
  <c r="B77" i="35"/>
  <c r="B75" i="35"/>
  <c r="B73" i="35"/>
  <c r="H23" i="35"/>
  <c r="B57" i="35"/>
  <c r="B61" i="35"/>
  <c r="B59" i="35"/>
  <c r="J12" i="35"/>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C53" i="35"/>
  <c r="J9" i="35"/>
  <c r="AC9" i="35"/>
  <c r="P39" i="35"/>
  <c r="P38" i="35"/>
  <c r="V37" i="35"/>
  <c r="T37" i="35"/>
  <c r="R37" i="35"/>
  <c r="P37" i="35"/>
  <c r="Q36" i="35"/>
  <c r="Z36" i="35"/>
  <c r="Q35" i="35"/>
  <c r="Z35" i="35"/>
  <c r="Q34" i="35"/>
  <c r="Z34" i="35"/>
  <c r="Q33" i="35"/>
  <c r="Z33" i="35"/>
  <c r="Q32" i="35"/>
  <c r="Z32" i="35"/>
  <c r="H32" i="35"/>
  <c r="AB32" i="35"/>
  <c r="F32" i="35"/>
  <c r="AA32" i="35"/>
  <c r="Q31" i="35"/>
  <c r="Z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Q11" i="35"/>
  <c r="Z11" i="35"/>
  <c r="Q10" i="35"/>
  <c r="Z10" i="35"/>
  <c r="Q9" i="35"/>
  <c r="Z9" i="35"/>
  <c r="J8" i="35"/>
  <c r="AC8" i="35"/>
  <c r="H8" i="35"/>
  <c r="AB8" i="35"/>
  <c r="F8" i="35"/>
  <c r="AA8" i="35"/>
  <c r="D120" i="34"/>
  <c r="E120" i="34"/>
  <c r="F120" i="34"/>
  <c r="G120" i="34"/>
  <c r="H120" i="34"/>
  <c r="I120" i="34"/>
  <c r="J120" i="34"/>
  <c r="K120" i="34"/>
  <c r="L120" i="34"/>
  <c r="M120" i="34"/>
  <c r="D90" i="34"/>
  <c r="E90" i="34"/>
  <c r="C15" i="34"/>
  <c r="F67" i="34"/>
  <c r="G67" i="34"/>
  <c r="H67" i="34"/>
  <c r="I67" i="34"/>
  <c r="W44" i="34"/>
  <c r="D118" i="34"/>
  <c r="E118" i="34"/>
  <c r="F118" i="34"/>
  <c r="D116" i="34"/>
  <c r="G110" i="34"/>
  <c r="F110" i="34"/>
  <c r="E110" i="34"/>
  <c r="D110" i="34"/>
  <c r="C110" i="34"/>
  <c r="E109" i="34"/>
  <c r="F109" i="34"/>
  <c r="G109" i="34"/>
  <c r="H109" i="34"/>
  <c r="I109" i="34"/>
  <c r="J109" i="34"/>
  <c r="K109" i="34"/>
  <c r="L109" i="34"/>
  <c r="M109" i="34"/>
  <c r="D107" i="34"/>
  <c r="E107" i="34"/>
  <c r="F107" i="34"/>
  <c r="G107" i="34"/>
  <c r="H107" i="34"/>
  <c r="I107" i="34"/>
  <c r="J107" i="34"/>
  <c r="K107" i="34"/>
  <c r="L107" i="34"/>
  <c r="M107" i="34"/>
  <c r="M103" i="34"/>
  <c r="L103" i="34"/>
  <c r="K103" i="34"/>
  <c r="J103" i="34"/>
  <c r="I103" i="34"/>
  <c r="H103" i="34"/>
  <c r="G103" i="34"/>
  <c r="F103" i="34"/>
  <c r="E103" i="34"/>
  <c r="D103" i="34"/>
  <c r="C103" i="34"/>
  <c r="D102" i="34"/>
  <c r="E102" i="34"/>
  <c r="F102" i="34"/>
  <c r="D92" i="34"/>
  <c r="E92" i="34"/>
  <c r="F92" i="34"/>
  <c r="G92" i="34"/>
  <c r="H92" i="34"/>
  <c r="I92" i="34"/>
  <c r="J92" i="34"/>
  <c r="K92" i="34"/>
  <c r="L92" i="34"/>
  <c r="M92" i="34"/>
  <c r="W27" i="34"/>
  <c r="F82" i="34"/>
  <c r="G82" i="34"/>
  <c r="E80" i="34"/>
  <c r="F80" i="34"/>
  <c r="G80" i="34"/>
  <c r="D70" i="34"/>
  <c r="E70" i="34"/>
  <c r="F70" i="34"/>
  <c r="G70" i="34"/>
  <c r="H70" i="34"/>
  <c r="I70" i="34"/>
  <c r="J70" i="34"/>
  <c r="K70" i="34"/>
  <c r="L70" i="34"/>
  <c r="M70" i="34"/>
  <c r="M68" i="34"/>
  <c r="L68" i="34"/>
  <c r="K68" i="34"/>
  <c r="J68" i="34"/>
  <c r="I68" i="34"/>
  <c r="H68" i="34"/>
  <c r="G68" i="34"/>
  <c r="F68" i="34"/>
  <c r="E68" i="34"/>
  <c r="D68" i="34"/>
  <c r="C68" i="34"/>
  <c r="P50" i="34"/>
  <c r="P49" i="34"/>
  <c r="P48" i="34"/>
  <c r="Q47" i="34"/>
  <c r="Z47" i="34"/>
  <c r="Q46" i="34"/>
  <c r="Z46" i="34"/>
  <c r="Q45" i="34"/>
  <c r="Z45" i="34"/>
  <c r="Q44" i="34"/>
  <c r="Z44" i="34"/>
  <c r="Q43" i="34"/>
  <c r="Z43" i="34"/>
  <c r="Q42" i="34"/>
  <c r="Z42" i="34"/>
  <c r="Q41" i="34"/>
  <c r="Z41" i="34"/>
  <c r="Q40" i="34"/>
  <c r="Z40" i="34"/>
  <c r="Q39" i="34"/>
  <c r="Z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U12" i="34"/>
  <c r="Q11" i="34"/>
  <c r="Z11" i="34"/>
  <c r="Q10" i="34"/>
  <c r="Z10" i="34"/>
  <c r="S10" i="34"/>
  <c r="Q9" i="34"/>
  <c r="Z9" i="34"/>
  <c r="U8" i="34"/>
  <c r="D121" i="33"/>
  <c r="E121" i="33"/>
  <c r="F121" i="33"/>
  <c r="G121" i="33"/>
  <c r="H121" i="33"/>
  <c r="I121" i="33"/>
  <c r="J121" i="33"/>
  <c r="K121" i="33"/>
  <c r="L121" i="33"/>
  <c r="M121" i="33"/>
  <c r="G109" i="33"/>
  <c r="F109" i="33"/>
  <c r="E109" i="33"/>
  <c r="D109" i="33"/>
  <c r="C109" i="33"/>
  <c r="D91" i="33"/>
  <c r="B88" i="33"/>
  <c r="J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J28" i="33"/>
  <c r="AC28"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M67" i="33"/>
  <c r="L67" i="33"/>
  <c r="K67" i="33"/>
  <c r="J67" i="33"/>
  <c r="I67" i="33"/>
  <c r="H67" i="33"/>
  <c r="G67" i="33"/>
  <c r="F67" i="33"/>
  <c r="E67" i="33"/>
  <c r="D67" i="33"/>
  <c r="C67" i="33"/>
  <c r="G66" i="33"/>
  <c r="H66" i="33"/>
  <c r="I66" i="33"/>
  <c r="J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C27" i="39"/>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E119" i="21"/>
  <c r="F119" i="21"/>
  <c r="G119" i="21"/>
  <c r="H119" i="21"/>
  <c r="I119" i="21"/>
  <c r="J119" i="21"/>
  <c r="K119" i="21"/>
  <c r="L119" i="21"/>
  <c r="M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J46" i="21"/>
  <c r="W46" i="21"/>
  <c r="B128" i="21"/>
  <c r="B126" i="21"/>
  <c r="B98" i="21"/>
  <c r="B96" i="21"/>
  <c r="F30" i="21"/>
  <c r="S30" i="21"/>
  <c r="B94" i="21"/>
  <c r="B92" i="21"/>
  <c r="B90" i="21"/>
  <c r="B74" i="21"/>
  <c r="F14" i="21"/>
  <c r="S14" i="21"/>
  <c r="B72" i="21"/>
  <c r="B70" i="21"/>
  <c r="F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F33" i="21"/>
  <c r="AA33" i="21"/>
  <c r="J10" i="21"/>
  <c r="AC10" i="21"/>
  <c r="H26" i="21"/>
  <c r="AB26" i="21"/>
  <c r="F19" i="21"/>
  <c r="H19" i="21"/>
  <c r="AB19" i="21"/>
  <c r="J19" i="21"/>
  <c r="W19"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F39" i="37"/>
  <c r="S39" i="37"/>
  <c r="U14" i="37"/>
  <c r="W30" i="37"/>
  <c r="F29" i="36"/>
  <c r="AA29" i="36"/>
  <c r="F16" i="36"/>
  <c r="S16" i="36"/>
  <c r="U22" i="36"/>
  <c r="W22" i="36"/>
  <c r="AA31" i="36"/>
  <c r="AC31" i="36"/>
  <c r="W31" i="36"/>
  <c r="U31" i="36"/>
  <c r="J33" i="36"/>
  <c r="W33" i="36"/>
  <c r="AB34" i="36"/>
  <c r="H22" i="35"/>
  <c r="AB22" i="35"/>
  <c r="U39" i="34"/>
  <c r="H39" i="33"/>
  <c r="AB39" i="33"/>
  <c r="F26" i="33"/>
  <c r="AA26" i="33"/>
  <c r="S40" i="33"/>
  <c r="W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G109" i="39"/>
  <c r="H109" i="39"/>
  <c r="I109" i="39"/>
  <c r="J109" i="39"/>
  <c r="K109" i="39"/>
  <c r="L109" i="39"/>
  <c r="M109" i="39"/>
  <c r="H31" i="39"/>
  <c r="AB31" i="39"/>
  <c r="F31" i="39"/>
  <c r="AA31" i="39"/>
  <c r="E103" i="39"/>
  <c r="H19" i="39"/>
  <c r="AB19" i="39"/>
  <c r="F19" i="39"/>
  <c r="S19" i="39"/>
  <c r="H17" i="39"/>
  <c r="U17" i="39"/>
  <c r="F17" i="39"/>
  <c r="AA17" i="39"/>
  <c r="J23" i="40"/>
  <c r="AC23" i="40"/>
  <c r="H42" i="39"/>
  <c r="AB42" i="39"/>
  <c r="J34" i="39"/>
  <c r="AC34" i="39"/>
  <c r="J31" i="39"/>
  <c r="W31" i="39"/>
  <c r="F103" i="39"/>
  <c r="G103" i="39"/>
  <c r="H29" i="39"/>
  <c r="U29" i="39"/>
  <c r="J19" i="39"/>
  <c r="AC19" i="39"/>
  <c r="J17" i="39"/>
  <c r="W17" i="39"/>
  <c r="J29" i="39"/>
  <c r="AC29" i="39"/>
  <c r="F29" i="39"/>
  <c r="AA29" i="39"/>
  <c r="F11" i="21"/>
  <c r="S11" i="21"/>
  <c r="C25" i="39"/>
  <c r="H11" i="39"/>
  <c r="AB11" i="39"/>
  <c r="AB39" i="39"/>
  <c r="H11" i="21"/>
  <c r="U11" i="21"/>
  <c r="J11" i="21"/>
  <c r="AC11" i="21"/>
  <c r="H36" i="40"/>
  <c r="U36" i="40"/>
  <c r="F35" i="40"/>
  <c r="S35" i="40"/>
  <c r="J30" i="40"/>
  <c r="W30" i="40"/>
  <c r="F30" i="40"/>
  <c r="AA30" i="40"/>
  <c r="F96" i="40"/>
  <c r="G96" i="40"/>
  <c r="H96" i="40"/>
  <c r="I96" i="40"/>
  <c r="J96" i="40"/>
  <c r="K96" i="40"/>
  <c r="L96" i="40"/>
  <c r="M96" i="40"/>
  <c r="H27" i="40"/>
  <c r="U27" i="40"/>
  <c r="H23" i="40"/>
  <c r="AB23" i="40"/>
  <c r="J11" i="40"/>
  <c r="W11" i="40"/>
  <c r="AB12" i="33"/>
  <c r="F37" i="39"/>
  <c r="S37" i="39"/>
  <c r="AC9" i="21"/>
  <c r="J34" i="36"/>
  <c r="W34" i="36"/>
  <c r="U30" i="36"/>
  <c r="F22" i="35"/>
  <c r="AA22" i="35"/>
  <c r="U33" i="36"/>
  <c r="AB29" i="36"/>
  <c r="F33" i="36"/>
  <c r="S33" i="36"/>
  <c r="E85" i="36"/>
  <c r="F85" i="36"/>
  <c r="G85" i="36"/>
  <c r="H85" i="36"/>
  <c r="I85" i="36"/>
  <c r="J85" i="36"/>
  <c r="K85" i="36"/>
  <c r="L85" i="36"/>
  <c r="M85" i="36"/>
  <c r="J29" i="36"/>
  <c r="AC29" i="36"/>
  <c r="F12" i="36"/>
  <c r="AA12" i="36"/>
  <c r="F34" i="36"/>
  <c r="AA34" i="36"/>
  <c r="H20" i="36"/>
  <c r="J20" i="36"/>
  <c r="W20" i="36"/>
  <c r="AB8" i="36"/>
  <c r="F14" i="35"/>
  <c r="AA14" i="35"/>
  <c r="F23" i="35"/>
  <c r="AA23" i="35"/>
  <c r="J32" i="35"/>
  <c r="AC32" i="35"/>
  <c r="J16" i="35"/>
  <c r="W16" i="35"/>
  <c r="H14" i="35"/>
  <c r="AB14" i="35"/>
  <c r="H33" i="35"/>
  <c r="AB33" i="35"/>
  <c r="S8" i="35"/>
  <c r="J20" i="35"/>
  <c r="W20" i="35"/>
  <c r="H20" i="35"/>
  <c r="U20" i="35"/>
  <c r="F20" i="35"/>
  <c r="AA20" i="35"/>
  <c r="E101" i="37"/>
  <c r="F101" i="37"/>
  <c r="G101" i="37"/>
  <c r="H101" i="37"/>
  <c r="I101" i="37"/>
  <c r="J101" i="37"/>
  <c r="K101" i="37"/>
  <c r="L101" i="37"/>
  <c r="M101" i="37"/>
  <c r="J34" i="37"/>
  <c r="W34" i="37"/>
  <c r="AA39" i="37"/>
  <c r="U42" i="34"/>
  <c r="U40" i="34"/>
  <c r="W19" i="34"/>
  <c r="W10" i="34"/>
  <c r="F41" i="33"/>
  <c r="S41" i="33"/>
  <c r="E113" i="33"/>
  <c r="F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H10" i="33"/>
  <c r="S26" i="33"/>
  <c r="U40" i="33"/>
  <c r="U8" i="33"/>
  <c r="S8" i="33"/>
  <c r="F37" i="40"/>
  <c r="AA37" i="40"/>
  <c r="F36" i="40"/>
  <c r="AA36" i="40"/>
  <c r="J27" i="40"/>
  <c r="W27" i="40"/>
  <c r="F27" i="40"/>
  <c r="S27" i="40"/>
  <c r="F23" i="40"/>
  <c r="AA23" i="40"/>
  <c r="AC11" i="40"/>
  <c r="AB30" i="36"/>
  <c r="AC34" i="36"/>
  <c r="U34" i="37"/>
  <c r="G113" i="33"/>
  <c r="H113" i="33"/>
  <c r="I113" i="33"/>
  <c r="J113" i="33"/>
  <c r="K113" i="33"/>
  <c r="L113" i="33"/>
  <c r="M113" i="33"/>
  <c r="H37" i="33"/>
  <c r="AB37" i="33"/>
  <c r="AA37" i="33"/>
  <c r="H36" i="33"/>
  <c r="U36" i="33"/>
  <c r="S25" i="33"/>
  <c r="F17" i="33"/>
  <c r="AA17" i="33"/>
  <c r="H15" i="33"/>
  <c r="AB15" i="33"/>
  <c r="AC27" i="40"/>
  <c r="W42" i="34"/>
  <c r="W38" i="34"/>
  <c r="J37" i="33"/>
  <c r="AC37" i="33"/>
  <c r="J36" i="33"/>
  <c r="AC36" i="33"/>
  <c r="J11" i="33"/>
  <c r="AC11" i="33"/>
  <c r="J42" i="21"/>
  <c r="AC42" i="21"/>
  <c r="H42" i="21"/>
  <c r="AB42" i="21"/>
  <c r="J14" i="21"/>
  <c r="W14" i="21"/>
  <c r="H14" i="21"/>
  <c r="F28" i="21"/>
  <c r="AA28" i="21"/>
  <c r="H30" i="21"/>
  <c r="AB30" i="21"/>
  <c r="J30" i="21"/>
  <c r="W30" i="21"/>
  <c r="H44" i="21"/>
  <c r="U44" i="21"/>
  <c r="H46" i="21"/>
  <c r="U46" i="21"/>
  <c r="F46" i="21"/>
  <c r="AA46" i="21"/>
  <c r="H26" i="33"/>
  <c r="U26" i="33"/>
  <c r="H28" i="33"/>
  <c r="U28" i="33"/>
  <c r="F28" i="33"/>
  <c r="S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H31" i="33"/>
  <c r="F31" i="33"/>
  <c r="AA31" i="33"/>
  <c r="H45" i="33"/>
  <c r="U45" i="33"/>
  <c r="J45" i="33"/>
  <c r="W45" i="33"/>
  <c r="F45" i="33"/>
  <c r="S45" i="33"/>
  <c r="W14" i="34"/>
  <c r="U14" i="34"/>
  <c r="U30" i="34"/>
  <c r="S30" i="34"/>
  <c r="W30" i="34"/>
  <c r="U32" i="34"/>
  <c r="H11" i="35"/>
  <c r="U11" i="35"/>
  <c r="J11" i="35"/>
  <c r="AC11" i="35"/>
  <c r="F11" i="35"/>
  <c r="S11" i="35"/>
  <c r="J26" i="36"/>
  <c r="W26" i="36"/>
  <c r="H28" i="36"/>
  <c r="U28" i="36"/>
  <c r="H32" i="36"/>
  <c r="J32" i="36"/>
  <c r="W32" i="36"/>
  <c r="J11" i="36"/>
  <c r="W11" i="36"/>
  <c r="H11" i="36"/>
  <c r="AB11" i="36"/>
  <c r="F11" i="36"/>
  <c r="AA11" i="36"/>
  <c r="H13" i="36"/>
  <c r="AB13" i="36"/>
  <c r="J13" i="36"/>
  <c r="F13" i="36"/>
  <c r="S13" i="36"/>
  <c r="H36" i="37"/>
  <c r="AB36" i="37"/>
  <c r="H37" i="37"/>
  <c r="U37" i="37"/>
  <c r="AC12" i="40"/>
  <c r="W12" i="40"/>
  <c r="H14" i="33"/>
  <c r="U14" i="33"/>
  <c r="F14" i="33"/>
  <c r="AA14" i="33"/>
  <c r="J14" i="33"/>
  <c r="H30" i="33"/>
  <c r="AB30" i="33"/>
  <c r="F30" i="33"/>
  <c r="S30" i="33"/>
  <c r="J30" i="33"/>
  <c r="AC30" i="33"/>
  <c r="H44" i="33"/>
  <c r="AB44" i="33"/>
  <c r="J44" i="33"/>
  <c r="AC44" i="33"/>
  <c r="F44" i="33"/>
  <c r="S44" i="33"/>
  <c r="J46" i="33"/>
  <c r="W46" i="33"/>
  <c r="F46" i="33"/>
  <c r="AA46" i="33"/>
  <c r="H46" i="33"/>
  <c r="AB46" i="33"/>
  <c r="U13" i="34"/>
  <c r="W13" i="34"/>
  <c r="S29" i="34"/>
  <c r="U29" i="34"/>
  <c r="S31" i="34"/>
  <c r="U45" i="34"/>
  <c r="S45" i="34"/>
  <c r="U47" i="34"/>
  <c r="F13" i="35"/>
  <c r="S13" i="35"/>
  <c r="J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F14" i="37"/>
  <c r="S14" i="37"/>
  <c r="F13" i="39"/>
  <c r="AA13" i="39"/>
  <c r="J13" i="39"/>
  <c r="W13" i="39"/>
  <c r="H13" i="39"/>
  <c r="U13" i="39"/>
  <c r="H14" i="40"/>
  <c r="AB14" i="40"/>
  <c r="J14" i="40"/>
  <c r="W14" i="40"/>
  <c r="F14" i="40"/>
  <c r="AA14" i="40"/>
  <c r="J14" i="37"/>
  <c r="AC14" i="37"/>
  <c r="AB14" i="33"/>
  <c r="W28" i="37"/>
  <c r="W30" i="33"/>
  <c r="J10" i="36"/>
  <c r="AC10" i="36"/>
  <c r="AB46" i="21"/>
  <c r="AC14" i="21"/>
  <c r="AC11" i="36"/>
  <c r="AB45" i="33"/>
  <c r="AC29" i="33"/>
  <c r="W29" i="33"/>
  <c r="U42" i="21"/>
  <c r="S33" i="21"/>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U35" i="34"/>
  <c r="S41" i="34"/>
  <c r="U41" i="34"/>
  <c r="H23" i="37"/>
  <c r="AB23" i="37"/>
  <c r="J32" i="37"/>
  <c r="AC32" i="37"/>
  <c r="F36" i="37"/>
  <c r="AA36" i="37"/>
  <c r="F37" i="37"/>
  <c r="AA37" i="37"/>
  <c r="F31" i="40"/>
  <c r="AA31" i="40"/>
  <c r="H31" i="40"/>
  <c r="U31" i="40"/>
  <c r="F32" i="40"/>
  <c r="S32" i="40"/>
  <c r="H32" i="40"/>
  <c r="U32" i="40"/>
  <c r="J36" i="40"/>
  <c r="W36" i="40"/>
  <c r="AB32" i="40"/>
  <c r="H42" i="33"/>
  <c r="U42" i="33"/>
  <c r="J23" i="37"/>
  <c r="W23" i="37"/>
  <c r="S30" i="31"/>
  <c r="U11" i="40"/>
  <c r="AC33" i="36"/>
  <c r="AA11" i="35"/>
  <c r="S28" i="37"/>
  <c r="U39" i="37"/>
  <c r="S25" i="37"/>
  <c r="AA13" i="33"/>
  <c r="AA30" i="33"/>
  <c r="S11" i="33"/>
  <c r="AC33" i="21"/>
  <c r="AB38" i="21"/>
  <c r="AA23" i="37"/>
  <c r="W10" i="36"/>
  <c r="W38" i="37"/>
  <c r="H37" i="21"/>
  <c r="J37" i="21"/>
  <c r="W37" i="21"/>
  <c r="U19" i="34"/>
  <c r="J9" i="37"/>
  <c r="W9" i="37"/>
  <c r="H9" i="37"/>
  <c r="AB9" i="37"/>
  <c r="F9" i="37"/>
  <c r="AA9" i="37"/>
  <c r="F11" i="37"/>
  <c r="S11" i="37"/>
  <c r="J42" i="39"/>
  <c r="AC42" i="39"/>
  <c r="S37" i="21"/>
  <c r="AC9" i="37"/>
  <c r="AB27" i="40"/>
  <c r="AC31" i="39"/>
  <c r="U31" i="39"/>
  <c r="C12" i="43"/>
  <c r="D15" i="47"/>
  <c r="D17" i="47"/>
  <c r="D19" i="47"/>
  <c r="D21" i="47"/>
  <c r="D23" i="47"/>
  <c r="D27" i="47"/>
  <c r="D33" i="47"/>
  <c r="D37" i="47"/>
  <c r="D39" i="47"/>
  <c r="D41" i="47"/>
  <c r="D43" i="47"/>
  <c r="D16" i="47"/>
  <c r="D18" i="47"/>
  <c r="D20" i="47"/>
  <c r="D22" i="47"/>
  <c r="F15" i="47"/>
  <c r="B13" i="47"/>
  <c r="D26" i="47"/>
  <c r="D28" i="47"/>
  <c r="D30" i="47"/>
  <c r="D32" i="47"/>
  <c r="D34" i="47"/>
  <c r="D38" i="47"/>
  <c r="D40" i="47"/>
  <c r="D42" i="47"/>
  <c r="D44" i="47"/>
  <c r="D9" i="47"/>
  <c r="D8" i="47"/>
  <c r="D6" i="47"/>
  <c r="H19" i="40"/>
  <c r="AB19" i="40"/>
  <c r="F19" i="40"/>
  <c r="S19" i="40"/>
  <c r="S17" i="39"/>
  <c r="AC43" i="39"/>
  <c r="W43" i="39"/>
  <c r="U45" i="39"/>
  <c r="AB45"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W21" i="39"/>
  <c r="J11" i="39"/>
  <c r="W11" i="39"/>
  <c r="J32" i="39"/>
  <c r="AC32" i="39"/>
  <c r="E66" i="39"/>
  <c r="E61" i="40"/>
  <c r="F34" i="43"/>
  <c r="C21" i="11"/>
  <c r="H55" i="39"/>
  <c r="S30" i="40"/>
  <c r="G60" i="40"/>
  <c r="C60" i="40"/>
  <c r="H16" i="44"/>
  <c r="D17" i="43"/>
  <c r="I17" i="43"/>
  <c r="D108" i="9"/>
  <c r="F22" i="43"/>
  <c r="G22" i="43"/>
  <c r="H14" i="44"/>
  <c r="W40" i="39"/>
  <c r="S27" i="34"/>
  <c r="W37" i="34"/>
  <c r="J26" i="35"/>
  <c r="W26" i="35"/>
  <c r="F26" i="35"/>
  <c r="AA26" i="35"/>
  <c r="H26" i="35"/>
  <c r="U26" i="35"/>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3" i="57"/>
  <c r="A131" i="9"/>
  <c r="A135" i="57"/>
  <c r="B103" i="57"/>
  <c r="B107" i="57"/>
  <c r="C112" i="57"/>
  <c r="H107" i="57"/>
  <c r="D128" i="57"/>
  <c r="S23" i="21"/>
  <c r="W17" i="21"/>
  <c r="C110" i="57"/>
  <c r="H104" i="57"/>
  <c r="T27" i="31"/>
  <c r="S27" i="31"/>
  <c r="B113" i="43"/>
  <c r="I118" i="43"/>
  <c r="J118" i="43"/>
  <c r="K118" i="43"/>
  <c r="L118" i="43"/>
  <c r="M118" i="43"/>
  <c r="M101" i="43"/>
  <c r="M109" i="43"/>
  <c r="K101" i="43"/>
  <c r="K107" i="43"/>
  <c r="I101" i="43"/>
  <c r="I102" i="43"/>
  <c r="G101" i="43"/>
  <c r="G105" i="43"/>
  <c r="E101" i="43"/>
  <c r="E109" i="43"/>
  <c r="C101" i="43"/>
  <c r="N101" i="43"/>
  <c r="N107" i="43"/>
  <c r="L101" i="43"/>
  <c r="L109" i="43"/>
  <c r="J101" i="43"/>
  <c r="J102" i="43"/>
  <c r="H101" i="43"/>
  <c r="H107" i="43"/>
  <c r="F101" i="43"/>
  <c r="F104" i="43"/>
  <c r="D101" i="43"/>
  <c r="D103"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4" i="57"/>
  <c r="H109" i="57"/>
  <c r="C18" i="57"/>
  <c r="D18" i="57"/>
  <c r="D47" i="15"/>
  <c r="AB12" i="37"/>
  <c r="J37" i="37"/>
  <c r="W37" i="37"/>
  <c r="AB40" i="37"/>
  <c r="U40" i="37"/>
  <c r="U15" i="21"/>
  <c r="AB15" i="21"/>
  <c r="AA16" i="35"/>
  <c r="S14" i="39"/>
  <c r="AA35" i="39"/>
  <c r="AB21" i="39"/>
  <c r="W44" i="33"/>
  <c r="U36" i="37"/>
  <c r="S14" i="34"/>
  <c r="G118" i="34"/>
  <c r="U20" i="36"/>
  <c r="AB20" i="36"/>
  <c r="AA16" i="36"/>
  <c r="AC44" i="39"/>
  <c r="W44" i="39"/>
  <c r="H13" i="21"/>
  <c r="U13" i="21"/>
  <c r="J13" i="21"/>
  <c r="F13" i="21"/>
  <c r="AA13" i="21"/>
  <c r="J45" i="21"/>
  <c r="F45" i="21"/>
  <c r="AA45" i="21"/>
  <c r="S42" i="21"/>
  <c r="C23" i="40"/>
  <c r="W8" i="34"/>
  <c r="W12" i="34"/>
  <c r="S9" i="34"/>
  <c r="J12" i="36"/>
  <c r="W12" i="36"/>
  <c r="H12" i="36"/>
  <c r="AB12" i="36"/>
  <c r="AA9" i="39"/>
  <c r="S9" i="39"/>
  <c r="AB12" i="39"/>
  <c r="U12" i="39"/>
  <c r="J12" i="39"/>
  <c r="F12" i="39"/>
  <c r="S12" i="39"/>
  <c r="R29" i="31"/>
  <c r="T29" i="31"/>
  <c r="F15" i="21"/>
  <c r="S15" i="21"/>
  <c r="AA30" i="21"/>
  <c r="W36" i="34"/>
  <c r="J19" i="40"/>
  <c r="AC19" i="40"/>
  <c r="W9" i="39"/>
  <c r="U14" i="39"/>
  <c r="H32" i="39"/>
  <c r="U32" i="39"/>
  <c r="F21" i="39"/>
  <c r="AA21" i="39"/>
  <c r="F37" i="47"/>
  <c r="B35" i="47"/>
  <c r="F31" i="37"/>
  <c r="AA31" i="37"/>
  <c r="U25" i="36"/>
  <c r="AC36" i="40"/>
  <c r="F17" i="37"/>
  <c r="AA17" i="37"/>
  <c r="AA29" i="33"/>
  <c r="AB28" i="36"/>
  <c r="AB13" i="40"/>
  <c r="U33" i="40"/>
  <c r="S12" i="40"/>
  <c r="AB13" i="37"/>
  <c r="U44" i="33"/>
  <c r="U11" i="36"/>
  <c r="AB11" i="35"/>
  <c r="H45" i="21"/>
  <c r="AB45" i="21"/>
  <c r="J14" i="36"/>
  <c r="AC14" i="36"/>
  <c r="AC30" i="21"/>
  <c r="S37" i="40"/>
  <c r="H19" i="33"/>
  <c r="AB19" i="33"/>
  <c r="AB23" i="33"/>
  <c r="U23" i="33"/>
  <c r="W23" i="33"/>
  <c r="AA41" i="33"/>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U28" i="34"/>
  <c r="E116" i="34"/>
  <c r="F116" i="34"/>
  <c r="G116" i="34"/>
  <c r="H116" i="34"/>
  <c r="I116" i="34"/>
  <c r="J116" i="34"/>
  <c r="K116" i="34"/>
  <c r="L116" i="34"/>
  <c r="M116" i="34"/>
  <c r="W39" i="34"/>
  <c r="J27" i="36"/>
  <c r="F26" i="47"/>
  <c r="B24" i="47"/>
  <c r="AA32" i="37"/>
  <c r="AB12" i="40"/>
  <c r="U12" i="40"/>
  <c r="AC14" i="39"/>
  <c r="S31" i="33"/>
  <c r="U10" i="36"/>
  <c r="W28" i="33"/>
  <c r="W34" i="33"/>
  <c r="AC34" i="33"/>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S11" i="34"/>
  <c r="U17" i="34"/>
  <c r="H16" i="35"/>
  <c r="U16" i="35"/>
  <c r="J24" i="35"/>
  <c r="AC24" i="35"/>
  <c r="F24" i="35"/>
  <c r="AA24" i="35"/>
  <c r="H24" i="35"/>
  <c r="U24" i="35"/>
  <c r="H34" i="35"/>
  <c r="U34" i="35"/>
  <c r="F34" i="35"/>
  <c r="AA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U8" i="39"/>
  <c r="AB8" i="39"/>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E126" i="34"/>
  <c r="F126" i="34"/>
  <c r="G126" i="34"/>
  <c r="U44" i="34"/>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M1" i="43"/>
  <c r="F101" i="9"/>
  <c r="F33" i="9"/>
  <c r="C25" i="57"/>
  <c r="N102" i="43"/>
  <c r="W40" i="40"/>
  <c r="U15" i="37"/>
  <c r="AB24" i="36"/>
  <c r="AB35" i="39"/>
  <c r="AC40" i="37"/>
  <c r="S27" i="37"/>
  <c r="AA12" i="37"/>
  <c r="H27" i="33"/>
  <c r="AB27" i="33"/>
  <c r="F43" i="33"/>
  <c r="S43" i="33"/>
  <c r="F125" i="33"/>
  <c r="G125" i="33"/>
  <c r="J43" i="33"/>
  <c r="AC43" i="33"/>
  <c r="AB31" i="21"/>
  <c r="U31" i="21"/>
  <c r="AA29" i="21"/>
  <c r="S29" i="21"/>
  <c r="W29" i="21"/>
  <c r="AC27" i="21"/>
  <c r="H27" i="36"/>
  <c r="AB27" i="36"/>
  <c r="F27" i="36"/>
  <c r="AA27" i="36"/>
  <c r="W28" i="34"/>
  <c r="AB34" i="21"/>
  <c r="U11" i="34"/>
  <c r="S17" i="37"/>
  <c r="J11" i="37"/>
  <c r="AC11" i="37"/>
  <c r="W12" i="39"/>
  <c r="AC12" i="39"/>
  <c r="W9" i="34"/>
  <c r="S45" i="21"/>
  <c r="AB13" i="21"/>
  <c r="AC37" i="37"/>
  <c r="U38" i="40"/>
  <c r="F23" i="39"/>
  <c r="AA23" i="39"/>
  <c r="F97" i="39"/>
  <c r="G97" i="39"/>
  <c r="S26" i="37"/>
  <c r="S24" i="36"/>
  <c r="S44" i="34"/>
  <c r="S40" i="21"/>
  <c r="U31" i="37"/>
  <c r="W27" i="37"/>
  <c r="AB27" i="37"/>
  <c r="H60" i="37"/>
  <c r="I60" i="37"/>
  <c r="H10" i="37"/>
  <c r="U10" i="37"/>
  <c r="AA27" i="33"/>
  <c r="AB43" i="33"/>
  <c r="S31" i="21"/>
  <c r="AB29" i="21"/>
  <c r="AC27" i="36"/>
  <c r="W27" i="36"/>
  <c r="F101" i="33"/>
  <c r="G101" i="33"/>
  <c r="H101" i="33"/>
  <c r="I101" i="33"/>
  <c r="J101" i="33"/>
  <c r="K101" i="33"/>
  <c r="L101" i="33"/>
  <c r="M101" i="33"/>
  <c r="J32" i="33"/>
  <c r="W32" i="33"/>
  <c r="H32" i="33"/>
  <c r="AB32" i="33"/>
  <c r="U45" i="21"/>
  <c r="U12" i="36"/>
  <c r="AC45" i="21"/>
  <c r="W45" i="21"/>
  <c r="W13" i="21"/>
  <c r="AC13" i="21"/>
  <c r="S27" i="36"/>
  <c r="J10" i="37"/>
  <c r="AC10" i="37"/>
  <c r="H23" i="39"/>
  <c r="AB23" i="39"/>
  <c r="W11" i="34"/>
  <c r="J27" i="33"/>
  <c r="W27" i="33"/>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c r="D93" i="9"/>
  <c r="D37" i="11"/>
  <c r="C37" i="11"/>
  <c r="M29" i="15"/>
  <c r="P51" i="15"/>
  <c r="D10" i="11"/>
  <c r="C2" i="31"/>
  <c r="I23" i="31"/>
  <c r="P60" i="15"/>
  <c r="D3" i="35"/>
  <c r="D3" i="34"/>
  <c r="D78" i="9"/>
  <c r="D95" i="57"/>
  <c r="D80" i="57"/>
  <c r="A16" i="55"/>
  <c r="B46" i="60"/>
  <c r="D3" i="33"/>
  <c r="D3" i="37"/>
  <c r="D3" i="36"/>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AC17" i="40"/>
  <c r="F17" i="40"/>
  <c r="S17" i="40"/>
  <c r="F84" i="40"/>
  <c r="G84" i="40"/>
  <c r="F15" i="40"/>
  <c r="J15" i="40"/>
  <c r="W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AC25" i="35"/>
  <c r="S23" i="35"/>
  <c r="W11" i="35"/>
  <c r="W14" i="35"/>
  <c r="AC26" i="35"/>
  <c r="AC27" i="35"/>
  <c r="U14" i="35"/>
  <c r="U35" i="35"/>
  <c r="U8" i="35"/>
  <c r="AA13" i="35"/>
  <c r="S20" i="35"/>
  <c r="AB13" i="35"/>
  <c r="S34" i="37"/>
  <c r="W32" i="37"/>
  <c r="W26" i="37"/>
  <c r="AB28" i="37"/>
  <c r="AC12" i="37"/>
  <c r="J33" i="37"/>
  <c r="AC33" i="37"/>
  <c r="F33" i="37"/>
  <c r="AA33" i="37"/>
  <c r="H99" i="37"/>
  <c r="I99" i="37"/>
  <c r="J99" i="37"/>
  <c r="K99" i="37"/>
  <c r="L99" i="37"/>
  <c r="M99" i="37"/>
  <c r="H33" i="37"/>
  <c r="U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5" i="37"/>
  <c r="W10" i="37"/>
  <c r="S10" i="37"/>
  <c r="AA11" i="37"/>
  <c r="U9" i="37"/>
  <c r="AB10" i="37"/>
  <c r="AC21" i="37"/>
  <c r="W21" i="37"/>
  <c r="W11" i="37"/>
  <c r="W14" i="37"/>
  <c r="AC19" i="37"/>
  <c r="W39" i="37"/>
  <c r="AB11" i="37"/>
  <c r="S37" i="37"/>
  <c r="AA14" i="37"/>
  <c r="AA38" i="37"/>
  <c r="S40" i="34"/>
  <c r="U21" i="34"/>
  <c r="W42" i="33"/>
  <c r="U25" i="33"/>
  <c r="W11" i="33"/>
  <c r="U17" i="33"/>
  <c r="W25" i="33"/>
  <c r="U27" i="33"/>
  <c r="U34" i="33"/>
  <c r="U38" i="33"/>
  <c r="W37" i="33"/>
  <c r="W43" i="33"/>
  <c r="AC41" i="33"/>
  <c r="AC27" i="33"/>
  <c r="AA45" i="33"/>
  <c r="U46" i="33"/>
  <c r="S23" i="33"/>
  <c r="S17" i="33"/>
  <c r="W17" i="33"/>
  <c r="U15"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c r="D34" i="50"/>
  <c r="D13" i="50"/>
  <c r="B27" i="60"/>
  <c r="D31" i="50"/>
  <c r="D32" i="50"/>
  <c r="D10" i="50"/>
  <c r="D11" i="50"/>
  <c r="B25" i="60"/>
  <c r="D112" i="57"/>
  <c r="D35" i="50"/>
  <c r="D14" i="50"/>
  <c r="B28" i="60"/>
  <c r="C18" i="9"/>
  <c r="D18" i="9"/>
  <c r="D22" i="15"/>
  <c r="A14" i="52"/>
  <c r="B61" i="60"/>
  <c r="C37" i="57"/>
  <c r="F125" i="57"/>
  <c r="G125" i="57"/>
  <c r="Y25" i="31"/>
  <c r="V25" i="31"/>
  <c r="D3" i="21"/>
  <c r="M6" i="43"/>
  <c r="M5" i="43"/>
  <c r="H13" i="44"/>
  <c r="G59" i="40"/>
  <c r="C59" i="40"/>
  <c r="H11" i="44"/>
  <c r="C51" i="10"/>
  <c r="A8" i="54"/>
  <c r="B8" i="60"/>
  <c r="F2" i="21"/>
  <c r="F2" i="34"/>
  <c r="F2" i="35"/>
  <c r="F2" i="33"/>
  <c r="D36" i="57"/>
  <c r="C114" i="9"/>
  <c r="H112" i="9"/>
  <c r="C120" i="57"/>
  <c r="H116" i="57"/>
  <c r="A18" i="54"/>
  <c r="B15" i="60"/>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M20" i="15"/>
  <c r="D9" i="11"/>
  <c r="C9" i="11"/>
  <c r="D19" i="11"/>
  <c r="G22" i="11"/>
  <c r="G41" i="11"/>
  <c r="H113" i="43"/>
  <c r="X7" i="43"/>
  <c r="AI11" i="43"/>
  <c r="AI13" i="43"/>
  <c r="AG11" i="43"/>
  <c r="AG13" i="43"/>
  <c r="AE11" i="43"/>
  <c r="AE13" i="43"/>
  <c r="AC11" i="43"/>
  <c r="AC13" i="43"/>
  <c r="AA11" i="43"/>
  <c r="AA13" i="43"/>
  <c r="Y11" i="43"/>
  <c r="Y13" i="43"/>
  <c r="AJ11" i="43"/>
  <c r="AJ13" i="43"/>
  <c r="AH11" i="43"/>
  <c r="AH13" i="43"/>
  <c r="AF11" i="43"/>
  <c r="AF13" i="43"/>
  <c r="AD11" i="43"/>
  <c r="AD13" i="43"/>
  <c r="AB11" i="43"/>
  <c r="AB13" i="43"/>
  <c r="Z11" i="43"/>
  <c r="Z13" i="43"/>
  <c r="Z7" i="43"/>
  <c r="C7" i="39"/>
  <c r="C68" i="39"/>
  <c r="D68" i="39"/>
  <c r="C70" i="39"/>
  <c r="D123" i="9"/>
  <c r="D6" i="52"/>
  <c r="D124" i="9"/>
  <c r="D7" i="52"/>
  <c r="N49" i="57"/>
  <c r="B58" i="60"/>
  <c r="C104" i="43"/>
  <c r="A125" i="57"/>
  <c r="N47" i="9"/>
  <c r="N104" i="46"/>
  <c r="J17" i="43"/>
  <c r="C7" i="33"/>
  <c r="C58" i="33"/>
  <c r="D58" i="33"/>
  <c r="E58" i="33"/>
  <c r="F58" i="33"/>
  <c r="C7" i="37"/>
  <c r="C52" i="37"/>
  <c r="L104" i="43"/>
  <c r="D105" i="43"/>
  <c r="K103" i="43"/>
  <c r="G104" i="43"/>
  <c r="C105" i="43"/>
  <c r="D115" i="43"/>
  <c r="E115" i="43"/>
  <c r="F115" i="43"/>
  <c r="B117" i="43"/>
  <c r="C117" i="43"/>
  <c r="N106" i="43"/>
  <c r="F36" i="43"/>
  <c r="C17" i="43"/>
  <c r="F35" i="43"/>
  <c r="F37" i="43"/>
  <c r="F39" i="43"/>
  <c r="K17" i="43"/>
  <c r="F38" i="43"/>
  <c r="K86" i="43"/>
  <c r="J86" i="43"/>
  <c r="D86" i="43"/>
  <c r="M87" i="43"/>
  <c r="N87" i="43"/>
  <c r="K82" i="43"/>
  <c r="J82" i="43"/>
  <c r="D82" i="43"/>
  <c r="M83" i="43"/>
  <c r="N83" i="43"/>
  <c r="D117" i="43"/>
  <c r="E117" i="43"/>
  <c r="F117" i="43"/>
  <c r="G117" i="43"/>
  <c r="H117" i="43"/>
  <c r="B116" i="43"/>
  <c r="C116" i="43"/>
  <c r="E105" i="43"/>
  <c r="M12" i="43"/>
  <c r="M8" i="43"/>
  <c r="N7" i="43"/>
  <c r="M3" i="43"/>
  <c r="M11" i="43"/>
  <c r="N8" i="43"/>
  <c r="H8" i="44"/>
  <c r="H12" i="44"/>
  <c r="C63" i="39"/>
  <c r="G64" i="39"/>
  <c r="C64" i="39"/>
  <c r="M85" i="43"/>
  <c r="N85" i="43"/>
  <c r="K85" i="43"/>
  <c r="J85" i="43"/>
  <c r="D85" i="43"/>
  <c r="M82" i="43"/>
  <c r="N82" i="43"/>
  <c r="K83" i="43"/>
  <c r="J83" i="43"/>
  <c r="D83" i="43"/>
  <c r="J107" i="43"/>
  <c r="N109" i="43"/>
  <c r="E102" i="43"/>
  <c r="E106" i="43"/>
  <c r="I103" i="43"/>
  <c r="M107" i="43"/>
  <c r="M104" i="43"/>
  <c r="B115" i="43"/>
  <c r="C115" i="43"/>
  <c r="D116" i="43"/>
  <c r="E116" i="43"/>
  <c r="F116" i="43"/>
  <c r="G116" i="43"/>
  <c r="H116" i="43"/>
  <c r="D118" i="43"/>
  <c r="E118" i="43"/>
  <c r="F118" i="43"/>
  <c r="M7" i="15"/>
  <c r="E18" i="1"/>
  <c r="C34" i="11"/>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U33" i="35"/>
  <c r="U22" i="35"/>
  <c r="AA33" i="35"/>
  <c r="S22" i="35"/>
  <c r="U28" i="35"/>
  <c r="AB27" i="35"/>
  <c r="S35" i="35"/>
  <c r="AB26" i="35"/>
  <c r="AC16" i="35"/>
  <c r="AA25" i="35"/>
  <c r="AC34" i="37"/>
  <c r="U29" i="37"/>
  <c r="U30" i="37"/>
  <c r="S40" i="37"/>
  <c r="AC29" i="37"/>
  <c r="U26" i="37"/>
  <c r="AC13" i="37"/>
  <c r="U38" i="37"/>
  <c r="AA13" i="37"/>
  <c r="S9" i="37"/>
  <c r="W21" i="34"/>
  <c r="S35" i="34"/>
  <c r="U31" i="34"/>
  <c r="U10" i="34"/>
  <c r="S13" i="34"/>
  <c r="U37" i="33"/>
  <c r="U19" i="33"/>
  <c r="AC32" i="33"/>
  <c r="AA43" i="33"/>
  <c r="S32" i="33"/>
  <c r="U33" i="33"/>
  <c r="AA28" i="33"/>
  <c r="U30" i="33"/>
  <c r="S39" i="33"/>
  <c r="AB26" i="33"/>
  <c r="AA36" i="33"/>
  <c r="W35" i="33"/>
  <c r="W40" i="33"/>
  <c r="S33" i="33"/>
  <c r="U35" i="33"/>
  <c r="U32" i="33"/>
  <c r="AC45" i="33"/>
  <c r="AB29" i="33"/>
  <c r="AB36" i="33"/>
  <c r="W15" i="33"/>
  <c r="AA19" i="33"/>
  <c r="W8" i="33"/>
  <c r="G83" i="21"/>
  <c r="J21" i="21"/>
  <c r="W21" i="21"/>
  <c r="S27" i="21"/>
  <c r="AC31" i="21"/>
  <c r="AA32" i="21"/>
  <c r="W23" i="21"/>
  <c r="AB25" i="21"/>
  <c r="AA25" i="21"/>
  <c r="U40" i="21"/>
  <c r="S46" i="21"/>
  <c r="AC46" i="21"/>
  <c r="AA26" i="21"/>
  <c r="W10" i="21"/>
  <c r="S35" i="21"/>
  <c r="C15" i="39"/>
  <c r="C15" i="40"/>
  <c r="C17" i="40"/>
  <c r="U30" i="40"/>
  <c r="B52" i="43"/>
  <c r="B63" i="43"/>
  <c r="B23" i="60"/>
  <c r="AC21" i="40"/>
  <c r="U35" i="40"/>
  <c r="AB35" i="40"/>
  <c r="U37" i="40"/>
  <c r="AB37" i="40"/>
  <c r="W37" i="40"/>
  <c r="AC37" i="40"/>
  <c r="AA28" i="40"/>
  <c r="S28" i="40"/>
  <c r="AC28" i="40"/>
  <c r="W28" i="40"/>
  <c r="U28" i="40"/>
  <c r="AB28" i="40"/>
  <c r="AB21" i="40"/>
  <c r="U21" i="40"/>
  <c r="S21" i="40"/>
  <c r="AA21" i="40"/>
  <c r="AB17" i="40"/>
  <c r="AA17" i="40"/>
  <c r="W17" i="40"/>
  <c r="AA15" i="40"/>
  <c r="S15" i="40"/>
  <c r="AC15" i="40"/>
  <c r="AB33" i="37"/>
  <c r="U35" i="37"/>
  <c r="AA35" i="37"/>
  <c r="S35" i="37"/>
  <c r="W33" i="37"/>
  <c r="AA19" i="37"/>
  <c r="S19" i="37"/>
  <c r="AB19" i="37"/>
  <c r="AC15" i="37"/>
  <c r="M86" i="43"/>
  <c r="N86" i="43"/>
  <c r="F34" i="11"/>
  <c r="D20" i="1"/>
  <c r="F50" i="11"/>
  <c r="F18" i="1"/>
  <c r="C11" i="12"/>
  <c r="C15" i="12"/>
  <c r="K87" i="43"/>
  <c r="J87" i="43"/>
  <c r="D87" i="43"/>
  <c r="C7" i="43"/>
  <c r="C3" i="4"/>
  <c r="B4" i="55"/>
  <c r="B53" i="60"/>
  <c r="J22" i="43"/>
  <c r="M84" i="43"/>
  <c r="N84" i="43"/>
  <c r="K84" i="43"/>
  <c r="J84" i="43"/>
  <c r="D84" i="43"/>
  <c r="M81" i="43"/>
  <c r="N81" i="43"/>
  <c r="K81" i="43"/>
  <c r="J81" i="43"/>
  <c r="D81" i="43"/>
  <c r="M88" i="43"/>
  <c r="N88" i="43"/>
  <c r="K88" i="43"/>
  <c r="J88" i="43"/>
  <c r="D88" i="43"/>
  <c r="I114" i="57"/>
  <c r="D131" i="57"/>
  <c r="B41" i="1"/>
  <c r="M27" i="15"/>
  <c r="C13" i="12"/>
  <c r="C36" i="11"/>
  <c r="D118" i="57"/>
  <c r="D119" i="57"/>
  <c r="I115" i="57"/>
  <c r="D132" i="57"/>
  <c r="D134" i="57"/>
  <c r="D130" i="9"/>
  <c r="D13" i="52"/>
  <c r="N46" i="9"/>
  <c r="H9" i="44"/>
  <c r="H7" i="44"/>
  <c r="H10" i="44"/>
  <c r="N12" i="43"/>
  <c r="N4" i="43"/>
  <c r="M7" i="43"/>
  <c r="N1" i="43"/>
  <c r="M10" i="43"/>
  <c r="M2" i="43"/>
  <c r="H15" i="44"/>
  <c r="H5" i="44"/>
  <c r="N10" i="43"/>
  <c r="N2" i="43"/>
  <c r="N11" i="43"/>
  <c r="N9" i="43"/>
  <c r="M4" i="43"/>
  <c r="C6" i="43"/>
  <c r="G37" i="47"/>
  <c r="N3" i="43"/>
  <c r="F59" i="43"/>
  <c r="H59" i="43"/>
  <c r="M9" i="43"/>
  <c r="E17" i="43"/>
  <c r="N17" i="43"/>
  <c r="L17" i="43"/>
  <c r="O17" i="43"/>
  <c r="M17" i="43"/>
  <c r="J1" i="61"/>
  <c r="C16" i="59"/>
  <c r="D16" i="59"/>
  <c r="D17" i="59"/>
  <c r="B18" i="59"/>
  <c r="S18" i="59"/>
  <c r="AB18" i="59"/>
  <c r="U18" i="59"/>
  <c r="AA17" i="59"/>
  <c r="X17" i="59"/>
  <c r="AB17" i="59"/>
  <c r="AA16" i="59"/>
  <c r="Y16" i="59"/>
  <c r="Z16" i="59"/>
  <c r="Y14" i="59"/>
  <c r="Z14" i="59"/>
  <c r="AB14" i="59"/>
  <c r="AB12" i="59"/>
  <c r="X14" i="59"/>
  <c r="X12" i="59"/>
  <c r="AA14" i="59"/>
  <c r="AA12" i="59"/>
  <c r="AB13" i="59"/>
  <c r="X13" i="59"/>
  <c r="U14" i="59"/>
  <c r="J30" i="35"/>
  <c r="AC30" i="35"/>
  <c r="H30" i="35"/>
  <c r="AB30" i="35"/>
  <c r="N56" i="9"/>
  <c r="O56" i="9"/>
  <c r="O58" i="57"/>
  <c r="K58" i="57"/>
  <c r="K59" i="57"/>
  <c r="K61" i="57"/>
  <c r="K63" i="57"/>
  <c r="N58" i="57"/>
  <c r="K56" i="9"/>
  <c r="K57" i="9"/>
  <c r="K59" i="9"/>
  <c r="K61" i="9"/>
  <c r="L58" i="57"/>
  <c r="F15" i="59"/>
  <c r="F14" i="59"/>
  <c r="F13" i="59"/>
  <c r="F12" i="59"/>
  <c r="F11" i="59"/>
  <c r="F10" i="59"/>
  <c r="C15" i="59"/>
  <c r="C14" i="59"/>
  <c r="X3" i="59"/>
  <c r="Y3" i="59"/>
  <c r="Z3" i="59"/>
  <c r="D15" i="59"/>
  <c r="F48" i="43"/>
  <c r="H50" i="43"/>
  <c r="G4" i="47"/>
  <c r="B17" i="59"/>
  <c r="B16" i="59"/>
  <c r="B15" i="59"/>
  <c r="B14" i="59"/>
  <c r="I116" i="57"/>
  <c r="I114" i="9"/>
  <c r="D42" i="50"/>
  <c r="D43" i="50"/>
  <c r="D120" i="57"/>
  <c r="S29" i="31"/>
  <c r="S25" i="31"/>
  <c r="B23" i="31"/>
  <c r="B2" i="31"/>
  <c r="C34" i="57"/>
  <c r="H125" i="57"/>
  <c r="D110" i="57"/>
  <c r="D121" i="57"/>
  <c r="I117" i="57"/>
  <c r="D129" i="9"/>
  <c r="D116" i="9"/>
  <c r="D114" i="9"/>
  <c r="D115" i="9"/>
  <c r="I113" i="9"/>
  <c r="D128" i="9"/>
  <c r="D11" i="52"/>
  <c r="F114" i="34"/>
  <c r="G114" i="34"/>
  <c r="H114" i="34"/>
  <c r="I114" i="34"/>
  <c r="J114" i="34"/>
  <c r="K114" i="34"/>
  <c r="L114" i="34"/>
  <c r="M114" i="34"/>
  <c r="C13" i="59"/>
  <c r="C12" i="59"/>
  <c r="D14" i="59"/>
  <c r="U23" i="39"/>
  <c r="AC15" i="21"/>
  <c r="U37" i="21"/>
  <c r="AB37" i="21"/>
  <c r="W31" i="33"/>
  <c r="AC31" i="33"/>
  <c r="AB14" i="21"/>
  <c r="U14" i="21"/>
  <c r="F12" i="21"/>
  <c r="J12" i="21"/>
  <c r="H28" i="21"/>
  <c r="J28" i="21"/>
  <c r="J44" i="21"/>
  <c r="F44" i="21"/>
  <c r="S12" i="33"/>
  <c r="AA12" i="33"/>
  <c r="AC10" i="33"/>
  <c r="W10" i="33"/>
  <c r="F86" i="34"/>
  <c r="G86" i="34"/>
  <c r="U23" i="34"/>
  <c r="E124" i="34"/>
  <c r="D39" i="50"/>
  <c r="D40" i="50"/>
  <c r="I14" i="62"/>
  <c r="B8" i="62"/>
  <c r="L106" i="9"/>
  <c r="A18" i="55"/>
  <c r="B48" i="60"/>
  <c r="S33" i="37"/>
  <c r="AB28" i="33"/>
  <c r="AA13" i="40"/>
  <c r="S13" i="40"/>
  <c r="AC13" i="35"/>
  <c r="W13" i="35"/>
  <c r="AC14" i="33"/>
  <c r="W14" i="33"/>
  <c r="W13" i="36"/>
  <c r="AC13" i="36"/>
  <c r="AB32" i="36"/>
  <c r="U32" i="36"/>
  <c r="AB31" i="33"/>
  <c r="U31" i="33"/>
  <c r="U10" i="33"/>
  <c r="AB10" i="33"/>
  <c r="AA19" i="21"/>
  <c r="S19" i="21"/>
  <c r="AB33" i="21"/>
  <c r="U33" i="21"/>
  <c r="W38" i="21"/>
  <c r="AC38" i="21"/>
  <c r="AA10" i="21"/>
  <c r="S10" i="21"/>
  <c r="U11" i="33"/>
  <c r="AB11" i="33"/>
  <c r="E78" i="34"/>
  <c r="J23" i="36"/>
  <c r="F23" i="36"/>
  <c r="H9" i="35"/>
  <c r="AB9" i="35"/>
  <c r="H23" i="36"/>
  <c r="H25" i="37"/>
  <c r="J25" i="37"/>
  <c r="H44" i="39"/>
  <c r="F44" i="39"/>
  <c r="C41" i="59"/>
  <c r="D41" i="59"/>
  <c r="D40" i="59"/>
  <c r="D4" i="47"/>
  <c r="F4" i="47"/>
  <c r="B2" i="47"/>
  <c r="C31" i="35"/>
  <c r="I3" i="65"/>
  <c r="L24" i="65"/>
  <c r="U62" i="59"/>
  <c r="P72" i="15"/>
  <c r="D18" i="59"/>
  <c r="T18" i="59"/>
  <c r="K100" i="43"/>
  <c r="C100" i="43"/>
  <c r="I10" i="58"/>
  <c r="C17" i="15"/>
  <c r="S21" i="21"/>
  <c r="S21" i="37"/>
  <c r="T34" i="59"/>
  <c r="Y26" i="59"/>
  <c r="Z26" i="59"/>
  <c r="AB26" i="59"/>
  <c r="B28" i="59"/>
  <c r="B29" i="59"/>
  <c r="B30" i="59"/>
  <c r="S30" i="59"/>
  <c r="C28" i="59"/>
  <c r="E49" i="59"/>
  <c r="E50" i="59"/>
  <c r="U50" i="59"/>
  <c r="E57" i="59"/>
  <c r="E58" i="59"/>
  <c r="U58" i="59"/>
  <c r="P61" i="59"/>
  <c r="W40" i="34"/>
  <c r="U36" i="34"/>
  <c r="S39" i="34"/>
  <c r="W17" i="34"/>
  <c r="S23" i="34"/>
  <c r="S21" i="34"/>
  <c r="S17" i="34"/>
  <c r="U9" i="34"/>
  <c r="C27" i="15"/>
  <c r="G103" i="43"/>
  <c r="J6" i="15"/>
  <c r="M18" i="15"/>
  <c r="F30" i="1"/>
  <c r="J18" i="15"/>
  <c r="G15" i="47"/>
  <c r="AC26" i="33"/>
  <c r="W26" i="33"/>
  <c r="B13" i="59"/>
  <c r="B12" i="59"/>
  <c r="B11" i="59"/>
  <c r="B10" i="59"/>
  <c r="S14" i="59"/>
  <c r="U9" i="33"/>
  <c r="AB9" i="33"/>
  <c r="AC21" i="21"/>
  <c r="E48" i="43"/>
  <c r="B46" i="43"/>
  <c r="F9" i="59"/>
  <c r="F8" i="59"/>
  <c r="F7" i="59"/>
  <c r="F6" i="59"/>
  <c r="V10" i="59"/>
  <c r="D13" i="59"/>
  <c r="V14" i="59"/>
  <c r="T14" i="59"/>
  <c r="C106" i="9"/>
  <c r="H102" i="9"/>
  <c r="AA15" i="39"/>
  <c r="AB25" i="39"/>
  <c r="U23" i="37"/>
  <c r="S46" i="33"/>
  <c r="S14" i="33"/>
  <c r="S47" i="34"/>
  <c r="AB37" i="37"/>
  <c r="AA44" i="33"/>
  <c r="F9" i="35"/>
  <c r="AA9" i="35"/>
  <c r="F9" i="36"/>
  <c r="J9" i="36"/>
  <c r="I21" i="58"/>
  <c r="D1" i="58"/>
  <c r="E10" i="58"/>
  <c r="U25" i="31"/>
  <c r="C36" i="57"/>
  <c r="D125" i="57"/>
  <c r="N100" i="43"/>
  <c r="J100" i="43"/>
  <c r="F100" i="43"/>
  <c r="M100" i="43"/>
  <c r="I100" i="43"/>
  <c r="E100" i="43"/>
  <c r="C31" i="58"/>
  <c r="C30" i="58"/>
  <c r="E26" i="58"/>
  <c r="S21" i="33"/>
  <c r="D48" i="59"/>
  <c r="C49" i="59"/>
  <c r="D52" i="59"/>
  <c r="C53" i="59"/>
  <c r="D56" i="59"/>
  <c r="C57" i="59"/>
  <c r="C25" i="40"/>
  <c r="E24" i="59"/>
  <c r="E25" i="59"/>
  <c r="E26" i="59"/>
  <c r="U26" i="59"/>
  <c r="F24" i="59"/>
  <c r="F25" i="59"/>
  <c r="F26" i="59"/>
  <c r="V26" i="59"/>
  <c r="E28" i="59"/>
  <c r="E29" i="59"/>
  <c r="E30" i="59"/>
  <c r="U30" i="59"/>
  <c r="F28" i="59"/>
  <c r="F29" i="59"/>
  <c r="F30" i="59"/>
  <c r="V30" i="59"/>
  <c r="X31" i="59"/>
  <c r="E32" i="59"/>
  <c r="E33" i="59"/>
  <c r="E34" i="59"/>
  <c r="AB31" i="59"/>
  <c r="F32" i="59"/>
  <c r="F33" i="59"/>
  <c r="F34" i="59"/>
  <c r="V34" i="59"/>
  <c r="AB32" i="59"/>
  <c r="P62" i="59"/>
  <c r="V66" i="59"/>
  <c r="F65" i="59"/>
  <c r="F64" i="59"/>
  <c r="V74" i="59"/>
  <c r="F73" i="59"/>
  <c r="F72" i="59"/>
  <c r="X16" i="59"/>
  <c r="AA13" i="59"/>
  <c r="X15" i="59"/>
  <c r="Y12" i="59"/>
  <c r="Z12" i="59"/>
  <c r="AB10" i="59"/>
  <c r="AA5" i="59"/>
  <c r="B24" i="59"/>
  <c r="B25" i="59"/>
  <c r="B26" i="59"/>
  <c r="S26" i="59"/>
  <c r="S62" i="59"/>
  <c r="N62" i="59"/>
  <c r="V62" i="59"/>
  <c r="F61" i="59"/>
  <c r="S66" i="59"/>
  <c r="B65" i="59"/>
  <c r="B64" i="59"/>
  <c r="S74" i="59"/>
  <c r="B73" i="59"/>
  <c r="B72" i="59"/>
  <c r="AA15" i="59"/>
  <c r="AA18" i="59"/>
  <c r="E9" i="59"/>
  <c r="E8" i="59"/>
  <c r="E7" i="59"/>
  <c r="E6" i="59"/>
  <c r="U10" i="59"/>
  <c r="Y18" i="59"/>
  <c r="Z18" i="59"/>
  <c r="AB16" i="59"/>
  <c r="Y15" i="59"/>
  <c r="Z15" i="59"/>
  <c r="AB15" i="59"/>
  <c r="AA11" i="59"/>
  <c r="AB11" i="59"/>
  <c r="X11" i="59"/>
  <c r="Y6" i="59"/>
  <c r="Z6" i="59"/>
  <c r="AB7" i="59"/>
  <c r="Y17" i="59"/>
  <c r="Z17" i="59"/>
  <c r="Y13" i="59"/>
  <c r="Z13" i="59"/>
  <c r="X9" i="59"/>
  <c r="AA10" i="59"/>
  <c r="AA9" i="59"/>
  <c r="AA6" i="59"/>
  <c r="AA7" i="59"/>
  <c r="X5" i="59"/>
  <c r="X6" i="59"/>
  <c r="AB5" i="59"/>
  <c r="Y5" i="59"/>
  <c r="Z5" i="59"/>
  <c r="B15" i="50"/>
  <c r="V18" i="59"/>
  <c r="X18" i="59"/>
  <c r="Y11" i="59"/>
  <c r="Z11" i="59"/>
  <c r="Y9" i="59"/>
  <c r="Z9" i="59"/>
  <c r="AB9" i="59"/>
  <c r="AA8" i="59"/>
  <c r="X7" i="59"/>
  <c r="X8" i="59"/>
  <c r="AB6" i="59"/>
  <c r="AB8" i="59"/>
  <c r="Y7" i="59"/>
  <c r="Z7" i="59"/>
  <c r="Y8" i="59"/>
  <c r="Z8" i="59"/>
  <c r="B56" i="43"/>
  <c r="U23" i="35"/>
  <c r="AB23" i="35"/>
  <c r="J23" i="35"/>
  <c r="S34" i="35"/>
  <c r="W34" i="35"/>
  <c r="AC34" i="35"/>
  <c r="AB36" i="35"/>
  <c r="U36" i="35"/>
  <c r="AB34" i="35"/>
  <c r="F36" i="35"/>
  <c r="J36" i="35"/>
  <c r="AC12" i="35"/>
  <c r="W12" i="35"/>
  <c r="F12" i="35"/>
  <c r="H12" i="35"/>
  <c r="U30" i="35"/>
  <c r="S26" i="35"/>
  <c r="W24" i="35"/>
  <c r="S24" i="35"/>
  <c r="AB24" i="35"/>
  <c r="U25" i="35"/>
  <c r="AC20" i="35"/>
  <c r="AB20" i="35"/>
  <c r="U18" i="35"/>
  <c r="AB16" i="35"/>
  <c r="D24" i="15"/>
  <c r="D19" i="1"/>
  <c r="F19" i="1"/>
  <c r="D18" i="1"/>
  <c r="C29" i="39"/>
  <c r="B55" i="43"/>
  <c r="B75" i="43"/>
  <c r="C17" i="39"/>
  <c r="B41" i="47"/>
  <c r="W32" i="35"/>
  <c r="W33" i="35"/>
  <c r="U32" i="35"/>
  <c r="S32" i="35"/>
  <c r="AA30" i="35"/>
  <c r="W30" i="35"/>
  <c r="S28" i="35"/>
  <c r="W28" i="35"/>
  <c r="H10" i="35"/>
  <c r="J10" i="35"/>
  <c r="AC10" i="35"/>
  <c r="H56" i="35"/>
  <c r="I56" i="35"/>
  <c r="F10" i="35"/>
  <c r="AA10" i="35"/>
  <c r="W9" i="35"/>
  <c r="S10" i="35"/>
  <c r="W10" i="35"/>
  <c r="S9" i="35"/>
  <c r="U9" i="35"/>
  <c r="W8" i="35"/>
  <c r="C29" i="11"/>
  <c r="D27" i="11"/>
  <c r="F7" i="15"/>
  <c r="C6" i="15"/>
  <c r="C8" i="11"/>
  <c r="F90" i="34"/>
  <c r="G90" i="34"/>
  <c r="H90" i="34"/>
  <c r="I90" i="34"/>
  <c r="J90" i="34"/>
  <c r="K90" i="34"/>
  <c r="L90" i="34"/>
  <c r="M90" i="34"/>
  <c r="U27" i="34"/>
  <c r="S8" i="34"/>
  <c r="F124" i="34"/>
  <c r="G124" i="34"/>
  <c r="H124" i="34"/>
  <c r="I124" i="34"/>
  <c r="J124" i="34"/>
  <c r="K124" i="34"/>
  <c r="L124" i="34"/>
  <c r="M124" i="34"/>
  <c r="W43" i="34"/>
  <c r="U43" i="34"/>
  <c r="E8" i="43"/>
  <c r="E11" i="43"/>
  <c r="E9" i="43"/>
  <c r="E10" i="43"/>
  <c r="K106" i="43"/>
  <c r="A8" i="52"/>
  <c r="B65" i="60"/>
  <c r="F70" i="43"/>
  <c r="H70" i="43"/>
  <c r="F5" i="59"/>
  <c r="V6" i="59"/>
  <c r="E5" i="59"/>
  <c r="U6" i="59"/>
  <c r="D18" i="50"/>
  <c r="B31" i="60"/>
  <c r="A10" i="52"/>
  <c r="B66" i="60"/>
  <c r="G26" i="47"/>
  <c r="H54" i="43"/>
  <c r="B20" i="60"/>
  <c r="C18" i="50"/>
  <c r="L108" i="57"/>
  <c r="AA8" i="37"/>
  <c r="AC8" i="37"/>
  <c r="AC36" i="37"/>
  <c r="S36" i="37"/>
  <c r="S30" i="37"/>
  <c r="W31" i="37"/>
  <c r="AA29" i="37"/>
  <c r="E68" i="39"/>
  <c r="E70" i="39"/>
  <c r="C21" i="50"/>
  <c r="F126" i="57"/>
  <c r="C10" i="11"/>
  <c r="B103" i="9"/>
  <c r="C40" i="11"/>
  <c r="C47" i="11"/>
  <c r="D45" i="11"/>
  <c r="F55" i="57"/>
  <c r="F52" i="9"/>
  <c r="F32" i="15"/>
  <c r="F61" i="15"/>
  <c r="F50" i="57"/>
  <c r="P54" i="57"/>
  <c r="F56" i="57"/>
  <c r="F54" i="9"/>
  <c r="F53" i="9"/>
  <c r="D70" i="57"/>
  <c r="F31" i="12"/>
  <c r="F48" i="9"/>
  <c r="P52" i="9"/>
  <c r="F30" i="11"/>
  <c r="F48" i="11"/>
  <c r="F28" i="15"/>
  <c r="F54" i="57"/>
  <c r="D68" i="9"/>
  <c r="C19" i="11"/>
  <c r="B105" i="57"/>
  <c r="C118" i="57"/>
  <c r="H114" i="57"/>
  <c r="T28" i="31"/>
  <c r="T25" i="31"/>
  <c r="C116" i="57"/>
  <c r="H112" i="57"/>
  <c r="C17" i="12"/>
  <c r="B36" i="50"/>
  <c r="B56" i="60"/>
  <c r="H53" i="43"/>
  <c r="J20" i="15"/>
  <c r="F51" i="15"/>
  <c r="C50" i="15"/>
  <c r="D63" i="40"/>
  <c r="D65" i="40"/>
  <c r="H52" i="43"/>
  <c r="G118" i="43"/>
  <c r="H118" i="43"/>
  <c r="I117" i="43"/>
  <c r="J117" i="43"/>
  <c r="K117" i="43"/>
  <c r="L117" i="43"/>
  <c r="M117" i="43"/>
  <c r="M106" i="43"/>
  <c r="M102" i="43"/>
  <c r="I105" i="43"/>
  <c r="I109" i="43"/>
  <c r="E104" i="43"/>
  <c r="E107" i="43"/>
  <c r="J106" i="43"/>
  <c r="F109" i="43"/>
  <c r="I106" i="43"/>
  <c r="B118" i="43"/>
  <c r="C118" i="43"/>
  <c r="I116" i="43"/>
  <c r="J116" i="43"/>
  <c r="K116" i="43"/>
  <c r="L116" i="43"/>
  <c r="M116" i="43"/>
  <c r="I115" i="43"/>
  <c r="J115" i="43"/>
  <c r="K115" i="43"/>
  <c r="L115" i="43"/>
  <c r="M115" i="43"/>
  <c r="F68" i="39"/>
  <c r="G68" i="39"/>
  <c r="H68" i="39"/>
  <c r="G70" i="39"/>
  <c r="H48" i="43"/>
  <c r="H55" i="43"/>
  <c r="F70" i="39"/>
  <c r="F107" i="43"/>
  <c r="J109" i="43"/>
  <c r="M103" i="43"/>
  <c r="M105" i="43"/>
  <c r="E22" i="43"/>
  <c r="H22" i="43"/>
  <c r="B39" i="50"/>
  <c r="B57" i="60"/>
  <c r="I107" i="43"/>
  <c r="I104" i="43"/>
  <c r="E103" i="43"/>
  <c r="D109" i="43"/>
  <c r="D106" i="43"/>
  <c r="H106" i="43"/>
  <c r="H103" i="43"/>
  <c r="L103" i="43"/>
  <c r="L106" i="43"/>
  <c r="C109" i="43"/>
  <c r="C102" i="43"/>
  <c r="S7" i="43"/>
  <c r="C106" i="43"/>
  <c r="C107" i="43"/>
  <c r="C103" i="43"/>
  <c r="G107" i="43"/>
  <c r="G109" i="43"/>
  <c r="G106" i="43"/>
  <c r="G102" i="43"/>
  <c r="K109" i="43"/>
  <c r="K104" i="43"/>
  <c r="K102" i="43"/>
  <c r="K105" i="43"/>
  <c r="A4" i="52"/>
  <c r="A6" i="54"/>
  <c r="B7" i="60"/>
  <c r="A4" i="54"/>
  <c r="B6" i="60"/>
  <c r="A121" i="9"/>
  <c r="C13" i="50"/>
  <c r="C109" i="9"/>
  <c r="H106" i="9"/>
  <c r="C111" i="9"/>
  <c r="H108" i="9"/>
  <c r="H105" i="9"/>
  <c r="C110" i="9"/>
  <c r="H107" i="9"/>
  <c r="D41" i="50"/>
  <c r="B63" i="60"/>
  <c r="C12" i="50"/>
  <c r="E125" i="57"/>
  <c r="D126" i="57"/>
  <c r="C113" i="57"/>
  <c r="H108" i="57"/>
  <c r="C115" i="57"/>
  <c r="H110" i="57"/>
  <c r="D19" i="50"/>
  <c r="B32" i="60"/>
  <c r="C14" i="50"/>
  <c r="X10" i="59"/>
  <c r="Y10" i="59"/>
  <c r="Z10" i="59"/>
  <c r="AF3" i="59"/>
  <c r="K1" i="61"/>
  <c r="W15" i="34"/>
  <c r="H31" i="35"/>
  <c r="U31" i="35"/>
  <c r="J31" i="35"/>
  <c r="AC31" i="35"/>
  <c r="F31" i="35"/>
  <c r="S31" i="35"/>
  <c r="AA44" i="39"/>
  <c r="S44" i="39"/>
  <c r="AC25" i="37"/>
  <c r="W25" i="37"/>
  <c r="U23" i="36"/>
  <c r="AB23" i="36"/>
  <c r="AA23" i="36"/>
  <c r="S23" i="36"/>
  <c r="F78" i="34"/>
  <c r="G78" i="34"/>
  <c r="U15" i="34"/>
  <c r="AA44" i="21"/>
  <c r="S44" i="21"/>
  <c r="W28" i="21"/>
  <c r="AC28" i="21"/>
  <c r="AC12" i="21"/>
  <c r="W12" i="21"/>
  <c r="C29" i="59"/>
  <c r="D28" i="59"/>
  <c r="AB44" i="39"/>
  <c r="U44" i="39"/>
  <c r="U25" i="37"/>
  <c r="AB25" i="37"/>
  <c r="AC23" i="36"/>
  <c r="W23" i="36"/>
  <c r="S15" i="34"/>
  <c r="AC44" i="21"/>
  <c r="W44" i="21"/>
  <c r="AB28" i="21"/>
  <c r="U28" i="21"/>
  <c r="AA12" i="21"/>
  <c r="S12" i="21"/>
  <c r="C11" i="59"/>
  <c r="D12" i="59"/>
  <c r="D70" i="39"/>
  <c r="F60" i="59"/>
  <c r="Q61" i="59"/>
  <c r="D57" i="59"/>
  <c r="C58" i="59"/>
  <c r="D53" i="59"/>
  <c r="C54" i="59"/>
  <c r="D49" i="59"/>
  <c r="C50" i="59"/>
  <c r="AA9" i="36"/>
  <c r="S9" i="36"/>
  <c r="M19" i="43"/>
  <c r="U34" i="59"/>
  <c r="AC9" i="36"/>
  <c r="W9" i="36"/>
  <c r="B9" i="59"/>
  <c r="B8" i="59"/>
  <c r="B7" i="59"/>
  <c r="B6" i="59"/>
  <c r="S10" i="59"/>
  <c r="AC23" i="35"/>
  <c r="W23" i="35"/>
  <c r="AA36" i="35"/>
  <c r="S36" i="35"/>
  <c r="W36" i="35"/>
  <c r="AC36" i="35"/>
  <c r="U12" i="35"/>
  <c r="AB12" i="35"/>
  <c r="S12" i="35"/>
  <c r="AA12" i="35"/>
  <c r="U10" i="35"/>
  <c r="AB10" i="35"/>
  <c r="S43" i="34"/>
  <c r="D7" i="62"/>
  <c r="R25" i="31"/>
  <c r="E63" i="40"/>
  <c r="S4" i="43"/>
  <c r="S6" i="43"/>
  <c r="S5" i="43"/>
  <c r="C23" i="43"/>
  <c r="S3" i="43"/>
  <c r="S2" i="43"/>
  <c r="I68" i="39"/>
  <c r="H70" i="39"/>
  <c r="P28" i="43"/>
  <c r="N28" i="43"/>
  <c r="M28" i="43"/>
  <c r="O28" i="43"/>
  <c r="G20" i="43"/>
  <c r="E41" i="43"/>
  <c r="C41" i="43"/>
  <c r="D29" i="59"/>
  <c r="C30" i="59"/>
  <c r="AA31" i="35"/>
  <c r="AB31" i="35"/>
  <c r="D11" i="59"/>
  <c r="C10" i="59"/>
  <c r="W31" i="35"/>
  <c r="Q60" i="59"/>
  <c r="Q59" i="59"/>
  <c r="S6" i="59"/>
  <c r="B5" i="59"/>
  <c r="D50" i="59"/>
  <c r="T50" i="59"/>
  <c r="D54" i="59"/>
  <c r="T54" i="59"/>
  <c r="T58" i="59"/>
  <c r="D58" i="59"/>
  <c r="B24" i="31"/>
  <c r="B3" i="31"/>
  <c r="C35" i="57"/>
  <c r="I125" i="57"/>
  <c r="E65" i="40"/>
  <c r="F63" i="40"/>
  <c r="I70" i="39"/>
  <c r="J68" i="39"/>
  <c r="T10" i="59"/>
  <c r="D10" i="59"/>
  <c r="C9" i="59"/>
  <c r="D30" i="59"/>
  <c r="T30" i="59"/>
  <c r="H126" i="57"/>
  <c r="C107" i="57"/>
  <c r="I104" i="57"/>
  <c r="D111" i="57"/>
  <c r="C108" i="57"/>
  <c r="I105" i="57"/>
  <c r="F65" i="40"/>
  <c r="G63" i="40"/>
  <c r="K68" i="39"/>
  <c r="L68" i="39"/>
  <c r="L70" i="39"/>
  <c r="J70" i="39"/>
  <c r="D9" i="59"/>
  <c r="C8" i="59"/>
  <c r="I112" i="57"/>
  <c r="D47" i="57"/>
  <c r="N50" i="57"/>
  <c r="D116" i="57"/>
  <c r="D117" i="57"/>
  <c r="I113" i="57"/>
  <c r="D130" i="57"/>
  <c r="D10" i="52"/>
  <c r="G65" i="40"/>
  <c r="H63" i="40"/>
  <c r="K70" i="39"/>
  <c r="C7" i="59"/>
  <c r="D8" i="59"/>
  <c r="D129" i="57"/>
  <c r="N51" i="57"/>
  <c r="D61" i="57"/>
  <c r="N57" i="57"/>
  <c r="D57" i="57"/>
  <c r="N55" i="57"/>
  <c r="C66" i="57"/>
  <c r="I63" i="40"/>
  <c r="H65" i="40"/>
  <c r="M68" i="39"/>
  <c r="M70" i="39"/>
  <c r="C6" i="59"/>
  <c r="D7" i="59"/>
  <c r="M70" i="57"/>
  <c r="N70" i="57"/>
  <c r="M69" i="57"/>
  <c r="N69" i="57"/>
  <c r="M68" i="57"/>
  <c r="N68" i="57"/>
  <c r="M67" i="57"/>
  <c r="N67" i="57"/>
  <c r="M65" i="57"/>
  <c r="N65" i="57"/>
  <c r="M66" i="57"/>
  <c r="N66" i="57"/>
  <c r="J63" i="40"/>
  <c r="I65" i="40"/>
  <c r="N68" i="39"/>
  <c r="C5" i="59"/>
  <c r="D5" i="59"/>
  <c r="T6" i="59"/>
  <c r="D6" i="59"/>
  <c r="N71" i="57"/>
  <c r="O71" i="57"/>
  <c r="N70" i="39"/>
  <c r="O68" i="39"/>
  <c r="O70" i="39"/>
  <c r="J7" i="39"/>
  <c r="H7" i="39"/>
  <c r="F7" i="39"/>
  <c r="S7" i="39"/>
  <c r="AA7" i="39"/>
  <c r="R47" i="39"/>
  <c r="AB7" i="39"/>
  <c r="T47" i="39"/>
  <c r="G47" i="39"/>
  <c r="U7" i="39"/>
  <c r="AC7" i="39"/>
  <c r="V47" i="39"/>
  <c r="I47" i="39"/>
  <c r="W7" i="39"/>
  <c r="D55" i="9"/>
  <c r="N53" i="9"/>
  <c r="D56" i="9"/>
  <c r="N54" i="9"/>
  <c r="D59" i="9"/>
  <c r="N55" i="9"/>
  <c r="N49" i="9"/>
  <c r="M65" i="9"/>
  <c r="N65" i="9"/>
  <c r="M63" i="9"/>
  <c r="N63" i="9"/>
  <c r="N69" i="9"/>
  <c r="O69" i="9"/>
  <c r="M64" i="9"/>
  <c r="N64" i="9"/>
  <c r="M66" i="9"/>
  <c r="N66" i="9"/>
  <c r="M68" i="9"/>
  <c r="N68" i="9"/>
  <c r="M67" i="9"/>
  <c r="N67" i="9"/>
  <c r="S32" i="34"/>
  <c r="W31" i="34"/>
  <c r="W47" i="34"/>
  <c r="U46" i="34"/>
  <c r="W45" i="34"/>
  <c r="S38" i="34"/>
  <c r="S28" i="34"/>
  <c r="W35" i="34"/>
  <c r="S36" i="34"/>
  <c r="G102" i="34"/>
  <c r="H102" i="34"/>
  <c r="I102" i="34"/>
  <c r="J102" i="34"/>
  <c r="K102" i="34"/>
  <c r="L102" i="34"/>
  <c r="M102" i="34"/>
  <c r="S33" i="34"/>
  <c r="W33" i="34"/>
  <c r="U33" i="34"/>
  <c r="S19" i="34"/>
  <c r="W29" i="34"/>
  <c r="S25" i="34"/>
  <c r="U25" i="34"/>
  <c r="G88" i="34"/>
  <c r="H88" i="34"/>
  <c r="I88" i="34"/>
  <c r="J88" i="34"/>
  <c r="K88" i="34"/>
  <c r="L88" i="34"/>
  <c r="M88" i="34"/>
  <c r="W25" i="34"/>
  <c r="T10" i="72"/>
  <c r="B9" i="72"/>
  <c r="E9" i="72"/>
  <c r="B7" i="72"/>
  <c r="E7" i="72"/>
  <c r="S8" i="72"/>
  <c r="AR8" i="72"/>
  <c r="G6" i="72"/>
  <c r="AR13" i="72"/>
  <c r="AQ13" i="72"/>
  <c r="T13" i="72"/>
  <c r="R9" i="72"/>
  <c r="R7" i="72"/>
  <c r="S7" i="72"/>
  <c r="S12" i="72"/>
  <c r="AR12" i="72"/>
  <c r="O16" i="72"/>
  <c r="G8" i="72"/>
  <c r="C11" i="65"/>
  <c r="D20" i="50"/>
  <c r="C14" i="15"/>
  <c r="C15" i="15"/>
  <c r="D1" i="43"/>
  <c r="B67" i="43"/>
  <c r="B54" i="43"/>
  <c r="B74" i="43"/>
  <c r="B65" i="43"/>
  <c r="C21" i="39"/>
  <c r="B60" i="43"/>
  <c r="B49" i="43"/>
  <c r="C19" i="39"/>
  <c r="W41" i="34"/>
  <c r="U38" i="34"/>
  <c r="E81" i="43"/>
  <c r="B79" i="43"/>
  <c r="C24" i="43"/>
  <c r="G17" i="43"/>
  <c r="C94" i="57"/>
  <c r="C94" i="9"/>
  <c r="U37" i="34"/>
  <c r="S37" i="34"/>
  <c r="F11" i="12"/>
  <c r="C14" i="12"/>
  <c r="F13" i="15"/>
  <c r="G29" i="35"/>
  <c r="H29" i="35"/>
  <c r="AB29" i="35"/>
  <c r="C18" i="65"/>
  <c r="E16" i="65"/>
  <c r="D22" i="43"/>
  <c r="C21" i="43"/>
  <c r="H72" i="43"/>
  <c r="C16" i="43"/>
  <c r="D5" i="43"/>
  <c r="H78" i="43"/>
  <c r="H77" i="43"/>
  <c r="C34" i="15"/>
  <c r="AC29" i="35"/>
  <c r="W29" i="35"/>
  <c r="C38" i="11"/>
  <c r="C35" i="11"/>
  <c r="U29" i="35"/>
  <c r="C16" i="15"/>
  <c r="E29" i="35"/>
  <c r="F29" i="35"/>
  <c r="C12" i="12"/>
  <c r="G115" i="43"/>
  <c r="H115" i="43"/>
  <c r="L102" i="43"/>
  <c r="L105" i="43"/>
  <c r="L107" i="43"/>
  <c r="H105" i="43"/>
  <c r="H109" i="43"/>
  <c r="D104" i="43"/>
  <c r="D107" i="43"/>
  <c r="J105" i="43"/>
  <c r="J103" i="43"/>
  <c r="F102" i="43"/>
  <c r="N104" i="43"/>
  <c r="F105" i="43"/>
  <c r="N103" i="43"/>
  <c r="H102" i="43"/>
  <c r="N105" i="43"/>
  <c r="J104" i="43"/>
  <c r="F103" i="43"/>
  <c r="F106" i="43"/>
  <c r="D102" i="43"/>
  <c r="H104" i="43"/>
  <c r="C32" i="15"/>
  <c r="C33" i="15"/>
  <c r="C18" i="15"/>
  <c r="C8" i="65"/>
  <c r="S34" i="34"/>
  <c r="U34" i="34"/>
  <c r="W34" i="34"/>
  <c r="H73" i="43"/>
  <c r="H76" i="43"/>
  <c r="H75" i="43"/>
  <c r="H71" i="43"/>
  <c r="H74" i="43"/>
  <c r="H49" i="43"/>
  <c r="H56" i="43"/>
  <c r="H51" i="43"/>
  <c r="C5" i="43"/>
  <c r="H62" i="43"/>
  <c r="H66" i="43"/>
  <c r="H65" i="43"/>
  <c r="H64" i="43"/>
  <c r="H63" i="43"/>
  <c r="H60" i="43"/>
  <c r="H67" i="43"/>
  <c r="H61" i="43"/>
  <c r="T6" i="72"/>
  <c r="S16" i="72"/>
  <c r="AR6" i="72"/>
  <c r="AQ6" i="72"/>
  <c r="AQ11" i="72"/>
  <c r="T11" i="72"/>
  <c r="AR11" i="72"/>
  <c r="AQ9" i="72"/>
  <c r="T9" i="72"/>
  <c r="AR9" i="72"/>
  <c r="K6" i="72"/>
  <c r="T12" i="72"/>
  <c r="B11" i="72"/>
  <c r="E11" i="72"/>
  <c r="T8" i="72"/>
  <c r="K8" i="72"/>
  <c r="M8" i="72"/>
  <c r="AQ12" i="72"/>
  <c r="AQ10" i="72"/>
  <c r="AQ8" i="72"/>
  <c r="B6" i="72"/>
  <c r="E6" i="72"/>
  <c r="B8" i="72"/>
  <c r="E8" i="72"/>
  <c r="R48" i="39"/>
  <c r="E47" i="39"/>
  <c r="I51" i="39"/>
  <c r="J51" i="39"/>
  <c r="I52" i="39"/>
  <c r="J52" i="39"/>
  <c r="G51" i="39"/>
  <c r="H51" i="39"/>
  <c r="G52" i="39"/>
  <c r="H52" i="39"/>
  <c r="J65" i="40"/>
  <c r="K63" i="40"/>
  <c r="D8" i="62"/>
  <c r="C8" i="62"/>
  <c r="G58" i="33"/>
  <c r="D133" i="57"/>
  <c r="D12" i="52"/>
  <c r="D21" i="50"/>
  <c r="D52" i="37"/>
  <c r="E52" i="37"/>
  <c r="F52" i="37"/>
  <c r="G52" i="37"/>
  <c r="H52" i="37"/>
  <c r="I52" i="37"/>
  <c r="J52" i="37"/>
  <c r="K52" i="37"/>
  <c r="L52" i="37"/>
  <c r="M52" i="37"/>
  <c r="N52" i="37"/>
  <c r="O52" i="37"/>
  <c r="J7" i="37"/>
  <c r="C7" i="35"/>
  <c r="C48" i="35"/>
  <c r="C53" i="10"/>
  <c r="C7" i="21"/>
  <c r="C58" i="21"/>
  <c r="G19" i="43"/>
  <c r="C7" i="36"/>
  <c r="C46" i="36"/>
  <c r="J52" i="15"/>
  <c r="W32" i="34"/>
  <c r="W46" i="34"/>
  <c r="S46" i="34"/>
  <c r="C33" i="11"/>
  <c r="C39" i="11"/>
  <c r="AQ7" i="72"/>
  <c r="T7" i="72"/>
  <c r="T16" i="72"/>
  <c r="AR7" i="72"/>
  <c r="C16" i="12"/>
  <c r="C21" i="12"/>
  <c r="C23" i="12"/>
  <c r="C19" i="15"/>
  <c r="C20" i="15"/>
  <c r="C26" i="15"/>
  <c r="S29" i="35"/>
  <c r="AA29" i="35"/>
  <c r="C46" i="11"/>
  <c r="C45" i="11"/>
  <c r="D113" i="43"/>
  <c r="C22" i="12"/>
  <c r="C12" i="65"/>
  <c r="C10" i="65"/>
  <c r="C9" i="65"/>
  <c r="C13" i="65"/>
  <c r="M6" i="72"/>
  <c r="M16" i="72"/>
  <c r="H16" i="72"/>
  <c r="Q16" i="72"/>
  <c r="K16" i="72"/>
  <c r="G16" i="72"/>
  <c r="I20" i="43"/>
  <c r="C20" i="43"/>
  <c r="I5" i="65"/>
  <c r="L49" i="15"/>
  <c r="J58" i="15"/>
  <c r="B14" i="1"/>
  <c r="D46" i="36"/>
  <c r="E46" i="36"/>
  <c r="F46" i="36"/>
  <c r="G46" i="36"/>
  <c r="H46" i="36"/>
  <c r="I46" i="36"/>
  <c r="J46" i="36"/>
  <c r="K46" i="36"/>
  <c r="L46" i="36"/>
  <c r="M46" i="36"/>
  <c r="N46" i="36"/>
  <c r="O46" i="36"/>
  <c r="F7" i="36"/>
  <c r="J7" i="36"/>
  <c r="O19" i="43"/>
  <c r="P24" i="43"/>
  <c r="B66" i="40"/>
  <c r="P21" i="43"/>
  <c r="B71" i="39"/>
  <c r="P23" i="43"/>
  <c r="C19" i="43"/>
  <c r="P25" i="43"/>
  <c r="P22" i="43"/>
  <c r="M20" i="43"/>
  <c r="M17" i="15"/>
  <c r="C79" i="57"/>
  <c r="C24" i="12"/>
  <c r="C29" i="12"/>
  <c r="D28" i="12"/>
  <c r="F31" i="15"/>
  <c r="C31" i="15"/>
  <c r="C31" i="12"/>
  <c r="C30" i="11"/>
  <c r="C76" i="57"/>
  <c r="C77" i="9"/>
  <c r="C74" i="9"/>
  <c r="F60" i="15"/>
  <c r="D55" i="57"/>
  <c r="D50" i="57"/>
  <c r="N54" i="57"/>
  <c r="C65" i="57"/>
  <c r="C69" i="57"/>
  <c r="C70" i="57"/>
  <c r="D56" i="57"/>
  <c r="D54" i="57"/>
  <c r="C28" i="15"/>
  <c r="C95" i="57"/>
  <c r="C88" i="57"/>
  <c r="C74" i="57"/>
  <c r="C48" i="11"/>
  <c r="C80" i="57"/>
  <c r="C87" i="57"/>
  <c r="F7" i="37"/>
  <c r="D22" i="50"/>
  <c r="B35" i="60"/>
  <c r="B33" i="60"/>
  <c r="L63" i="40"/>
  <c r="K65" i="40"/>
  <c r="E51" i="39"/>
  <c r="F51" i="39"/>
  <c r="E52" i="39"/>
  <c r="F52" i="39"/>
  <c r="M60" i="15"/>
  <c r="N60" i="15"/>
  <c r="L60" i="15"/>
  <c r="J54" i="15"/>
  <c r="D58" i="21"/>
  <c r="E58" i="21"/>
  <c r="F58" i="21"/>
  <c r="G58" i="21"/>
  <c r="H58" i="21"/>
  <c r="I58" i="21"/>
  <c r="J58" i="21"/>
  <c r="K58" i="21"/>
  <c r="L58" i="21"/>
  <c r="M58" i="21"/>
  <c r="N58" i="21"/>
  <c r="O58" i="21"/>
  <c r="J7" i="21"/>
  <c r="D48" i="35"/>
  <c r="E48" i="35"/>
  <c r="F48" i="35"/>
  <c r="G48" i="35"/>
  <c r="H48" i="35"/>
  <c r="I48" i="35"/>
  <c r="J48" i="35"/>
  <c r="K48" i="35"/>
  <c r="L48" i="35"/>
  <c r="M48" i="35"/>
  <c r="N48" i="35"/>
  <c r="O48" i="35"/>
  <c r="F7" i="35"/>
  <c r="AC7" i="37"/>
  <c r="V42" i="37"/>
  <c r="I42" i="37"/>
  <c r="W7" i="37"/>
  <c r="H7" i="37"/>
  <c r="H58" i="33"/>
  <c r="C48" i="39"/>
  <c r="C47" i="39"/>
  <c r="E3" i="4"/>
  <c r="C30" i="12"/>
  <c r="C28" i="12"/>
  <c r="I55" i="15"/>
  <c r="C97" i="57"/>
  <c r="C98" i="57"/>
  <c r="E98" i="57"/>
  <c r="E99" i="57"/>
  <c r="C14" i="65"/>
  <c r="C20" i="65"/>
  <c r="C19" i="65"/>
  <c r="L16" i="72"/>
  <c r="N16" i="72"/>
  <c r="B62" i="39"/>
  <c r="F62" i="39"/>
  <c r="B57" i="39"/>
  <c r="F57" i="39"/>
  <c r="B63" i="39"/>
  <c r="F63" i="39"/>
  <c r="B64" i="39"/>
  <c r="F64" i="39"/>
  <c r="B61" i="39"/>
  <c r="F61" i="39"/>
  <c r="B58" i="39"/>
  <c r="F58" i="39"/>
  <c r="B65" i="39"/>
  <c r="F65" i="39"/>
  <c r="B60" i="39"/>
  <c r="F60" i="39"/>
  <c r="B59" i="39"/>
  <c r="F59" i="39"/>
  <c r="B56" i="39"/>
  <c r="F56" i="39"/>
  <c r="F66" i="39"/>
  <c r="B2" i="39"/>
  <c r="B3" i="39"/>
  <c r="AB7" i="37"/>
  <c r="T42" i="37"/>
  <c r="G42" i="37"/>
  <c r="U7" i="37"/>
  <c r="I46" i="37"/>
  <c r="J46" i="37"/>
  <c r="S7" i="35"/>
  <c r="AA7" i="35"/>
  <c r="R38" i="35"/>
  <c r="AC7" i="21"/>
  <c r="V48" i="21"/>
  <c r="I48" i="21"/>
  <c r="W7" i="21"/>
  <c r="S7" i="34"/>
  <c r="B34" i="1"/>
  <c r="F41" i="15"/>
  <c r="F70" i="15"/>
  <c r="Q50" i="15"/>
  <c r="Q72" i="15"/>
  <c r="Q59" i="15"/>
  <c r="L65" i="40"/>
  <c r="M63" i="40"/>
  <c r="C99" i="57"/>
  <c r="D60" i="57"/>
  <c r="D58" i="57"/>
  <c r="N56" i="57"/>
  <c r="O59" i="57"/>
  <c r="C38" i="43"/>
  <c r="C33" i="43"/>
  <c r="T10" i="43"/>
  <c r="V10" i="43"/>
  <c r="T15" i="43"/>
  <c r="V15" i="43"/>
  <c r="T2" i="43"/>
  <c r="V2" i="43"/>
  <c r="T6" i="43"/>
  <c r="V6" i="43"/>
  <c r="T9" i="43"/>
  <c r="V9" i="43"/>
  <c r="T12" i="43"/>
  <c r="V12" i="43"/>
  <c r="C37" i="43"/>
  <c r="T16" i="43"/>
  <c r="V16" i="43"/>
  <c r="T4" i="43"/>
  <c r="V4" i="43"/>
  <c r="T14" i="43"/>
  <c r="V14" i="43"/>
  <c r="C34" i="43"/>
  <c r="C39" i="43"/>
  <c r="C29" i="43"/>
  <c r="C36" i="43"/>
  <c r="T5" i="43"/>
  <c r="V5" i="43"/>
  <c r="C35" i="43"/>
  <c r="T8" i="43"/>
  <c r="V8" i="43"/>
  <c r="T11" i="43"/>
  <c r="V11" i="43"/>
  <c r="T13" i="43"/>
  <c r="V13" i="43"/>
  <c r="T3" i="43"/>
  <c r="V3" i="43"/>
  <c r="T7" i="43"/>
  <c r="V7" i="43"/>
  <c r="I58" i="33"/>
  <c r="J7" i="35"/>
  <c r="H7" i="35"/>
  <c r="F7" i="21"/>
  <c r="H7" i="21"/>
  <c r="K45" i="15"/>
  <c r="J56" i="15"/>
  <c r="J59" i="15"/>
  <c r="Q48" i="15"/>
  <c r="AA7" i="37"/>
  <c r="R42" i="37"/>
  <c r="S7" i="37"/>
  <c r="C75" i="57"/>
  <c r="C81" i="57"/>
  <c r="AC7" i="36"/>
  <c r="V36" i="36"/>
  <c r="I36" i="36"/>
  <c r="W7" i="36"/>
  <c r="H7" i="36"/>
  <c r="H10" i="40"/>
  <c r="F10" i="40"/>
  <c r="F10" i="39"/>
  <c r="J10" i="39"/>
  <c r="H10" i="39"/>
  <c r="J10" i="40"/>
  <c r="S7" i="36"/>
  <c r="AA7" i="36"/>
  <c r="R36" i="36"/>
  <c r="L59" i="15"/>
  <c r="L57" i="15"/>
  <c r="B5" i="55"/>
  <c r="B55" i="60"/>
  <c r="B18" i="49"/>
  <c r="B4" i="60"/>
  <c r="C17" i="65"/>
  <c r="C16" i="65"/>
  <c r="C83" i="57"/>
  <c r="C82" i="57"/>
  <c r="E82" i="57"/>
  <c r="E83" i="57"/>
  <c r="Q71" i="15"/>
  <c r="Q58" i="15"/>
  <c r="AB10" i="39"/>
  <c r="U10" i="39"/>
  <c r="S10" i="39"/>
  <c r="AA10" i="39"/>
  <c r="U10" i="40"/>
  <c r="AB10" i="40"/>
  <c r="U7" i="34"/>
  <c r="G49" i="34"/>
  <c r="U7" i="21"/>
  <c r="AB7" i="21"/>
  <c r="T48" i="21"/>
  <c r="G48" i="21"/>
  <c r="U7" i="35"/>
  <c r="AB7" i="35"/>
  <c r="T38" i="35"/>
  <c r="G38" i="35"/>
  <c r="J58" i="33"/>
  <c r="G35" i="43"/>
  <c r="I35" i="43"/>
  <c r="E35" i="43"/>
  <c r="E36" i="43"/>
  <c r="G36" i="43"/>
  <c r="I36" i="43"/>
  <c r="G39" i="43"/>
  <c r="I39" i="43"/>
  <c r="E39" i="43"/>
  <c r="E33" i="43"/>
  <c r="G33" i="43"/>
  <c r="I33" i="43"/>
  <c r="O60" i="57"/>
  <c r="O61" i="57"/>
  <c r="Q59" i="57"/>
  <c r="I52" i="21"/>
  <c r="J52" i="21"/>
  <c r="G46" i="37"/>
  <c r="H46" i="37"/>
  <c r="G47" i="37"/>
  <c r="H47" i="37"/>
  <c r="E36" i="36"/>
  <c r="R37" i="36"/>
  <c r="AC10" i="40"/>
  <c r="W10" i="40"/>
  <c r="AC10" i="39"/>
  <c r="W10" i="39"/>
  <c r="AA10" i="40"/>
  <c r="S10" i="40"/>
  <c r="U7" i="36"/>
  <c r="AB7" i="36"/>
  <c r="T36" i="36"/>
  <c r="G36" i="36"/>
  <c r="I40" i="36"/>
  <c r="J40" i="36"/>
  <c r="I41" i="36"/>
  <c r="J41" i="36"/>
  <c r="R43" i="37"/>
  <c r="E42" i="37"/>
  <c r="W7" i="34"/>
  <c r="I49" i="34"/>
  <c r="S7" i="21"/>
  <c r="AA7" i="21"/>
  <c r="R48" i="21"/>
  <c r="W7" i="35"/>
  <c r="AC7" i="35"/>
  <c r="V38" i="35"/>
  <c r="I38" i="35"/>
  <c r="C30" i="43"/>
  <c r="E30" i="43"/>
  <c r="E29" i="43"/>
  <c r="G34" i="43"/>
  <c r="I34" i="43"/>
  <c r="E34" i="43"/>
  <c r="E37" i="43"/>
  <c r="G37" i="43"/>
  <c r="I37" i="43"/>
  <c r="G38" i="43"/>
  <c r="I38" i="43"/>
  <c r="E38" i="43"/>
  <c r="N63" i="40"/>
  <c r="M65" i="40"/>
  <c r="E49" i="34"/>
  <c r="R39" i="35"/>
  <c r="E38" i="35"/>
  <c r="C49" i="34"/>
  <c r="B2" i="86"/>
  <c r="C38" i="35"/>
  <c r="C39" i="35"/>
  <c r="O63" i="40"/>
  <c r="O65" i="40"/>
  <c r="N65" i="40"/>
  <c r="H7" i="40"/>
  <c r="C27" i="43"/>
  <c r="I42" i="35"/>
  <c r="J42" i="35"/>
  <c r="I43" i="35"/>
  <c r="J43" i="35"/>
  <c r="E48" i="21"/>
  <c r="R49" i="21"/>
  <c r="I53" i="34"/>
  <c r="J53" i="34"/>
  <c r="I54" i="34"/>
  <c r="J54" i="34"/>
  <c r="E46" i="37"/>
  <c r="F46" i="37"/>
  <c r="E47" i="37"/>
  <c r="F47" i="37"/>
  <c r="I47" i="37"/>
  <c r="J47" i="37"/>
  <c r="G41" i="36"/>
  <c r="H41" i="36"/>
  <c r="G40" i="36"/>
  <c r="H40" i="36"/>
  <c r="C37" i="36"/>
  <c r="C36" i="36"/>
  <c r="E43" i="35"/>
  <c r="F43" i="35"/>
  <c r="E42" i="35"/>
  <c r="F42" i="35"/>
  <c r="E53" i="34"/>
  <c r="F53" i="34"/>
  <c r="E54" i="34"/>
  <c r="F54" i="34"/>
  <c r="C6" i="11"/>
  <c r="C26" i="43"/>
  <c r="B2" i="43"/>
  <c r="B3" i="43"/>
  <c r="C42" i="37"/>
  <c r="C43" i="37"/>
  <c r="E40" i="36"/>
  <c r="F40" i="36"/>
  <c r="E41" i="36"/>
  <c r="F41" i="36"/>
  <c r="F7" i="40"/>
  <c r="O63" i="57"/>
  <c r="O62" i="57"/>
  <c r="G42" i="35"/>
  <c r="H42" i="35"/>
  <c r="G43" i="35"/>
  <c r="H43" i="35"/>
  <c r="G53" i="21"/>
  <c r="H53" i="21"/>
  <c r="G52" i="21"/>
  <c r="H52" i="21"/>
  <c r="G54" i="34"/>
  <c r="H54" i="34"/>
  <c r="G53" i="34"/>
  <c r="H53" i="34"/>
  <c r="K58" i="33"/>
  <c r="D35" i="65"/>
  <c r="J8" i="65"/>
  <c r="D36" i="76"/>
  <c r="J8" i="76"/>
  <c r="U7" i="40"/>
  <c r="AB7" i="40"/>
  <c r="T42" i="40"/>
  <c r="G42" i="40"/>
  <c r="AA7" i="40"/>
  <c r="R42" i="40"/>
  <c r="S7" i="40"/>
  <c r="C7" i="11"/>
  <c r="C5" i="11"/>
  <c r="C48" i="21"/>
  <c r="C49" i="21"/>
  <c r="L58" i="33"/>
  <c r="E52" i="21"/>
  <c r="F52" i="21"/>
  <c r="E53" i="21"/>
  <c r="F53" i="21"/>
  <c r="I53" i="21"/>
  <c r="J53" i="21"/>
  <c r="J7" i="40"/>
  <c r="B3" i="34"/>
  <c r="B3" i="35"/>
  <c r="B2" i="35"/>
  <c r="B2" i="34"/>
  <c r="M58" i="33"/>
  <c r="N58" i="33"/>
  <c r="O58" i="33"/>
  <c r="C20" i="11"/>
  <c r="R43" i="40"/>
  <c r="E42" i="40"/>
  <c r="W7" i="40"/>
  <c r="AC7" i="40"/>
  <c r="V42" i="40"/>
  <c r="I42" i="40"/>
  <c r="G47" i="40"/>
  <c r="H47" i="40"/>
  <c r="G46" i="40"/>
  <c r="H46" i="40"/>
  <c r="H17" i="86"/>
  <c r="H16" i="86"/>
  <c r="C28" i="11"/>
  <c r="C27" i="11"/>
  <c r="L58" i="15"/>
  <c r="L61" i="15"/>
  <c r="I46" i="40"/>
  <c r="J46" i="40"/>
  <c r="I47" i="40"/>
  <c r="J47" i="40"/>
  <c r="E47" i="40"/>
  <c r="F47" i="40"/>
  <c r="E46" i="40"/>
  <c r="F46" i="40"/>
  <c r="J7" i="33"/>
  <c r="F7" i="33"/>
  <c r="C42" i="40"/>
  <c r="C43" i="40"/>
  <c r="H7" i="33"/>
  <c r="H24" i="86"/>
  <c r="Q55" i="15"/>
  <c r="Q64" i="15"/>
  <c r="AA7" i="33"/>
  <c r="R48" i="33"/>
  <c r="S7" i="33"/>
  <c r="AB7" i="33"/>
  <c r="T48" i="33"/>
  <c r="G48" i="33"/>
  <c r="U7" i="33"/>
  <c r="B60" i="40"/>
  <c r="F60" i="40"/>
  <c r="B58" i="40"/>
  <c r="F58" i="40"/>
  <c r="B54" i="40"/>
  <c r="F54" i="40"/>
  <c r="B57" i="40"/>
  <c r="F57" i="40"/>
  <c r="B53" i="40"/>
  <c r="F53" i="40"/>
  <c r="B59" i="40"/>
  <c r="F59" i="40"/>
  <c r="B52" i="40"/>
  <c r="F52" i="40"/>
  <c r="B56" i="40"/>
  <c r="F56" i="40"/>
  <c r="B55" i="40"/>
  <c r="F55" i="40"/>
  <c r="B51" i="40"/>
  <c r="F51" i="40"/>
  <c r="F61" i="40"/>
  <c r="B2" i="40"/>
  <c r="B3" i="40"/>
  <c r="AC7" i="33"/>
  <c r="V48" i="33"/>
  <c r="I48" i="33"/>
  <c r="W7" i="33"/>
  <c r="J24" i="86"/>
  <c r="H34" i="86"/>
  <c r="I52" i="33"/>
  <c r="J52" i="33"/>
  <c r="R49" i="33"/>
  <c r="E48" i="33"/>
  <c r="G52" i="33"/>
  <c r="H52" i="33"/>
  <c r="G53" i="33"/>
  <c r="H53" i="33"/>
  <c r="K24" i="86"/>
  <c r="J34" i="86"/>
  <c r="C48" i="33"/>
  <c r="C49" i="33"/>
  <c r="E53" i="33"/>
  <c r="F53" i="33"/>
  <c r="E52" i="33"/>
  <c r="F52" i="33"/>
  <c r="I53" i="33"/>
  <c r="J53" i="33"/>
  <c r="F2" i="86"/>
  <c r="B3" i="86"/>
  <c r="F3" i="86"/>
  <c r="B4" i="86"/>
  <c r="F4" i="86"/>
  <c r="B5" i="86"/>
  <c r="B6" i="86"/>
  <c r="F5" i="86"/>
  <c r="B7" i="86"/>
  <c r="F6" i="86"/>
  <c r="B8" i="86"/>
  <c r="F7" i="86"/>
  <c r="F8" i="86"/>
  <c r="E2" i="92"/>
  <c r="E2" i="93"/>
  <c r="D20" i="57"/>
  <c r="AO13" i="72"/>
  <c r="D19" i="57"/>
  <c r="AO9" i="72"/>
  <c r="C19" i="57"/>
  <c r="H23" i="31"/>
  <c r="E2" i="36"/>
  <c r="AO12" i="72"/>
  <c r="F3" i="61"/>
  <c r="AO11" i="72"/>
  <c r="D7" i="61"/>
  <c r="D4" i="61"/>
  <c r="C20" i="57"/>
  <c r="AE6" i="72"/>
  <c r="F4" i="61"/>
  <c r="AO8" i="72"/>
  <c r="E2" i="35"/>
  <c r="AO10" i="72"/>
  <c r="E2" i="37"/>
  <c r="F6" i="61"/>
  <c r="F5" i="61"/>
  <c r="E2" i="21"/>
  <c r="D6" i="61"/>
  <c r="AO7" i="72"/>
  <c r="E2" i="94"/>
  <c r="E2" i="34"/>
  <c r="D5" i="61"/>
  <c r="G1" i="61" s="1"/>
  <c r="AO6" i="72"/>
  <c r="E2" i="11"/>
  <c r="F7" i="61"/>
  <c r="E2" i="33"/>
  <c r="D3" i="61"/>
  <c r="F12" i="48" l="1"/>
  <c r="H12" i="48" s="1"/>
  <c r="F5" i="48"/>
  <c r="H5" i="48" s="1"/>
  <c r="F13" i="48"/>
  <c r="H13" i="48" s="1"/>
  <c r="B10" i="48"/>
  <c r="D10" i="48" s="1"/>
  <c r="B11" i="48"/>
  <c r="D11" i="48" s="1"/>
  <c r="F9" i="48"/>
  <c r="H9" i="48" s="1"/>
  <c r="F15" i="48"/>
  <c r="H15" i="48" s="1"/>
  <c r="F7" i="48"/>
  <c r="H7" i="48" s="1"/>
  <c r="B4" i="48"/>
  <c r="D4" i="48" s="1"/>
  <c r="B6" i="48"/>
  <c r="D6" i="48" s="1"/>
  <c r="B9" i="48"/>
  <c r="D9" i="48" s="1"/>
  <c r="F10" i="48"/>
  <c r="H10" i="48" s="1"/>
  <c r="F11" i="48"/>
  <c r="H11" i="48" s="1"/>
  <c r="B14" i="48"/>
  <c r="D14" i="48" s="1"/>
  <c r="B8" i="48"/>
  <c r="D8" i="48" s="1"/>
  <c r="F14" i="48"/>
  <c r="H14" i="48" s="1"/>
  <c r="B12" i="48"/>
  <c r="D12" i="48" s="1"/>
  <c r="B7" i="48"/>
  <c r="D7" i="48" s="1"/>
  <c r="F4" i="48"/>
  <c r="H4" i="48" s="1"/>
  <c r="F6" i="48"/>
  <c r="H6" i="48" s="1"/>
  <c r="F8" i="48"/>
  <c r="H8" i="48" s="1"/>
  <c r="B13" i="48"/>
  <c r="D13" i="48" s="1"/>
  <c r="B2" i="33"/>
  <c r="B3" i="33" s="1"/>
  <c r="E27" i="1"/>
  <c r="B2" i="21"/>
  <c r="B3" i="21" s="1"/>
  <c r="B2" i="37"/>
  <c r="B3" i="37" s="1"/>
  <c r="I1" i="61"/>
  <c r="B31" i="1" s="1"/>
  <c r="C104" i="57"/>
  <c r="G20" i="57"/>
  <c r="B2" i="36"/>
  <c r="B3" i="36" s="1"/>
  <c r="D22" i="57"/>
  <c r="C103" i="57"/>
  <c r="G19" i="57"/>
  <c r="D103" i="57"/>
  <c r="D104" i="57"/>
  <c r="C106" i="57" l="1"/>
  <c r="C105" i="57"/>
  <c r="F11" i="15"/>
  <c r="M11" i="15"/>
  <c r="J10" i="15" s="1"/>
  <c r="J5" i="15" s="1"/>
  <c r="F24" i="15"/>
  <c r="F25" i="12"/>
  <c r="F22" i="11"/>
  <c r="C26" i="11" l="1"/>
  <c r="D22" i="11" s="1"/>
  <c r="C43" i="11"/>
  <c r="C42" i="11"/>
  <c r="C25" i="11"/>
  <c r="C44" i="11"/>
  <c r="D41" i="11" s="1"/>
  <c r="C24" i="11"/>
  <c r="C23" i="11"/>
  <c r="F41" i="11"/>
  <c r="C24" i="15"/>
  <c r="C23" i="15"/>
  <c r="C10" i="15"/>
  <c r="C5" i="15" s="1"/>
  <c r="C54" i="15"/>
  <c r="C49" i="15" s="1"/>
  <c r="C26" i="12"/>
  <c r="D25" i="12" s="1"/>
  <c r="C27" i="12"/>
  <c r="C25" i="12" s="1"/>
  <c r="J24" i="15"/>
  <c r="J26" i="15"/>
  <c r="J29" i="15" s="1"/>
  <c r="C41" i="11" l="1"/>
  <c r="C49" i="11" s="1"/>
  <c r="C22" i="11"/>
  <c r="C31" i="11" s="1"/>
  <c r="C38" i="15"/>
  <c r="C32" i="12"/>
  <c r="C67" i="15"/>
  <c r="C61" i="15"/>
  <c r="C29" i="15"/>
  <c r="C23" i="65" l="1"/>
  <c r="C26" i="65" s="1"/>
  <c r="C51" i="11"/>
  <c r="J60" i="15"/>
  <c r="J61" i="15" s="1"/>
  <c r="J14" i="15"/>
  <c r="J19" i="15"/>
  <c r="J17" i="15" s="1"/>
  <c r="C13" i="15"/>
  <c r="C36" i="15"/>
  <c r="Q47" i="15"/>
  <c r="C58" i="15"/>
  <c r="B2" i="12"/>
  <c r="B3" i="12"/>
  <c r="C37" i="15" l="1"/>
  <c r="C30" i="15" s="1"/>
  <c r="C39" i="15" s="1"/>
  <c r="Q68" i="15"/>
  <c r="J34" i="15"/>
  <c r="C57" i="15"/>
  <c r="C66" i="15" s="1"/>
  <c r="J22" i="15"/>
  <c r="J13" i="15"/>
  <c r="J23" i="15" s="1"/>
  <c r="C7" i="65"/>
  <c r="C27" i="65" s="1"/>
  <c r="C24" i="65" s="1"/>
  <c r="C7" i="76"/>
  <c r="C28" i="76" s="1"/>
  <c r="C24" i="76" s="1"/>
  <c r="C52" i="11"/>
  <c r="C56" i="11" s="1"/>
  <c r="C57" i="11" s="1"/>
  <c r="C62" i="15"/>
  <c r="C60" i="15" s="1"/>
  <c r="C65" i="15"/>
  <c r="Q46" i="15"/>
  <c r="L47" i="15"/>
  <c r="J16" i="15" l="1"/>
  <c r="J25" i="15" s="1"/>
  <c r="C59" i="15"/>
  <c r="C68" i="15" s="1"/>
  <c r="C69" i="15" s="1"/>
  <c r="C40" i="15"/>
  <c r="Q67" i="15"/>
  <c r="Q66" i="15" s="1"/>
  <c r="J38" i="15"/>
  <c r="J39" i="15" s="1"/>
  <c r="B3" i="11"/>
  <c r="C3" i="76"/>
  <c r="C4" i="76" s="1"/>
  <c r="C30" i="76" s="1"/>
  <c r="C31" i="76" s="1"/>
  <c r="D37" i="76" s="1"/>
  <c r="B2" i="11"/>
  <c r="C20" i="9"/>
  <c r="C19" i="9"/>
  <c r="C47" i="15" l="1"/>
  <c r="C72" i="15"/>
  <c r="C101" i="9"/>
  <c r="C102" i="9"/>
  <c r="C3" i="65"/>
  <c r="D38" i="76"/>
  <c r="J10" i="76" s="1"/>
  <c r="J9" i="76"/>
  <c r="G36" i="76"/>
  <c r="Q45" i="15"/>
  <c r="Q51" i="15" s="1"/>
  <c r="L52" i="15"/>
  <c r="Q65" i="15" s="1"/>
  <c r="Q63" i="15"/>
  <c r="Q73" i="15" s="1"/>
  <c r="Q54" i="15"/>
  <c r="Q60" i="15" s="1"/>
  <c r="C43" i="15"/>
  <c r="B2" i="15"/>
  <c r="B3" i="15"/>
  <c r="J41" i="15"/>
  <c r="D19" i="9"/>
  <c r="D20" i="9"/>
  <c r="D102" i="9" l="1"/>
  <c r="G20" i="9"/>
  <c r="C32" i="9" s="1"/>
  <c r="D101" i="9"/>
  <c r="G19" i="9"/>
  <c r="D22" i="9"/>
  <c r="D14" i="62"/>
  <c r="C4" i="65"/>
  <c r="G32" i="65" s="1"/>
  <c r="D35" i="9"/>
  <c r="D34" i="9" s="1"/>
  <c r="J42" i="15"/>
  <c r="F14" i="62" l="1"/>
  <c r="B5" i="62"/>
  <c r="E14" i="62"/>
  <c r="I121" i="9"/>
  <c r="C35" i="9"/>
  <c r="G121" i="9" s="1"/>
  <c r="L39" i="65"/>
  <c r="G33" i="65"/>
  <c r="C29" i="65" s="1"/>
  <c r="C30" i="65" s="1"/>
  <c r="D36" i="65" s="1"/>
  <c r="C34" i="9" l="1"/>
  <c r="E121" i="9" s="1"/>
  <c r="E4" i="52" s="1"/>
  <c r="B38" i="60" s="1"/>
  <c r="D37" i="65"/>
  <c r="J9" i="65"/>
  <c r="G35" i="65"/>
  <c r="F121" i="9"/>
  <c r="G4" i="52"/>
  <c r="B41" i="60" s="1"/>
  <c r="I103" i="9"/>
  <c r="C104" i="9"/>
  <c r="I4" i="52"/>
  <c r="D107" i="9"/>
  <c r="H121" i="9"/>
  <c r="C5" i="62"/>
  <c r="D5" i="62"/>
  <c r="D121" i="9" l="1"/>
  <c r="D122" i="9" s="1"/>
  <c r="D5" i="52" s="1"/>
  <c r="B39" i="60" s="1"/>
  <c r="G37" i="65"/>
  <c r="E38" i="65"/>
  <c r="E39" i="65" s="1"/>
  <c r="M25" i="65"/>
  <c r="C38" i="65"/>
  <c r="C39" i="65" s="1"/>
  <c r="J10" i="65"/>
  <c r="H4" i="52"/>
  <c r="C103" i="9"/>
  <c r="H122" i="9"/>
  <c r="H5" i="52" s="1"/>
  <c r="D106" i="9"/>
  <c r="D112" i="9" s="1"/>
  <c r="I102" i="9"/>
  <c r="D30" i="50"/>
  <c r="D9" i="50"/>
  <c r="B21" i="60" s="1"/>
  <c r="F122" i="9"/>
  <c r="F5" i="52" s="1"/>
  <c r="B42" i="60" s="1"/>
  <c r="F4" i="52"/>
  <c r="B40" i="60" s="1"/>
  <c r="D4" i="52" l="1"/>
  <c r="B37" i="60" s="1"/>
  <c r="M26" i="65"/>
  <c r="P25" i="65"/>
  <c r="D28" i="50"/>
  <c r="D29" i="50" s="1"/>
  <c r="D7" i="50"/>
  <c r="N48" i="9"/>
  <c r="I110" i="9"/>
  <c r="D45" i="9"/>
  <c r="D117" i="9"/>
  <c r="D113" i="9"/>
  <c r="D44" i="50" l="1"/>
  <c r="I115" i="9"/>
  <c r="D23" i="50" s="1"/>
  <c r="B34" i="60" s="1"/>
  <c r="D36" i="50"/>
  <c r="D37" i="50" s="1"/>
  <c r="D15" i="50"/>
  <c r="D125" i="9"/>
  <c r="D8" i="50"/>
  <c r="B22" i="60" s="1"/>
  <c r="B19" i="60"/>
  <c r="I111" i="9"/>
  <c r="D38" i="50"/>
  <c r="B62" i="60" s="1"/>
  <c r="D53" i="9"/>
  <c r="D48" i="9" s="1"/>
  <c r="N52" i="9" s="1"/>
  <c r="O57" i="9" s="1"/>
  <c r="D52" i="9"/>
  <c r="C78" i="9"/>
  <c r="C73" i="9" s="1"/>
  <c r="C85" i="9"/>
  <c r="C72" i="9"/>
  <c r="C79" i="9" s="1"/>
  <c r="C93" i="9"/>
  <c r="C86" i="9" s="1"/>
  <c r="C64" i="9"/>
  <c r="C63" i="9" s="1"/>
  <c r="C67" i="9" s="1"/>
  <c r="C68" i="9" s="1"/>
  <c r="D54" i="9" s="1"/>
  <c r="M27" i="65"/>
  <c r="P26" i="65"/>
  <c r="P27" i="65" l="1"/>
  <c r="M28" i="65"/>
  <c r="C95" i="9"/>
  <c r="B29" i="60"/>
  <c r="D16" i="50"/>
  <c r="B30" i="60" s="1"/>
  <c r="C80" i="9"/>
  <c r="E80" i="9" s="1"/>
  <c r="E81" i="9" s="1"/>
  <c r="O59" i="9"/>
  <c r="O58" i="9"/>
  <c r="Q57" i="9"/>
  <c r="D126" i="9"/>
  <c r="D9" i="52" s="1"/>
  <c r="D17" i="50"/>
  <c r="G14" i="62"/>
  <c r="B6" i="62" s="1"/>
  <c r="D8" i="52"/>
  <c r="C81" i="9" l="1"/>
  <c r="D6" i="62"/>
  <c r="C6" i="62"/>
  <c r="C96" i="9"/>
  <c r="E96" i="9" s="1"/>
  <c r="E97" i="9" s="1"/>
  <c r="O60" i="9"/>
  <c r="O61" i="9"/>
  <c r="P28" i="65"/>
  <c r="M29" i="65"/>
  <c r="C97" i="9" l="1"/>
  <c r="D58" i="9" s="1"/>
  <c r="M30" i="65"/>
  <c r="P29" i="65"/>
  <c r="P30" i="65" l="1"/>
  <c r="P31" i="65" s="1"/>
  <c r="M31" i="6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DengXian"/>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D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D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0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0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0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0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0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0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2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3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3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3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3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4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4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4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5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5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6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6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6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600-000004000000}">
      <text>
        <r>
          <rPr>
            <b/>
            <sz val="12"/>
            <color indexed="81"/>
            <rFont val="宋体"/>
            <family val="3"/>
            <charset val="134"/>
          </rPr>
          <t>所属项目品质或
物业管理</t>
        </r>
      </text>
    </comment>
    <comment ref="B90" authorId="0" shapeId="0" xr:uid="{00000000-0006-0000-16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7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7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7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700-000004000000}">
      <text>
        <r>
          <rPr>
            <b/>
            <sz val="12"/>
            <color indexed="81"/>
            <rFont val="宋体"/>
            <family val="3"/>
            <charset val="134"/>
          </rPr>
          <t>所属项目品质或
物业管理</t>
        </r>
      </text>
    </comment>
    <comment ref="B86" authorId="0" shapeId="0" xr:uid="{00000000-0006-0000-1700-000005000000}">
      <text>
        <r>
          <rPr>
            <b/>
            <sz val="12"/>
            <color indexed="81"/>
            <rFont val="宋体"/>
            <family val="3"/>
            <charset val="134"/>
          </rPr>
          <t>所属项目品质</t>
        </r>
      </text>
    </comment>
    <comment ref="B89" authorId="0" shapeId="0" xr:uid="{00000000-0006-0000-17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8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9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KG</author>
  </authors>
  <commentList>
    <comment ref="J38" authorId="0" shapeId="0" xr:uid="{00000000-0006-0000-1D00-000001000000}">
      <text>
        <r>
          <rPr>
            <b/>
            <sz val="9"/>
            <color indexed="81"/>
            <rFont val="宋体"/>
            <family val="3"/>
            <charset val="134"/>
          </rPr>
          <t>KG:同房屋同期合同租约为4.8含1.2物业 费，净租金3.6</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F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F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0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0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1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1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2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2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Zhenzhen Cai</author>
  </authors>
  <commentList>
    <comment ref="D3" authorId="0" shapeId="0" xr:uid="{00000000-0006-0000-2300-000001000000}">
      <text>
        <r>
          <rPr>
            <b/>
            <sz val="9"/>
            <color indexed="81"/>
            <rFont val="宋体"/>
            <family val="3"/>
            <charset val="134"/>
          </rPr>
          <t>Zhenzhen Cai:</t>
        </r>
        <r>
          <rPr>
            <sz val="9"/>
            <color indexed="81"/>
            <rFont val="宋体"/>
            <family val="3"/>
            <charset val="134"/>
          </rPr>
          <t xml:space="preserve">
大厅改造减少6.22平米</t>
        </r>
      </text>
    </comment>
    <comment ref="E4" authorId="0" shapeId="0" xr:uid="{00000000-0006-0000-2300-000002000000}">
      <text>
        <r>
          <rPr>
            <b/>
            <sz val="9"/>
            <color indexed="81"/>
            <rFont val="宋体"/>
            <family val="3"/>
            <charset val="134"/>
          </rPr>
          <t>Zhenzhen Cai:</t>
        </r>
        <r>
          <rPr>
            <sz val="9"/>
            <color indexed="81"/>
            <rFont val="宋体"/>
            <family val="3"/>
            <charset val="134"/>
          </rPr>
          <t xml:space="preserve">
每年递增5%</t>
        </r>
      </text>
    </comment>
    <comment ref="E5" authorId="0" shapeId="0" xr:uid="{00000000-0006-0000-2300-000003000000}">
      <text>
        <r>
          <rPr>
            <b/>
            <sz val="9"/>
            <color indexed="81"/>
            <rFont val="宋体"/>
            <family val="3"/>
            <charset val="134"/>
          </rPr>
          <t>Zhenzhen Cai:</t>
        </r>
        <r>
          <rPr>
            <sz val="9"/>
            <color indexed="81"/>
            <rFont val="宋体"/>
            <family val="3"/>
            <charset val="134"/>
          </rPr>
          <t xml:space="preserve">
每年递增5%</t>
        </r>
      </text>
    </comment>
    <comment ref="E6" authorId="0" shapeId="0" xr:uid="{00000000-0006-0000-2300-000004000000}">
      <text>
        <r>
          <rPr>
            <b/>
            <sz val="9"/>
            <color indexed="81"/>
            <rFont val="宋体"/>
            <family val="3"/>
            <charset val="134"/>
          </rPr>
          <t>Zhenzhen Cai:</t>
        </r>
        <r>
          <rPr>
            <sz val="9"/>
            <color indexed="81"/>
            <rFont val="宋体"/>
            <family val="3"/>
            <charset val="134"/>
          </rPr>
          <t xml:space="preserve">
每年递增5%</t>
        </r>
      </text>
    </comment>
    <comment ref="E7" authorId="0" shapeId="0" xr:uid="{00000000-0006-0000-2300-000005000000}">
      <text>
        <r>
          <rPr>
            <b/>
            <sz val="9"/>
            <color indexed="81"/>
            <rFont val="宋体"/>
            <family val="3"/>
            <charset val="134"/>
          </rPr>
          <t>Zhenzhen Cai:</t>
        </r>
        <r>
          <rPr>
            <sz val="9"/>
            <color indexed="81"/>
            <rFont val="宋体"/>
            <family val="3"/>
            <charset val="134"/>
          </rPr>
          <t xml:space="preserve">
每年递增5%</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8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800-000002000000}">
      <text>
        <r>
          <rPr>
            <sz val="11"/>
            <color indexed="81"/>
            <rFont val="宋体"/>
            <family val="3"/>
            <charset val="134"/>
          </rPr>
          <t xml:space="preserve">录入层数，将对应的结果录入至左侧相应层的楼层修正系数单元格中
</t>
        </r>
      </text>
    </comment>
    <comment ref="D17" authorId="2" shapeId="0" xr:uid="{00000000-0006-0000-28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8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28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28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8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8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8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8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8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8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8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8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8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8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8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800-000012000000}">
      <text>
        <r>
          <rPr>
            <b/>
            <sz val="9"/>
            <color indexed="81"/>
            <rFont val="宋体"/>
            <family val="3"/>
            <charset val="134"/>
          </rPr>
          <t xml:space="preserve">容积率
</t>
        </r>
      </text>
    </comment>
    <comment ref="D101" authorId="0" shapeId="0" xr:uid="{00000000-0006-0000-2800-000013000000}">
      <text>
        <r>
          <rPr>
            <b/>
            <sz val="9"/>
            <color indexed="81"/>
            <rFont val="宋体"/>
            <family val="3"/>
            <charset val="134"/>
          </rPr>
          <t xml:space="preserve">容积率
</t>
        </r>
      </text>
    </comment>
    <comment ref="E101" authorId="0" shapeId="0" xr:uid="{00000000-0006-0000-2800-000014000000}">
      <text>
        <r>
          <rPr>
            <b/>
            <sz val="9"/>
            <color indexed="81"/>
            <rFont val="宋体"/>
            <family val="3"/>
            <charset val="134"/>
          </rPr>
          <t xml:space="preserve">容积率
</t>
        </r>
      </text>
    </comment>
    <comment ref="F101" authorId="0" shapeId="0" xr:uid="{00000000-0006-0000-2800-000015000000}">
      <text>
        <r>
          <rPr>
            <b/>
            <sz val="9"/>
            <color indexed="81"/>
            <rFont val="宋体"/>
            <family val="3"/>
            <charset val="134"/>
          </rPr>
          <t xml:space="preserve">容积率
</t>
        </r>
      </text>
    </comment>
    <comment ref="G101" authorId="0" shapeId="0" xr:uid="{00000000-0006-0000-2800-000016000000}">
      <text>
        <r>
          <rPr>
            <b/>
            <sz val="9"/>
            <color indexed="81"/>
            <rFont val="宋体"/>
            <family val="3"/>
            <charset val="134"/>
          </rPr>
          <t xml:space="preserve">容积率
</t>
        </r>
      </text>
    </comment>
    <comment ref="H101" authorId="0" shapeId="0" xr:uid="{00000000-0006-0000-2800-000017000000}">
      <text>
        <r>
          <rPr>
            <b/>
            <sz val="9"/>
            <color indexed="81"/>
            <rFont val="宋体"/>
            <family val="3"/>
            <charset val="134"/>
          </rPr>
          <t xml:space="preserve">容积率
</t>
        </r>
      </text>
    </comment>
    <comment ref="I101" authorId="0" shapeId="0" xr:uid="{00000000-0006-0000-2800-000018000000}">
      <text>
        <r>
          <rPr>
            <b/>
            <sz val="9"/>
            <color indexed="81"/>
            <rFont val="宋体"/>
            <family val="3"/>
            <charset val="134"/>
          </rPr>
          <t xml:space="preserve">容积率
</t>
        </r>
      </text>
    </comment>
    <comment ref="J101" authorId="0" shapeId="0" xr:uid="{00000000-0006-0000-2800-000019000000}">
      <text>
        <r>
          <rPr>
            <b/>
            <sz val="9"/>
            <color indexed="81"/>
            <rFont val="宋体"/>
            <family val="3"/>
            <charset val="134"/>
          </rPr>
          <t xml:space="preserve">容积率
</t>
        </r>
      </text>
    </comment>
    <comment ref="K101" authorId="0" shapeId="0" xr:uid="{00000000-0006-0000-2800-00001A000000}">
      <text>
        <r>
          <rPr>
            <b/>
            <sz val="9"/>
            <color indexed="81"/>
            <rFont val="宋体"/>
            <family val="3"/>
            <charset val="134"/>
          </rPr>
          <t xml:space="preserve">容积率
</t>
        </r>
      </text>
    </comment>
    <comment ref="L101" authorId="0" shapeId="0" xr:uid="{00000000-0006-0000-2800-00001B000000}">
      <text>
        <r>
          <rPr>
            <b/>
            <sz val="9"/>
            <color indexed="81"/>
            <rFont val="宋体"/>
            <family val="3"/>
            <charset val="134"/>
          </rPr>
          <t xml:space="preserve">容积率
</t>
        </r>
      </text>
    </comment>
    <comment ref="M101" authorId="0" shapeId="0" xr:uid="{00000000-0006-0000-2800-00001C000000}">
      <text>
        <r>
          <rPr>
            <b/>
            <sz val="9"/>
            <color indexed="81"/>
            <rFont val="宋体"/>
            <family val="3"/>
            <charset val="134"/>
          </rPr>
          <t xml:space="preserve">容积率
</t>
        </r>
      </text>
    </comment>
    <comment ref="N101" authorId="0" shapeId="0" xr:uid="{00000000-0006-0000-2800-00001D000000}">
      <text>
        <r>
          <rPr>
            <b/>
            <sz val="9"/>
            <color indexed="81"/>
            <rFont val="宋体"/>
            <family val="3"/>
            <charset val="134"/>
          </rPr>
          <t xml:space="preserve">容积率
</t>
        </r>
      </text>
    </comment>
    <comment ref="C108" authorId="0" shapeId="0" xr:uid="{00000000-0006-0000-28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8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8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8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8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8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8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8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8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8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8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8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8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C9" authorId="0" shapeId="0" xr:uid="{00000000-0006-0000-2900-000001000000}">
      <text>
        <r>
          <rPr>
            <b/>
            <sz val="9"/>
            <color indexed="81"/>
            <rFont val="宋体"/>
            <family val="3"/>
            <charset val="134"/>
          </rPr>
          <t>作者:</t>
        </r>
        <r>
          <rPr>
            <sz val="9"/>
            <color indexed="81"/>
            <rFont val="宋体"/>
            <family val="3"/>
            <charset val="134"/>
          </rPr>
          <t xml:space="preserve">
不含10年包租50户203</t>
        </r>
        <r>
          <rPr>
            <sz val="9"/>
            <color indexed="81"/>
            <rFont val="宋体"/>
            <family val="3"/>
            <charset val="134"/>
          </rPr>
          <t>3</t>
        </r>
        <r>
          <rPr>
            <sz val="9"/>
            <color indexed="81"/>
            <rFont val="宋体"/>
            <family val="3"/>
            <charset val="134"/>
          </rPr>
          <t>.</t>
        </r>
        <r>
          <rPr>
            <sz val="9"/>
            <color indexed="81"/>
            <rFont val="宋体"/>
            <family val="3"/>
            <charset val="134"/>
          </rPr>
          <t>24</t>
        </r>
        <r>
          <rPr>
            <sz val="9"/>
            <color indexed="81"/>
            <rFont val="宋体"/>
            <family val="3"/>
            <charset val="134"/>
          </rPr>
          <t>平米.</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C5" authorId="0" shapeId="0" xr:uid="{00000000-0006-0000-2A00-000001000000}">
      <text>
        <r>
          <rPr>
            <b/>
            <sz val="9"/>
            <color indexed="81"/>
            <rFont val="宋体"/>
            <family val="3"/>
            <charset val="134"/>
          </rPr>
          <t>作者:</t>
        </r>
        <r>
          <rPr>
            <sz val="9"/>
            <color indexed="81"/>
            <rFont val="宋体"/>
            <family val="3"/>
            <charset val="134"/>
          </rPr>
          <t xml:space="preserve">
108/209/211部分面积</t>
        </r>
      </text>
    </comment>
    <comment ref="C13" authorId="0" shapeId="0" xr:uid="{00000000-0006-0000-2A00-000002000000}">
      <text>
        <r>
          <rPr>
            <b/>
            <sz val="9"/>
            <color indexed="81"/>
            <rFont val="宋体"/>
            <family val="3"/>
            <charset val="134"/>
          </rPr>
          <t>作者:</t>
        </r>
        <r>
          <rPr>
            <sz val="9"/>
            <color indexed="81"/>
            <rFont val="宋体"/>
            <family val="3"/>
            <charset val="134"/>
          </rPr>
          <t xml:space="preserve">
327为第0069645号</t>
        </r>
      </text>
    </comment>
    <comment ref="B14" authorId="0" shapeId="0" xr:uid="{00000000-0006-0000-2A00-000003000000}">
      <text>
        <r>
          <rPr>
            <b/>
            <sz val="9"/>
            <rFont val="宋体"/>
            <family val="3"/>
            <charset val="134"/>
          </rPr>
          <t>作者:</t>
        </r>
        <r>
          <rPr>
            <sz val="9"/>
            <rFont val="宋体"/>
            <family val="3"/>
            <charset val="134"/>
          </rPr>
          <t xml:space="preserve">
更换达内,童程童美</t>
        </r>
      </text>
    </comment>
    <comment ref="C24" authorId="0" shapeId="0" xr:uid="{00000000-0006-0000-2A00-000004000000}">
      <text>
        <r>
          <rPr>
            <b/>
            <sz val="9"/>
            <color indexed="81"/>
            <rFont val="宋体"/>
            <family val="3"/>
            <charset val="134"/>
          </rPr>
          <t>作者:</t>
        </r>
        <r>
          <rPr>
            <sz val="9"/>
            <color indexed="81"/>
            <rFont val="宋体"/>
            <family val="3"/>
            <charset val="134"/>
          </rPr>
          <t xml:space="preserve">
中保康310/312/314/316/318</t>
        </r>
      </text>
    </comment>
    <comment ref="C25" authorId="0" shapeId="0" xr:uid="{00000000-0006-0000-2A00-000005000000}">
      <text>
        <r>
          <rPr>
            <b/>
            <sz val="9"/>
            <color indexed="81"/>
            <rFont val="宋体"/>
            <family val="3"/>
            <charset val="134"/>
          </rPr>
          <t>作者:</t>
        </r>
        <r>
          <rPr>
            <sz val="9"/>
            <color indexed="81"/>
            <rFont val="宋体"/>
            <family val="3"/>
            <charset val="134"/>
          </rPr>
          <t xml:space="preserve">
416是海联移字第00010号   海其更字第00195号310/312/314/316/318</t>
        </r>
      </text>
    </comment>
    <comment ref="B26" authorId="0" shapeId="0" xr:uid="{00000000-0006-0000-2A00-000006000000}">
      <text>
        <r>
          <rPr>
            <b/>
            <sz val="9"/>
            <rFont val="宋体"/>
            <family val="3"/>
            <charset val="134"/>
          </rPr>
          <t>作者:</t>
        </r>
        <r>
          <rPr>
            <sz val="9"/>
            <rFont val="宋体"/>
            <family val="3"/>
            <charset val="134"/>
          </rPr>
          <t xml:space="preserve">
更换为世纪中为16.4.1-17.3.31，租金4.85</t>
        </r>
      </text>
    </comment>
    <comment ref="C26" authorId="0" shapeId="0" xr:uid="{00000000-0006-0000-2A00-000007000000}">
      <text>
        <r>
          <rPr>
            <b/>
            <sz val="9"/>
            <color indexed="81"/>
            <rFont val="宋体"/>
            <family val="3"/>
            <charset val="134"/>
          </rPr>
          <t>作者:</t>
        </r>
        <r>
          <rPr>
            <sz val="9"/>
            <color indexed="81"/>
            <rFont val="宋体"/>
            <family val="3"/>
            <charset val="134"/>
          </rPr>
          <t xml:space="preserve">
中保康310/312/314/316/318</t>
        </r>
      </text>
    </comment>
    <comment ref="C28" authorId="0" shapeId="0" xr:uid="{00000000-0006-0000-2A00-000008000000}">
      <text>
        <r>
          <rPr>
            <b/>
            <sz val="9"/>
            <color indexed="81"/>
            <rFont val="宋体"/>
            <family val="3"/>
            <charset val="134"/>
          </rPr>
          <t>作者:</t>
        </r>
        <r>
          <rPr>
            <sz val="9"/>
            <color indexed="81"/>
            <rFont val="宋体"/>
            <family val="3"/>
            <charset val="134"/>
          </rPr>
          <t xml:space="preserve">
中保康310/312/314/316/318</t>
        </r>
      </text>
    </comment>
    <comment ref="B30" authorId="0" shapeId="0" xr:uid="{00000000-0006-0000-2A00-000009000000}">
      <text>
        <r>
          <rPr>
            <b/>
            <sz val="9"/>
            <rFont val="宋体"/>
            <family val="3"/>
            <charset val="134"/>
          </rPr>
          <t>作者:</t>
        </r>
        <r>
          <rPr>
            <sz val="9"/>
            <rFont val="宋体"/>
            <family val="3"/>
            <charset val="134"/>
          </rPr>
          <t xml:space="preserve">
2015.4由王茹变更三羌投资有限公司；
2015.8由三羌变更千人易得教育</t>
        </r>
      </text>
    </comment>
    <comment ref="B41" authorId="0" shapeId="0" xr:uid="{00000000-0006-0000-2A00-00000A000000}">
      <text>
        <r>
          <rPr>
            <b/>
            <sz val="9"/>
            <rFont val="宋体"/>
            <family val="3"/>
            <charset val="134"/>
          </rPr>
          <t>作者:</t>
        </r>
        <r>
          <rPr>
            <sz val="9"/>
            <rFont val="宋体"/>
            <family val="3"/>
            <charset val="134"/>
          </rPr>
          <t xml:space="preserve">
王伟解除协议日为5.31，换为佰家衣库</t>
        </r>
      </text>
    </comment>
    <comment ref="D70" authorId="0" shapeId="0" xr:uid="{00000000-0006-0000-2A00-00000B000000}">
      <text>
        <r>
          <rPr>
            <b/>
            <sz val="9"/>
            <rFont val="宋体"/>
            <family val="3"/>
            <charset val="134"/>
          </rPr>
          <t>作者:</t>
        </r>
        <r>
          <rPr>
            <sz val="9"/>
            <rFont val="宋体"/>
            <family val="3"/>
            <charset val="134"/>
          </rPr>
          <t xml:space="preserve">
华文租金合同，但产权是邦维代收。原华文合同解除自2016.6.1与邦维签订合同。</t>
        </r>
      </text>
    </comment>
    <comment ref="C72" authorId="0" shapeId="0" xr:uid="{00000000-0006-0000-2A00-00000C000000}">
      <text>
        <r>
          <rPr>
            <b/>
            <sz val="9"/>
            <color indexed="81"/>
            <rFont val="宋体"/>
            <family val="3"/>
            <charset val="134"/>
          </rPr>
          <t>作者:</t>
        </r>
        <r>
          <rPr>
            <sz val="9"/>
            <color indexed="81"/>
            <rFont val="宋体"/>
            <family val="3"/>
            <charset val="134"/>
          </rPr>
          <t xml:space="preserve">
102/202/226/228</t>
        </r>
      </text>
    </comment>
    <comment ref="E72" authorId="0" shapeId="0" xr:uid="{00000000-0006-0000-2A00-00000D000000}">
      <text>
        <r>
          <rPr>
            <b/>
            <sz val="9"/>
            <rFont val="宋体"/>
            <family val="3"/>
            <charset val="134"/>
          </rPr>
          <t>作者:</t>
        </r>
        <r>
          <rPr>
            <sz val="9"/>
            <rFont val="宋体"/>
            <family val="3"/>
            <charset val="134"/>
          </rPr>
          <t xml:space="preserve">
一层450.1平,二层1122.92平</t>
        </r>
      </text>
    </comment>
    <comment ref="F72" authorId="0" shapeId="0" xr:uid="{00000000-0006-0000-2A00-00000E000000}">
      <text>
        <r>
          <rPr>
            <b/>
            <sz val="9"/>
            <rFont val="宋体"/>
            <family val="3"/>
            <charset val="134"/>
          </rPr>
          <t>作者:</t>
        </r>
        <r>
          <rPr>
            <sz val="9"/>
            <rFont val="宋体"/>
            <family val="3"/>
            <charset val="134"/>
          </rPr>
          <t xml:space="preserve">
一层450.1平,二层1122.92平</t>
        </r>
      </text>
    </comment>
    <comment ref="C73" authorId="0" shapeId="0" xr:uid="{00000000-0006-0000-2A00-00000F000000}">
      <text>
        <r>
          <rPr>
            <b/>
            <sz val="9"/>
            <color indexed="81"/>
            <rFont val="宋体"/>
            <family val="3"/>
            <charset val="134"/>
          </rPr>
          <t>作者:</t>
        </r>
        <r>
          <rPr>
            <sz val="9"/>
            <color indexed="81"/>
            <rFont val="宋体"/>
            <family val="3"/>
            <charset val="134"/>
          </rPr>
          <t xml:space="preserve">
保龄、地下餐厅</t>
        </r>
      </text>
    </comment>
    <comment ref="D73" authorId="0" shapeId="0" xr:uid="{00000000-0006-0000-2A00-000010000000}">
      <text>
        <r>
          <rPr>
            <b/>
            <sz val="9"/>
            <rFont val="宋体"/>
            <family val="3"/>
            <charset val="134"/>
          </rPr>
          <t>作者:</t>
        </r>
        <r>
          <rPr>
            <sz val="9"/>
            <rFont val="宋体"/>
            <family val="3"/>
            <charset val="134"/>
          </rPr>
          <t xml:space="preserve">
业主天使源面积2016.4平米，自有面积463.6平米。</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H4" authorId="0" shapeId="0" xr:uid="{00000000-0006-0000-2B00-000001000000}">
      <text>
        <r>
          <rPr>
            <b/>
            <sz val="9"/>
            <rFont val="宋体"/>
            <family val="3"/>
            <charset val="134"/>
          </rPr>
          <t>作者:</t>
        </r>
        <r>
          <rPr>
            <sz val="9"/>
            <rFont val="宋体"/>
            <family val="3"/>
            <charset val="134"/>
          </rPr>
          <t xml:space="preserve">
续租三年：15.03.16-18.03.15</t>
        </r>
      </text>
    </comment>
    <comment ref="E7" authorId="0" shapeId="0" xr:uid="{00000000-0006-0000-2B00-000002000000}">
      <text>
        <r>
          <rPr>
            <sz val="9"/>
            <rFont val="宋体"/>
            <family val="3"/>
            <charset val="134"/>
          </rPr>
          <t xml:space="preserve">首层东侧面积：250平米
</t>
        </r>
        <r>
          <rPr>
            <sz val="9"/>
            <rFont val="宋体"/>
            <family val="3"/>
            <charset val="134"/>
          </rPr>
          <t>地下同样方位面积：175平米</t>
        </r>
      </text>
    </comment>
    <comment ref="E8" authorId="0" shapeId="0" xr:uid="{00000000-0006-0000-2B00-000003000000}">
      <text>
        <r>
          <rPr>
            <sz val="9"/>
            <rFont val="宋体"/>
            <family val="3"/>
            <charset val="134"/>
          </rPr>
          <t xml:space="preserve">七层面积
</t>
        </r>
      </text>
    </comment>
    <comment ref="F8" authorId="0" shapeId="0" xr:uid="{00000000-0006-0000-2B00-000004000000}">
      <text>
        <r>
          <rPr>
            <sz val="9"/>
            <rFont val="宋体"/>
            <family val="3"/>
            <charset val="134"/>
          </rPr>
          <t xml:space="preserve">合同期内租金共计1191552元
</t>
        </r>
      </text>
    </comment>
    <comment ref="E9" authorId="0" shapeId="0" xr:uid="{00000000-0006-0000-2B00-000005000000}">
      <text>
        <r>
          <rPr>
            <sz val="9"/>
            <rFont val="宋体"/>
            <family val="3"/>
            <charset val="134"/>
          </rPr>
          <t xml:space="preserve">八层面积
</t>
        </r>
      </text>
    </comment>
    <comment ref="E10" authorId="0" shapeId="0" xr:uid="{00000000-0006-0000-2B00-000006000000}">
      <text>
        <r>
          <rPr>
            <sz val="9"/>
            <rFont val="宋体"/>
            <family val="3"/>
            <charset val="134"/>
          </rPr>
          <t>长26.5米，宽9米=238.5平米</t>
        </r>
      </text>
    </comment>
    <comment ref="E12" authorId="0" shapeId="0" xr:uid="{00000000-0006-0000-2B00-000007000000}">
      <text>
        <r>
          <rPr>
            <sz val="9"/>
            <rFont val="宋体"/>
            <family val="3"/>
            <charset val="134"/>
          </rPr>
          <t>长30米；宽8米=240平米</t>
        </r>
      </text>
    </comment>
    <comment ref="G13" authorId="0" shapeId="0" xr:uid="{00000000-0006-0000-2B00-000008000000}">
      <text>
        <r>
          <rPr>
            <sz val="9"/>
            <rFont val="宋体"/>
            <family val="3"/>
            <charset val="134"/>
          </rPr>
          <t xml:space="preserve">免租期1个月:
</t>
        </r>
        <r>
          <rPr>
            <sz val="9"/>
            <rFont val="宋体"/>
            <family val="3"/>
            <charset val="134"/>
          </rPr>
          <t xml:space="preserve">2014.1.1-2014.1.31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2C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2C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2C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2C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2C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2C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2C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sharedStrings.xml><?xml version="1.0" encoding="utf-8"?>
<sst xmlns="http://schemas.openxmlformats.org/spreadsheetml/2006/main" count="11951" uniqueCount="5046">
  <si>
    <t>土地使用权证号</t>
    <phoneticPr fontId="7" type="noConversion"/>
  </si>
  <si>
    <t>——</t>
    <phoneticPr fontId="5" type="noConversion"/>
  </si>
  <si>
    <t>建筑面积依据</t>
    <phoneticPr fontId="7" type="noConversion"/>
  </si>
  <si>
    <t>建设内容/楼号</t>
    <phoneticPr fontId="7" type="noConversion"/>
  </si>
  <si>
    <t>1-2.1</t>
  </si>
  <si>
    <t>1-2.2</t>
  </si>
  <si>
    <t>1-2.3</t>
  </si>
  <si>
    <t>1-2.4</t>
  </si>
  <si>
    <t>1-3.1</t>
  </si>
  <si>
    <t>1-3.2</t>
  </si>
  <si>
    <t>1-3.3</t>
  </si>
  <si>
    <t>1-3.4</t>
    <phoneticPr fontId="15" type="noConversion"/>
  </si>
  <si>
    <t>v</t>
    <phoneticPr fontId="15" type="noConversion"/>
  </si>
  <si>
    <t>——</t>
    <phoneticPr fontId="15" type="noConversion"/>
  </si>
  <si>
    <t>3</t>
    <phoneticPr fontId="5" type="noConversion"/>
  </si>
  <si>
    <t>3-1</t>
    <phoneticPr fontId="5" type="noConversion"/>
  </si>
  <si>
    <t>3-1-1</t>
    <phoneticPr fontId="5" type="noConversion"/>
  </si>
  <si>
    <t>3-1-2</t>
    <phoneticPr fontId="5" type="noConversion"/>
  </si>
  <si>
    <t>3-1-3</t>
    <phoneticPr fontId="5" type="noConversion"/>
  </si>
  <si>
    <t>3-2</t>
    <phoneticPr fontId="5" type="noConversion"/>
  </si>
  <si>
    <t>3-3</t>
    <phoneticPr fontId="5" type="noConversion"/>
  </si>
  <si>
    <t>3-4</t>
    <phoneticPr fontId="5" type="noConversion"/>
  </si>
  <si>
    <t>4</t>
    <phoneticPr fontId="5" type="noConversion"/>
  </si>
  <si>
    <t>5</t>
    <phoneticPr fontId="5" type="noConversion"/>
  </si>
  <si>
    <t>6</t>
    <phoneticPr fontId="5" type="noConversion"/>
  </si>
  <si>
    <t>100/</t>
    <phoneticPr fontId="5" type="noConversion"/>
  </si>
  <si>
    <t>——</t>
    <phoneticPr fontId="5" type="noConversion"/>
  </si>
  <si>
    <t>100/</t>
    <phoneticPr fontId="5" type="noConversion"/>
  </si>
  <si>
    <t>100/</t>
    <phoneticPr fontId="5" type="noConversion"/>
  </si>
  <si>
    <t>好</t>
  </si>
  <si>
    <t>较好</t>
  </si>
  <si>
    <t>一般</t>
  </si>
  <si>
    <t>较差</t>
  </si>
  <si>
    <t>——</t>
    <phoneticPr fontId="15" type="noConversion"/>
  </si>
  <si>
    <t>100/</t>
    <phoneticPr fontId="5" type="noConversion"/>
  </si>
  <si>
    <t>差</t>
  </si>
  <si>
    <t>-</t>
    <phoneticPr fontId="26" type="noConversion"/>
  </si>
  <si>
    <t>-</t>
    <phoneticPr fontId="26" type="noConversion"/>
  </si>
  <si>
    <t>-</t>
    <phoneticPr fontId="26" type="noConversion"/>
  </si>
  <si>
    <t>-</t>
    <phoneticPr fontId="26" type="noConversion"/>
  </si>
  <si>
    <t>-</t>
    <phoneticPr fontId="26" type="noConversion"/>
  </si>
  <si>
    <t>——</t>
    <phoneticPr fontId="32" type="noConversion"/>
  </si>
  <si>
    <t>3</t>
    <phoneticPr fontId="32" type="noConversion"/>
  </si>
  <si>
    <t>4</t>
    <phoneticPr fontId="32" type="noConversion"/>
  </si>
  <si>
    <t>5</t>
    <phoneticPr fontId="32" type="noConversion"/>
  </si>
  <si>
    <t>——</t>
    <phoneticPr fontId="21" type="noConversion"/>
  </si>
  <si>
    <t>4</t>
    <phoneticPr fontId="29" type="noConversion"/>
  </si>
  <si>
    <t>2</t>
    <phoneticPr fontId="32"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</si>
  <si>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</si>
  <si>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</si>
  <si>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</si>
  <si>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</si>
  <si>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</si>
  <si>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</si>
  <si>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</si>
  <si>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</si>
  <si>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</si>
  <si>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</si>
  <si>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</si>
  <si>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</si>
  <si>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</si>
  <si>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</si>
  <si>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</si>
  <si>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</si>
  <si>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</si>
  <si>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</si>
  <si>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</si>
  <si>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</si>
  <si>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</si>
  <si>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</si>
  <si>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六级</t>
  </si>
  <si>
    <t>1.1</t>
    <phoneticPr fontId="32" type="noConversion"/>
  </si>
  <si>
    <t>1.2</t>
    <phoneticPr fontId="32" type="noConversion"/>
  </si>
  <si>
    <t>2.1</t>
    <phoneticPr fontId="32" type="noConversion"/>
  </si>
  <si>
    <t>2.1.1</t>
    <phoneticPr fontId="32" type="noConversion"/>
  </si>
  <si>
    <t>2.1.2</t>
    <phoneticPr fontId="32" type="noConversion"/>
  </si>
  <si>
    <t>2.1.3</t>
    <phoneticPr fontId="32" type="noConversion"/>
  </si>
  <si>
    <t>2.2</t>
    <phoneticPr fontId="32" type="noConversion"/>
  </si>
  <si>
    <t>2.3</t>
    <phoneticPr fontId="32" type="noConversion"/>
  </si>
  <si>
    <t>2.4</t>
    <phoneticPr fontId="32" type="noConversion"/>
  </si>
  <si>
    <t>2.5</t>
    <phoneticPr fontId="32" type="noConversion"/>
  </si>
  <si>
    <t>2.6</t>
    <phoneticPr fontId="32" type="noConversion"/>
  </si>
  <si>
    <r>
      <rPr>
        <sz val="11"/>
        <color indexed="8"/>
        <rFont val="楷体_GB2312"/>
        <family val="3"/>
        <charset val="134"/>
      </rPr>
      <t>好</t>
    </r>
    <phoneticPr fontId="5" type="noConversion"/>
  </si>
  <si>
    <r>
      <rPr>
        <sz val="11"/>
        <color indexed="8"/>
        <rFont val="楷体_GB2312"/>
        <family val="3"/>
        <charset val="134"/>
      </rPr>
      <t>较好</t>
    </r>
    <phoneticPr fontId="5" type="noConversion"/>
  </si>
  <si>
    <r>
      <rPr>
        <sz val="11"/>
        <color indexed="8"/>
        <rFont val="楷体_GB2312"/>
        <family val="3"/>
        <charset val="134"/>
      </rPr>
      <t>一般</t>
    </r>
    <phoneticPr fontId="5" type="noConversion"/>
  </si>
  <si>
    <r>
      <rPr>
        <sz val="11"/>
        <color indexed="8"/>
        <rFont val="楷体_GB2312"/>
        <family val="3"/>
        <charset val="134"/>
      </rPr>
      <t>较差</t>
    </r>
    <phoneticPr fontId="5" type="noConversion"/>
  </si>
  <si>
    <r>
      <rPr>
        <sz val="11"/>
        <color indexed="8"/>
        <rFont val="楷体_GB2312"/>
        <family val="3"/>
        <charset val="134"/>
      </rPr>
      <t>差</t>
    </r>
    <phoneticPr fontId="5" type="noConversion"/>
  </si>
  <si>
    <t>四级</t>
  </si>
  <si>
    <t>Ⅱ—03</t>
  </si>
  <si>
    <t>A1</t>
    <phoneticPr fontId="5" type="noConversion"/>
  </si>
  <si>
    <t>A2</t>
  </si>
  <si>
    <t>A3</t>
  </si>
  <si>
    <t>A4</t>
  </si>
  <si>
    <t>2016-2</t>
  </si>
  <si>
    <t>2014-1</t>
  </si>
  <si>
    <t>2014-2</t>
  </si>
  <si>
    <t>2014-3</t>
  </si>
  <si>
    <t>2014-4</t>
  </si>
  <si>
    <t>2015-1</t>
  </si>
  <si>
    <t>2015-2</t>
  </si>
  <si>
    <t>2015-3</t>
  </si>
  <si>
    <t>2015-4</t>
  </si>
  <si>
    <t>2016-1</t>
  </si>
  <si>
    <t>2016-3</t>
  </si>
  <si>
    <t>R&gt;10</t>
    <phoneticPr fontId="5" type="noConversion"/>
  </si>
  <si>
    <t>北京市区片基准地价表</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</si>
  <si>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</si>
  <si>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</si>
  <si>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</si>
  <si>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</si>
  <si>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</si>
  <si>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</si>
  <si>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</si>
  <si>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</si>
  <si>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</si>
  <si>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</si>
  <si>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</si>
  <si>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</si>
  <si>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基准日期：2014年1月1日                                                    单位：元/建筑平方米</t>
    <phoneticPr fontId="5" type="noConversion"/>
  </si>
  <si>
    <t>Ⅰ—01</t>
    <phoneticPr fontId="5" type="noConversion"/>
  </si>
  <si>
    <t>Ⅱ—01</t>
    <phoneticPr fontId="5" type="noConversion"/>
  </si>
  <si>
    <t>Ⅲ—01</t>
    <phoneticPr fontId="5" type="noConversion"/>
  </si>
  <si>
    <t>Ⅳ-01</t>
    <phoneticPr fontId="5" type="noConversion"/>
  </si>
  <si>
    <t>Ⅴ-01</t>
    <phoneticPr fontId="5" type="noConversion"/>
  </si>
  <si>
    <t>Ⅵ-01</t>
    <phoneticPr fontId="5" type="noConversion"/>
  </si>
  <si>
    <t>Ⅶ-01</t>
    <phoneticPr fontId="5" type="noConversion"/>
  </si>
  <si>
    <t>Ⅷ-01</t>
    <phoneticPr fontId="5" type="noConversion"/>
  </si>
  <si>
    <t>Ⅸ-01</t>
    <phoneticPr fontId="5" type="noConversion"/>
  </si>
  <si>
    <t>Ⅹ-01</t>
    <phoneticPr fontId="5" type="noConversion"/>
  </si>
  <si>
    <t>Ⅺ-门1</t>
    <phoneticPr fontId="5" type="noConversion"/>
  </si>
  <si>
    <t>Ⅻ-门1</t>
    <phoneticPr fontId="5" type="noConversion"/>
  </si>
  <si>
    <t>级别</t>
    <phoneticPr fontId="5" type="noConversion"/>
  </si>
  <si>
    <t>商业</t>
    <phoneticPr fontId="5" type="noConversion"/>
  </si>
  <si>
    <t>办公</t>
    <phoneticPr fontId="5" type="noConversion"/>
  </si>
  <si>
    <t>居住</t>
    <phoneticPr fontId="5" type="noConversion"/>
  </si>
  <si>
    <t>工业</t>
    <phoneticPr fontId="5" type="noConversion"/>
  </si>
  <si>
    <t>Ⅰ—02</t>
    <phoneticPr fontId="5" type="noConversion"/>
  </si>
  <si>
    <t>Ⅱ—02</t>
  </si>
  <si>
    <t>Ⅲ—02</t>
  </si>
  <si>
    <t>Ⅳ-02</t>
  </si>
  <si>
    <t>Ⅴ-02</t>
  </si>
  <si>
    <t>Ⅵ-02</t>
  </si>
  <si>
    <t>Ⅶ-02</t>
  </si>
  <si>
    <t>Ⅷ-02</t>
  </si>
  <si>
    <t>Ⅸ-02</t>
  </si>
  <si>
    <t>Ⅹ-02</t>
  </si>
  <si>
    <t>Ⅺ-门斋</t>
    <phoneticPr fontId="5" type="noConversion"/>
  </si>
  <si>
    <t>Ⅻ-房1</t>
    <phoneticPr fontId="5" type="noConversion"/>
  </si>
  <si>
    <t>区片编号</t>
    <phoneticPr fontId="5" type="noConversion"/>
  </si>
  <si>
    <t>区片价格</t>
    <phoneticPr fontId="5" type="noConversion"/>
  </si>
  <si>
    <t>Ⅰ—03</t>
  </si>
  <si>
    <t>Ⅲ—03</t>
  </si>
  <si>
    <t>Ⅳ-03</t>
  </si>
  <si>
    <t>Ⅴ-03</t>
  </si>
  <si>
    <t>Ⅵ-03</t>
  </si>
  <si>
    <t>Ⅶ-03</t>
  </si>
  <si>
    <t>Ⅷ-03</t>
  </si>
  <si>
    <t>Ⅸ-门1</t>
    <phoneticPr fontId="5" type="noConversion"/>
  </si>
  <si>
    <t>Ⅹ-门1</t>
    <phoneticPr fontId="5" type="noConversion"/>
  </si>
  <si>
    <t>Ⅺ-房1</t>
    <phoneticPr fontId="5" type="noConversion"/>
  </si>
  <si>
    <t>Ⅻ-昌1</t>
    <phoneticPr fontId="5" type="noConversion"/>
  </si>
  <si>
    <t>一级</t>
  </si>
  <si>
    <t>Ⅰ—04</t>
  </si>
  <si>
    <t>Ⅱ—04</t>
  </si>
  <si>
    <t>Ⅲ—04</t>
  </si>
  <si>
    <t>Ⅳ-04</t>
  </si>
  <si>
    <t>Ⅴ-04</t>
  </si>
  <si>
    <t>Ⅵ-04</t>
  </si>
  <si>
    <t>Ⅶ-04</t>
  </si>
  <si>
    <t>Ⅷ-04</t>
  </si>
  <si>
    <t>Ⅸ-门2</t>
    <phoneticPr fontId="5" type="noConversion"/>
  </si>
  <si>
    <t>Ⅹ-房1</t>
    <phoneticPr fontId="5" type="noConversion"/>
  </si>
  <si>
    <t>Ⅺ-房2</t>
  </si>
  <si>
    <t>Ⅻ-平1</t>
    <phoneticPr fontId="5" type="noConversion"/>
  </si>
  <si>
    <t>Ⅰ—05</t>
  </si>
  <si>
    <t>Ⅱ—05</t>
  </si>
  <si>
    <t>Ⅲ—05</t>
  </si>
  <si>
    <t>Ⅳ-05</t>
  </si>
  <si>
    <t>Ⅴ-05</t>
  </si>
  <si>
    <t>Ⅵ-05</t>
  </si>
  <si>
    <t>Ⅶ-05</t>
  </si>
  <si>
    <t>Ⅷ-门1</t>
    <phoneticPr fontId="5" type="noConversion"/>
  </si>
  <si>
    <t>Ⅸ-门潭</t>
    <phoneticPr fontId="5" type="noConversion"/>
  </si>
  <si>
    <t>Ⅹ-房2</t>
  </si>
  <si>
    <t>Ⅺ-通1</t>
    <phoneticPr fontId="5" type="noConversion"/>
  </si>
  <si>
    <t>Ⅻ-怀1</t>
    <phoneticPr fontId="5" type="noConversion"/>
  </si>
  <si>
    <t>三级</t>
    <phoneticPr fontId="5" type="noConversion"/>
  </si>
  <si>
    <t>Ⅱ—06</t>
  </si>
  <si>
    <t>Ⅲ—06</t>
  </si>
  <si>
    <t>Ⅳ-06</t>
  </si>
  <si>
    <t>Ⅴ-06</t>
  </si>
  <si>
    <t>Ⅵ-06</t>
  </si>
  <si>
    <t>Ⅶ-06</t>
  </si>
  <si>
    <t>Ⅷ-门军</t>
    <phoneticPr fontId="5" type="noConversion"/>
  </si>
  <si>
    <t>Ⅸ-房1</t>
    <phoneticPr fontId="5" type="noConversion"/>
  </si>
  <si>
    <t>Ⅹ-通1</t>
    <phoneticPr fontId="5" type="noConversion"/>
  </si>
  <si>
    <t>Ⅺ-顺1</t>
    <phoneticPr fontId="5" type="noConversion"/>
  </si>
  <si>
    <t>Ⅻ-密1</t>
    <phoneticPr fontId="5" type="noConversion"/>
  </si>
  <si>
    <t>四级</t>
    <phoneticPr fontId="5" type="noConversion"/>
  </si>
  <si>
    <t>Ⅱ—07</t>
  </si>
  <si>
    <t>Ⅲ—07</t>
  </si>
  <si>
    <t>Ⅳ-07</t>
  </si>
  <si>
    <t>Ⅴ-07</t>
  </si>
  <si>
    <t>Ⅵ-07</t>
  </si>
  <si>
    <t>Ⅶ-07</t>
  </si>
  <si>
    <t>Ⅷ-房1</t>
    <phoneticPr fontId="5" type="noConversion"/>
  </si>
  <si>
    <t>Ⅸ-房2</t>
  </si>
  <si>
    <t>Ⅹ-顺1</t>
    <phoneticPr fontId="5" type="noConversion"/>
  </si>
  <si>
    <t>Ⅺ-兴1</t>
    <phoneticPr fontId="5" type="noConversion"/>
  </si>
  <si>
    <t>Ⅻ-延1</t>
    <phoneticPr fontId="5" type="noConversion"/>
  </si>
  <si>
    <t>五级</t>
    <phoneticPr fontId="5" type="noConversion"/>
  </si>
  <si>
    <t>Ⅱ—08</t>
  </si>
  <si>
    <t>Ⅲ—08</t>
  </si>
  <si>
    <t>Ⅳ-08</t>
  </si>
  <si>
    <t>Ⅴ-08</t>
  </si>
  <si>
    <t>Ⅵ-08</t>
  </si>
  <si>
    <t>Ⅶ-08</t>
  </si>
  <si>
    <t>Ⅷ-房2</t>
  </si>
  <si>
    <t>Ⅸ-房3</t>
  </si>
  <si>
    <t>Ⅹ-顺2</t>
  </si>
  <si>
    <t>Ⅺ-兴2</t>
    <phoneticPr fontId="5" type="noConversion"/>
  </si>
  <si>
    <t>二级</t>
  </si>
  <si>
    <t>Ⅱ—01</t>
    <phoneticPr fontId="5" type="noConversion"/>
  </si>
  <si>
    <t>六级</t>
    <phoneticPr fontId="5" type="noConversion"/>
  </si>
  <si>
    <t>Ⅱ—09</t>
  </si>
  <si>
    <t>Ⅲ—09</t>
  </si>
  <si>
    <t>Ⅳ-09</t>
  </si>
  <si>
    <t>Ⅴ-09</t>
  </si>
  <si>
    <t>Ⅵ-09</t>
  </si>
  <si>
    <t>Ⅶ-09</t>
  </si>
  <si>
    <t>Ⅷ-房3</t>
  </si>
  <si>
    <t>Ⅸ-房4</t>
  </si>
  <si>
    <t>Ⅹ-顺3</t>
  </si>
  <si>
    <t>Ⅺ-昌1</t>
    <phoneticPr fontId="5" type="noConversion"/>
  </si>
  <si>
    <t>七级</t>
    <phoneticPr fontId="5" type="noConversion"/>
  </si>
  <si>
    <t>Ⅱ—10</t>
  </si>
  <si>
    <t>Ⅲ—10</t>
  </si>
  <si>
    <t>Ⅳ-10</t>
  </si>
  <si>
    <t>Ⅴ-10</t>
  </si>
  <si>
    <t>Ⅵ-10</t>
  </si>
  <si>
    <t>Ⅶ-10</t>
  </si>
  <si>
    <t>Ⅷ-通1</t>
    <phoneticPr fontId="5" type="noConversion"/>
  </si>
  <si>
    <t>Ⅸ-房5</t>
  </si>
  <si>
    <t>Ⅹ-兴1</t>
    <phoneticPr fontId="5" type="noConversion"/>
  </si>
  <si>
    <t>Ⅺ-昌2</t>
  </si>
  <si>
    <t>八级</t>
    <phoneticPr fontId="5" type="noConversion"/>
  </si>
  <si>
    <t>Ⅱ—11</t>
  </si>
  <si>
    <t>Ⅲ—11</t>
  </si>
  <si>
    <t>Ⅳ-11</t>
  </si>
  <si>
    <t>Ⅴ-11</t>
  </si>
  <si>
    <t>Ⅵ-11</t>
  </si>
  <si>
    <t>Ⅶ-11</t>
  </si>
  <si>
    <t>Ⅷ-通2</t>
  </si>
  <si>
    <t>Ⅸ-房6</t>
  </si>
  <si>
    <t>Ⅹ-兴2</t>
  </si>
  <si>
    <t>Ⅺ-平1</t>
    <phoneticPr fontId="5" type="noConversion"/>
  </si>
  <si>
    <t>九级</t>
    <phoneticPr fontId="5" type="noConversion"/>
  </si>
  <si>
    <t>Ⅱ—12</t>
  </si>
  <si>
    <t>Ⅲ—12</t>
  </si>
  <si>
    <t>Ⅳ-12</t>
  </si>
  <si>
    <t>Ⅴ-12</t>
  </si>
  <si>
    <t>Ⅵ-12</t>
  </si>
  <si>
    <t>Ⅶ-12</t>
  </si>
  <si>
    <t>Ⅷ-通3</t>
  </si>
  <si>
    <t>Ⅸ-通1</t>
    <phoneticPr fontId="5" type="noConversion"/>
  </si>
  <si>
    <t>Ⅹ-昌1</t>
    <phoneticPr fontId="5" type="noConversion"/>
  </si>
  <si>
    <t>Ⅺ-平2</t>
  </si>
  <si>
    <t>十级</t>
    <phoneticPr fontId="5" type="noConversion"/>
  </si>
  <si>
    <t>Ⅱ—13</t>
  </si>
  <si>
    <t>Ⅲ—13</t>
  </si>
  <si>
    <t>Ⅳ-13</t>
  </si>
  <si>
    <t>Ⅴ-13</t>
  </si>
  <si>
    <t>Ⅵ-13</t>
  </si>
  <si>
    <t>Ⅶ-13</t>
  </si>
  <si>
    <t>Ⅷ-顺1</t>
    <phoneticPr fontId="5" type="noConversion"/>
  </si>
  <si>
    <t>Ⅸ-通2</t>
  </si>
  <si>
    <t>Ⅹ-昌2</t>
  </si>
  <si>
    <t>Ⅺ-平3</t>
  </si>
  <si>
    <t>十一级</t>
    <phoneticPr fontId="5" type="noConversion"/>
  </si>
  <si>
    <t>Ⅱ—14</t>
  </si>
  <si>
    <t>Ⅲ—14</t>
  </si>
  <si>
    <t>Ⅳ-14</t>
  </si>
  <si>
    <t>Ⅴ-14</t>
  </si>
  <si>
    <t>Ⅵ-14</t>
  </si>
  <si>
    <t>Ⅶ-门1</t>
    <phoneticPr fontId="5" type="noConversion"/>
  </si>
  <si>
    <t>Ⅷ-顺2</t>
  </si>
  <si>
    <t>Ⅸ-通3</t>
  </si>
  <si>
    <t>Ⅹ-昌3</t>
  </si>
  <si>
    <t>Ⅺ-平4</t>
  </si>
  <si>
    <t>十二级</t>
    <phoneticPr fontId="5" type="noConversion"/>
  </si>
  <si>
    <t>Ⅱ—15</t>
  </si>
  <si>
    <t>Ⅲ—15</t>
  </si>
  <si>
    <t>Ⅳ-15</t>
  </si>
  <si>
    <t>Ⅴ-15</t>
  </si>
  <si>
    <t>Ⅵ-15</t>
  </si>
  <si>
    <t>Ⅶ-房1</t>
    <phoneticPr fontId="5" type="noConversion"/>
  </si>
  <si>
    <t>Ⅷ-顺3</t>
    <phoneticPr fontId="5" type="noConversion"/>
  </si>
  <si>
    <t>Ⅸ-顺1</t>
    <phoneticPr fontId="5" type="noConversion"/>
  </si>
  <si>
    <t>Ⅹ-平1</t>
    <phoneticPr fontId="5" type="noConversion"/>
  </si>
  <si>
    <t>Ⅺ-怀1</t>
    <phoneticPr fontId="5" type="noConversion"/>
  </si>
  <si>
    <t>Ⅱ—16</t>
  </si>
  <si>
    <t>Ⅲ—16</t>
  </si>
  <si>
    <t>Ⅳ-16</t>
  </si>
  <si>
    <t>Ⅴ-16</t>
  </si>
  <si>
    <t>Ⅵ-16</t>
  </si>
  <si>
    <t>Ⅶ-房2</t>
  </si>
  <si>
    <t>Ⅷ-顺4</t>
  </si>
  <si>
    <t>Ⅸ-顺2</t>
  </si>
  <si>
    <t>Ⅹ-平2</t>
  </si>
  <si>
    <t>Ⅺ-怀2</t>
  </si>
  <si>
    <t>Ⅱ—17</t>
  </si>
  <si>
    <t>Ⅲ—17</t>
  </si>
  <si>
    <t>Ⅳ-17</t>
  </si>
  <si>
    <t>Ⅴ-17</t>
  </si>
  <si>
    <t>Ⅵ-17</t>
  </si>
  <si>
    <t>Ⅶ-通1</t>
    <phoneticPr fontId="5" type="noConversion"/>
  </si>
  <si>
    <t>Ⅷ-顺5</t>
  </si>
  <si>
    <t>Ⅸ-顺3</t>
  </si>
  <si>
    <t>Ⅹ-怀1</t>
    <phoneticPr fontId="5" type="noConversion"/>
  </si>
  <si>
    <t>Ⅺ-密1</t>
    <phoneticPr fontId="5" type="noConversion"/>
  </si>
  <si>
    <t>Ⅱ—18</t>
  </si>
  <si>
    <t>Ⅲ—18</t>
  </si>
  <si>
    <t>Ⅳ-18</t>
  </si>
  <si>
    <t>Ⅴ-18</t>
  </si>
  <si>
    <t>Ⅵ-18</t>
  </si>
  <si>
    <t>Ⅶ-顺1</t>
    <phoneticPr fontId="5" type="noConversion"/>
  </si>
  <si>
    <t>Ⅷ-顺6</t>
  </si>
  <si>
    <t>Ⅸ-顺4</t>
  </si>
  <si>
    <t>Ⅹ-怀2</t>
  </si>
  <si>
    <t>Ⅺ-密2</t>
  </si>
  <si>
    <t>Ⅱ—19</t>
  </si>
  <si>
    <t>Ⅲ—19</t>
  </si>
  <si>
    <t>Ⅳ-19</t>
  </si>
  <si>
    <t>Ⅴ-19</t>
  </si>
  <si>
    <t>Ⅵ-19</t>
  </si>
  <si>
    <t>Ⅶ-顺2</t>
  </si>
  <si>
    <t>Ⅷ-顺7</t>
  </si>
  <si>
    <t>Ⅸ-兴1</t>
    <phoneticPr fontId="5" type="noConversion"/>
  </si>
  <si>
    <t>Ⅹ-怀3</t>
  </si>
  <si>
    <t>Ⅺ-密3</t>
  </si>
  <si>
    <t>Ⅲ—20</t>
  </si>
  <si>
    <t>Ⅳ-20</t>
  </si>
  <si>
    <t>Ⅴ-20</t>
  </si>
  <si>
    <t>Ⅵ-20</t>
  </si>
  <si>
    <t>Ⅶ-兴1</t>
    <phoneticPr fontId="5" type="noConversion"/>
  </si>
  <si>
    <t>Ⅷ-兴1</t>
    <phoneticPr fontId="5" type="noConversion"/>
  </si>
  <si>
    <t>Ⅸ-兴2</t>
  </si>
  <si>
    <t>Ⅹ-密1</t>
    <phoneticPr fontId="5" type="noConversion"/>
  </si>
  <si>
    <t>Ⅺ-延1</t>
    <phoneticPr fontId="5" type="noConversion"/>
  </si>
  <si>
    <t>Ⅱ—13</t>
    <phoneticPr fontId="5" type="noConversion"/>
  </si>
  <si>
    <t>Ⅳ-21</t>
  </si>
  <si>
    <t>Ⅴ-21</t>
  </si>
  <si>
    <t>Ⅵ-21</t>
  </si>
  <si>
    <t>Ⅶ-兴2</t>
  </si>
  <si>
    <t>Ⅷ-兴2</t>
  </si>
  <si>
    <t>Ⅸ-兴3</t>
  </si>
  <si>
    <t>Ⅹ-延1</t>
    <phoneticPr fontId="5" type="noConversion"/>
  </si>
  <si>
    <t>Ⅺ-延2</t>
  </si>
  <si>
    <t>Ⅳ-22</t>
  </si>
  <si>
    <t>Ⅴ-22</t>
  </si>
  <si>
    <t>Ⅵ-22</t>
  </si>
  <si>
    <t>Ⅶ-兴3</t>
  </si>
  <si>
    <t>Ⅷ-昌1</t>
    <phoneticPr fontId="5" type="noConversion"/>
  </si>
  <si>
    <t>Ⅸ-兴4</t>
  </si>
  <si>
    <t>Ⅹ-延2</t>
  </si>
  <si>
    <t>Ⅳ-23</t>
  </si>
  <si>
    <t>Ⅴ-23</t>
  </si>
  <si>
    <t>Ⅵ-23</t>
  </si>
  <si>
    <t>Ⅶ-昌1</t>
    <phoneticPr fontId="5" type="noConversion"/>
  </si>
  <si>
    <t>Ⅷ-昌2</t>
  </si>
  <si>
    <t>Ⅸ-兴5</t>
  </si>
  <si>
    <t>Ⅹ-亦1</t>
    <phoneticPr fontId="5" type="noConversion"/>
  </si>
  <si>
    <t>Ⅳ-电子城东</t>
    <phoneticPr fontId="5" type="noConversion"/>
  </si>
  <si>
    <t>Ⅴ-24</t>
  </si>
  <si>
    <t>Ⅵ-24</t>
  </si>
  <si>
    <t>Ⅶ-昌2</t>
  </si>
  <si>
    <t>Ⅷ-昌3</t>
  </si>
  <si>
    <t>Ⅸ-昌1</t>
    <phoneticPr fontId="5" type="noConversion"/>
  </si>
  <si>
    <t>Ⅹ-马坊工业园</t>
    <phoneticPr fontId="5" type="noConversion"/>
  </si>
  <si>
    <t>Ⅳ-电子城西</t>
    <phoneticPr fontId="5" type="noConversion"/>
  </si>
  <si>
    <t>Ⅴ-25</t>
  </si>
  <si>
    <t>Ⅵ-通1</t>
    <phoneticPr fontId="5" type="noConversion"/>
  </si>
  <si>
    <t>Ⅶ-昌3</t>
  </si>
  <si>
    <t>Ⅷ-昌4</t>
  </si>
  <si>
    <t>Ⅸ-昌2</t>
  </si>
  <si>
    <t>Ⅹ-延庆开发区</t>
    <phoneticPr fontId="5" type="noConversion"/>
  </si>
  <si>
    <t>Ⅳ-上地核心</t>
    <phoneticPr fontId="5" type="noConversion"/>
  </si>
  <si>
    <t>Ⅴ-26</t>
  </si>
  <si>
    <t>Ⅵ-通2</t>
  </si>
  <si>
    <t>Ⅶ-昌4</t>
  </si>
  <si>
    <t>Ⅷ-平1</t>
    <phoneticPr fontId="5" type="noConversion"/>
  </si>
  <si>
    <t>Ⅸ-昌3</t>
  </si>
  <si>
    <t>Ⅹ-八达岭开发区</t>
    <phoneticPr fontId="5" type="noConversion"/>
  </si>
  <si>
    <t>Ⅳ-丰台园东</t>
    <phoneticPr fontId="5" type="noConversion"/>
  </si>
  <si>
    <t>Ⅴ-电子城北</t>
    <phoneticPr fontId="5" type="noConversion"/>
  </si>
  <si>
    <t>Ⅵ-通3</t>
  </si>
  <si>
    <t>Ⅶ-昌5</t>
  </si>
  <si>
    <t>Ⅷ-怀1</t>
    <phoneticPr fontId="5" type="noConversion"/>
  </si>
  <si>
    <t>Ⅸ-昌4</t>
  </si>
  <si>
    <t>三级</t>
  </si>
  <si>
    <t>Ⅲ—01</t>
    <phoneticPr fontId="5" type="noConversion"/>
  </si>
  <si>
    <t>Ⅴ-永丰产业基地</t>
    <phoneticPr fontId="5" type="noConversion"/>
  </si>
  <si>
    <t>Ⅵ-通4</t>
  </si>
  <si>
    <t>Ⅶ-亦1</t>
    <phoneticPr fontId="5" type="noConversion"/>
  </si>
  <si>
    <t>Ⅷ-密1</t>
    <phoneticPr fontId="5" type="noConversion"/>
  </si>
  <si>
    <t>Ⅸ-昌5</t>
  </si>
  <si>
    <t>Ⅴ-航天城</t>
    <phoneticPr fontId="5" type="noConversion"/>
  </si>
  <si>
    <t>Ⅵ-顺1</t>
    <phoneticPr fontId="5" type="noConversion"/>
  </si>
  <si>
    <t>Ⅶ-国际教育园</t>
    <phoneticPr fontId="5" type="noConversion"/>
  </si>
  <si>
    <t>Ⅸ-昌南</t>
    <phoneticPr fontId="5" type="noConversion"/>
  </si>
  <si>
    <r>
      <t>Ⅴ-西北旺</t>
    </r>
    <r>
      <rPr>
        <sz val="10"/>
        <color indexed="8"/>
        <rFont val="宋体"/>
        <family val="3"/>
        <charset val="134"/>
      </rPr>
      <t>Ⅰ</t>
    </r>
    <phoneticPr fontId="5" type="noConversion"/>
  </si>
  <si>
    <t>Ⅵ-兴1</t>
    <phoneticPr fontId="5" type="noConversion"/>
  </si>
  <si>
    <t>Ⅶ-农林园</t>
    <phoneticPr fontId="5" type="noConversion"/>
  </si>
  <si>
    <t>Ⅷ-亦1</t>
    <phoneticPr fontId="5" type="noConversion"/>
  </si>
  <si>
    <t>Ⅸ-平1</t>
    <phoneticPr fontId="5" type="noConversion"/>
  </si>
  <si>
    <r>
      <t>Ⅴ-西北旺</t>
    </r>
    <r>
      <rPr>
        <sz val="10"/>
        <color indexed="8"/>
        <rFont val="宋体"/>
        <family val="3"/>
        <charset val="134"/>
      </rPr>
      <t>Ⅱ</t>
    </r>
    <phoneticPr fontId="5" type="noConversion"/>
  </si>
  <si>
    <t>Ⅵ-昌1</t>
    <phoneticPr fontId="5" type="noConversion"/>
  </si>
  <si>
    <t>Ⅶ-上庄科技</t>
    <phoneticPr fontId="5" type="noConversion"/>
  </si>
  <si>
    <t>Ⅷ-亦2</t>
  </si>
  <si>
    <t>Ⅸ-怀1</t>
    <phoneticPr fontId="5" type="noConversion"/>
  </si>
  <si>
    <t>Ⅴ-石景山园南区</t>
    <phoneticPr fontId="5" type="noConversion"/>
  </si>
  <si>
    <t>Ⅵ-昌2</t>
  </si>
  <si>
    <t>Ⅶ-文化教育基地</t>
    <phoneticPr fontId="5" type="noConversion"/>
  </si>
  <si>
    <t>Ⅷ-良乡开发区A</t>
    <phoneticPr fontId="5" type="noConversion"/>
  </si>
  <si>
    <t>Ⅸ-密1</t>
    <phoneticPr fontId="5" type="noConversion"/>
  </si>
  <si>
    <r>
      <t>Ⅴ-石景山园北</t>
    </r>
    <r>
      <rPr>
        <sz val="10"/>
        <color indexed="8"/>
        <rFont val="宋体"/>
        <family val="3"/>
        <charset val="134"/>
      </rPr>
      <t>Ⅰ</t>
    </r>
    <phoneticPr fontId="5" type="noConversion"/>
  </si>
  <si>
    <t>Ⅵ-昌3</t>
  </si>
  <si>
    <r>
      <t>Ⅶ-苏家坨科技</t>
    </r>
    <r>
      <rPr>
        <sz val="10"/>
        <color indexed="8"/>
        <rFont val="宋体"/>
        <family val="3"/>
        <charset val="134"/>
      </rPr>
      <t>Ⅰ</t>
    </r>
    <phoneticPr fontId="5" type="noConversion"/>
  </si>
  <si>
    <t>Ⅷ-良乡开发区B</t>
    <phoneticPr fontId="5" type="noConversion"/>
  </si>
  <si>
    <t>Ⅸ-延1</t>
    <phoneticPr fontId="5" type="noConversion"/>
  </si>
  <si>
    <r>
      <t>Ⅴ-石景山园北</t>
    </r>
    <r>
      <rPr>
        <sz val="10"/>
        <color indexed="8"/>
        <rFont val="宋体"/>
        <family val="3"/>
        <charset val="134"/>
      </rPr>
      <t>Ⅱ</t>
    </r>
    <phoneticPr fontId="5" type="noConversion"/>
  </si>
  <si>
    <t>Ⅵ-昌4</t>
  </si>
  <si>
    <r>
      <t>Ⅶ-苏家坨科技</t>
    </r>
    <r>
      <rPr>
        <sz val="10"/>
        <color indexed="8"/>
        <rFont val="宋体"/>
        <family val="3"/>
        <charset val="134"/>
      </rPr>
      <t>Ⅱ</t>
    </r>
    <phoneticPr fontId="5" type="noConversion"/>
  </si>
  <si>
    <t>Ⅷ-良乡开发区C</t>
    <phoneticPr fontId="5" type="noConversion"/>
  </si>
  <si>
    <t>Ⅸ-亦1</t>
    <phoneticPr fontId="5" type="noConversion"/>
  </si>
  <si>
    <t>Ⅵ-亦1</t>
    <phoneticPr fontId="5" type="noConversion"/>
  </si>
  <si>
    <r>
      <t>Ⅶ-丰台园西</t>
    </r>
    <r>
      <rPr>
        <sz val="10"/>
        <color indexed="8"/>
        <rFont val="宋体"/>
        <family val="3"/>
        <charset val="134"/>
      </rPr>
      <t>Ⅰ</t>
    </r>
    <phoneticPr fontId="5" type="noConversion"/>
  </si>
  <si>
    <t>Ⅷ-通州环保园</t>
    <phoneticPr fontId="5" type="noConversion"/>
  </si>
  <si>
    <t>Ⅸ-房山工业园东</t>
    <phoneticPr fontId="5" type="noConversion"/>
  </si>
  <si>
    <t>Ⅵ-创新园</t>
    <phoneticPr fontId="5" type="noConversion"/>
  </si>
  <si>
    <r>
      <t>Ⅶ-丰台园西</t>
    </r>
    <r>
      <rPr>
        <sz val="10"/>
        <color indexed="8"/>
        <rFont val="宋体"/>
        <family val="3"/>
        <charset val="134"/>
      </rPr>
      <t>Ⅱ</t>
    </r>
    <phoneticPr fontId="5" type="noConversion"/>
  </si>
  <si>
    <t>Ⅷ-空港北区A</t>
    <phoneticPr fontId="5" type="noConversion"/>
  </si>
  <si>
    <t>Ⅸ-房山工业园西</t>
    <phoneticPr fontId="5" type="noConversion"/>
  </si>
  <si>
    <t>Ⅵ-海淀环保园</t>
    <phoneticPr fontId="5" type="noConversion"/>
  </si>
  <si>
    <t>Ⅶ-石龙开发区</t>
    <phoneticPr fontId="5" type="noConversion"/>
  </si>
  <si>
    <t>Ⅷ-空港北区B</t>
    <phoneticPr fontId="5" type="noConversion"/>
  </si>
  <si>
    <t>Ⅸ-通州开发区东</t>
    <phoneticPr fontId="5" type="noConversion"/>
  </si>
  <si>
    <r>
      <t>Ⅵ-温泉科技</t>
    </r>
    <r>
      <rPr>
        <sz val="10"/>
        <color indexed="8"/>
        <rFont val="宋体"/>
        <family val="3"/>
        <charset val="134"/>
      </rPr>
      <t>Ⅰ</t>
    </r>
    <phoneticPr fontId="5" type="noConversion"/>
  </si>
  <si>
    <t>Ⅶ-光机电</t>
    <phoneticPr fontId="5" type="noConversion"/>
  </si>
  <si>
    <t>Ⅷ-生物医药基地</t>
    <phoneticPr fontId="5" type="noConversion"/>
  </si>
  <si>
    <t>Ⅸ-永乐开发区</t>
    <phoneticPr fontId="5" type="noConversion"/>
  </si>
  <si>
    <r>
      <t>Ⅵ-温泉科技</t>
    </r>
    <r>
      <rPr>
        <sz val="10"/>
        <color indexed="8"/>
        <rFont val="宋体"/>
        <family val="3"/>
        <charset val="134"/>
      </rPr>
      <t>Ⅱ</t>
    </r>
    <phoneticPr fontId="5" type="noConversion"/>
  </si>
  <si>
    <t>Ⅶ-通州开发区西</t>
    <phoneticPr fontId="5" type="noConversion"/>
  </si>
  <si>
    <t>Ⅷ-小汤山工业园</t>
    <phoneticPr fontId="5" type="noConversion"/>
  </si>
  <si>
    <t>Ⅸ-采育开发区</t>
    <phoneticPr fontId="5" type="noConversion"/>
  </si>
  <si>
    <r>
      <t>Ⅵ-温泉科技</t>
    </r>
    <r>
      <rPr>
        <sz val="10"/>
        <color indexed="8"/>
        <rFont val="宋体"/>
        <family val="3"/>
        <charset val="134"/>
      </rPr>
      <t>Ⅲ</t>
    </r>
    <phoneticPr fontId="5" type="noConversion"/>
  </si>
  <si>
    <t>Ⅶ-林河开发区</t>
    <phoneticPr fontId="5" type="noConversion"/>
  </si>
  <si>
    <t>Ⅸ-兴谷开发区A</t>
    <phoneticPr fontId="5" type="noConversion"/>
  </si>
  <si>
    <t>Ⅵ-天竺保税区南</t>
    <phoneticPr fontId="5" type="noConversion"/>
  </si>
  <si>
    <t>Ⅶ-大兴开发区</t>
    <phoneticPr fontId="5" type="noConversion"/>
  </si>
  <si>
    <t>Ⅸ-兴谷开发区B</t>
    <phoneticPr fontId="5" type="noConversion"/>
  </si>
  <si>
    <t>Ⅵ-天竺保税区北1</t>
    <phoneticPr fontId="5" type="noConversion"/>
  </si>
  <si>
    <r>
      <t>Ⅶ-昌平园南</t>
    </r>
    <r>
      <rPr>
        <sz val="10"/>
        <color indexed="8"/>
        <rFont val="宋体"/>
        <family val="3"/>
        <charset val="134"/>
      </rPr>
      <t>Ⅰ</t>
    </r>
    <phoneticPr fontId="5" type="noConversion"/>
  </si>
  <si>
    <t>Ⅸ-雁栖开发区A</t>
    <phoneticPr fontId="5" type="noConversion"/>
  </si>
  <si>
    <t>Ⅵ-天竺保税区北2</t>
  </si>
  <si>
    <r>
      <t>Ⅶ-昌平园南</t>
    </r>
    <r>
      <rPr>
        <sz val="10"/>
        <color indexed="8"/>
        <rFont val="宋体"/>
        <family val="3"/>
        <charset val="134"/>
      </rPr>
      <t>Ⅱ</t>
    </r>
    <phoneticPr fontId="5" type="noConversion"/>
  </si>
  <si>
    <t>Ⅸ-雁栖开发区B</t>
    <phoneticPr fontId="5" type="noConversion"/>
  </si>
  <si>
    <t>Ⅵ-空港A</t>
    <phoneticPr fontId="5" type="noConversion"/>
  </si>
  <si>
    <r>
      <t>Ⅶ-昌平园北</t>
    </r>
    <r>
      <rPr>
        <sz val="10"/>
        <color indexed="8"/>
        <rFont val="宋体"/>
        <family val="3"/>
        <charset val="134"/>
      </rPr>
      <t>Ⅰ</t>
    </r>
    <phoneticPr fontId="5" type="noConversion"/>
  </si>
  <si>
    <t>Ⅸ-雁栖开发区C</t>
    <phoneticPr fontId="5" type="noConversion"/>
  </si>
  <si>
    <t>Ⅵ-空港B</t>
    <phoneticPr fontId="5" type="noConversion"/>
  </si>
  <si>
    <r>
      <t>Ⅶ-昌平园北</t>
    </r>
    <r>
      <rPr>
        <sz val="10"/>
        <color indexed="8"/>
        <rFont val="宋体"/>
        <family val="3"/>
        <charset val="134"/>
      </rPr>
      <t>Ⅱ</t>
    </r>
    <phoneticPr fontId="5" type="noConversion"/>
  </si>
  <si>
    <t>Ⅸ-密云开发区</t>
    <phoneticPr fontId="5" type="noConversion"/>
  </si>
  <si>
    <t>Ⅵ-生命科学园</t>
    <phoneticPr fontId="5" type="noConversion"/>
  </si>
  <si>
    <r>
      <t>Ⅶ-昌平园北</t>
    </r>
    <r>
      <rPr>
        <sz val="10"/>
        <color indexed="8"/>
        <rFont val="宋体"/>
        <family val="3"/>
        <charset val="134"/>
      </rPr>
      <t>Ⅲ</t>
    </r>
    <phoneticPr fontId="5" type="noConversion"/>
  </si>
  <si>
    <t>Ⅵ-昌三一光电</t>
    <phoneticPr fontId="5" type="noConversion"/>
  </si>
  <si>
    <t>Ⅶ-BDA东</t>
    <phoneticPr fontId="5" type="noConversion"/>
  </si>
  <si>
    <t>Ⅳ-01</t>
    <phoneticPr fontId="5" type="noConversion"/>
  </si>
  <si>
    <t>Ⅵ-BDA核心</t>
    <phoneticPr fontId="5" type="noConversion"/>
  </si>
  <si>
    <t>Ⅶ-BDA西</t>
    <phoneticPr fontId="5" type="noConversion"/>
  </si>
  <si>
    <t>五级</t>
  </si>
  <si>
    <t>Ⅴ-01</t>
    <phoneticPr fontId="5" type="noConversion"/>
  </si>
  <si>
    <t>Ⅵ-01</t>
    <phoneticPr fontId="5" type="noConversion"/>
  </si>
  <si>
    <t>七级</t>
  </si>
  <si>
    <t>Ⅶ-01</t>
    <phoneticPr fontId="5" type="noConversion"/>
  </si>
  <si>
    <t>八级</t>
  </si>
  <si>
    <t>Ⅷ-01</t>
    <phoneticPr fontId="5" type="noConversion"/>
  </si>
  <si>
    <t>九级</t>
  </si>
  <si>
    <t>Ⅸ-01</t>
    <phoneticPr fontId="5" type="noConversion"/>
  </si>
  <si>
    <t>Ⅸ-门1</t>
    <phoneticPr fontId="5" type="noConversion"/>
  </si>
  <si>
    <t>Ⅸ-门2</t>
    <phoneticPr fontId="5" type="noConversion"/>
  </si>
  <si>
    <t>十级</t>
  </si>
  <si>
    <t>Ⅹ-01</t>
    <phoneticPr fontId="5" type="noConversion"/>
  </si>
  <si>
    <t>Ⅹ-门1</t>
    <phoneticPr fontId="5" type="noConversion"/>
  </si>
  <si>
    <t>Ⅹ-门斋</t>
    <phoneticPr fontId="5" type="noConversion"/>
  </si>
  <si>
    <t>Ⅹ-房1</t>
    <phoneticPr fontId="5" type="noConversion"/>
  </si>
  <si>
    <t>Ⅺ-门1</t>
    <phoneticPr fontId="5" type="noConversion"/>
  </si>
  <si>
    <t>Ⅺ-门斋</t>
    <phoneticPr fontId="5" type="noConversion"/>
  </si>
  <si>
    <t>Ⅺ-房1</t>
    <phoneticPr fontId="5" type="noConversion"/>
  </si>
  <si>
    <t>Ⅻ-门1</t>
    <phoneticPr fontId="5" type="noConversion"/>
  </si>
  <si>
    <t>Ⅻ-房1</t>
    <phoneticPr fontId="5" type="noConversion"/>
  </si>
  <si>
    <t>Ⅻ-昌1</t>
    <phoneticPr fontId="5" type="noConversion"/>
  </si>
  <si>
    <t>Ⅻ-平1</t>
    <phoneticPr fontId="5" type="noConversion"/>
  </si>
  <si>
    <t>土地级别</t>
    <phoneticPr fontId="5" type="noConversion"/>
  </si>
  <si>
    <t>通路</t>
    <phoneticPr fontId="5" type="noConversion"/>
  </si>
  <si>
    <t>通电</t>
    <phoneticPr fontId="5" type="noConversion"/>
  </si>
  <si>
    <t>通讯</t>
    <phoneticPr fontId="5" type="noConversion"/>
  </si>
  <si>
    <t>通上水</t>
    <phoneticPr fontId="5" type="noConversion"/>
  </si>
  <si>
    <t>通下水</t>
    <phoneticPr fontId="5" type="noConversion"/>
  </si>
  <si>
    <t>通热</t>
    <phoneticPr fontId="5" type="noConversion"/>
  </si>
  <si>
    <t>燃气</t>
    <phoneticPr fontId="5" type="noConversion"/>
  </si>
  <si>
    <t>平整</t>
    <phoneticPr fontId="5" type="noConversion"/>
  </si>
  <si>
    <t>——</t>
    <phoneticPr fontId="5" type="noConversion"/>
  </si>
  <si>
    <t>北京市基准地价用途修正系数表</t>
    <phoneticPr fontId="5" type="noConversion"/>
  </si>
  <si>
    <t>用途</t>
    <phoneticPr fontId="5" type="noConversion"/>
  </si>
  <si>
    <t>用途类别划分</t>
    <phoneticPr fontId="5" type="noConversion"/>
  </si>
  <si>
    <t>用途修正  系数</t>
    <phoneticPr fontId="5" type="noConversion"/>
  </si>
  <si>
    <t>比准类别</t>
    <phoneticPr fontId="5" type="noConversion"/>
  </si>
  <si>
    <t>批发零售用地</t>
    <phoneticPr fontId="5" type="noConversion"/>
  </si>
  <si>
    <t>（指主要用于商品批发、零售的用地，包括商场、商店、超市、各类批发（零售）市场、加油站等及其附属的小型仓库、车间、工场等）</t>
    <phoneticPr fontId="5" type="noConversion"/>
  </si>
  <si>
    <t>其他类别</t>
    <phoneticPr fontId="5" type="noConversion"/>
  </si>
  <si>
    <t>住宿餐饮用地</t>
    <phoneticPr fontId="5" type="noConversion"/>
  </si>
  <si>
    <t>（指主要用于提供住宿、餐饮服务的用地，包括宾馆、酒店、饭店、旅馆、招待所、度假村、餐厅、酒吧等）</t>
    <phoneticPr fontId="5" type="noConversion"/>
  </si>
  <si>
    <t>商务金融用地（商业类）</t>
    <phoneticPr fontId="5" type="noConversion"/>
  </si>
  <si>
    <t>（指金融、证券、通讯、保险等营业网点用地）</t>
    <phoneticPr fontId="5" type="noConversion"/>
  </si>
  <si>
    <t>其他商服用地</t>
    <phoneticPr fontId="5" type="noConversion"/>
  </si>
  <si>
    <t>（指上述用地以外的其他商业、服务业用地，包括洗车场、洗染店、废旧物资回收站、维修网点、照相馆、理发美容店、洗浴场所、俱乐部、康乐中心、歌舞厅、赛车场、影视基地、影剧院、邮政、电信营业网点等）</t>
    <phoneticPr fontId="5" type="noConversion"/>
  </si>
  <si>
    <t>殡葬用地等特殊用地</t>
    <phoneticPr fontId="5" type="noConversion"/>
  </si>
  <si>
    <t>商务金融用地（办公类）</t>
    <phoneticPr fontId="5" type="noConversion"/>
  </si>
  <si>
    <t>（指企业、服务业等办公用地，以及经营性的办公场所用地，包括写字楼、商业性办公楼和企业厂区外独立的办公楼）</t>
    <phoneticPr fontId="5" type="noConversion"/>
  </si>
  <si>
    <t>其他商服用地（停车场、停车楼等用地）</t>
    <phoneticPr fontId="5" type="noConversion"/>
  </si>
  <si>
    <t>其他商服用地（指展览馆、会展中心等用地）</t>
    <phoneticPr fontId="5" type="noConversion"/>
  </si>
  <si>
    <t>机场航站楼用地</t>
    <phoneticPr fontId="5" type="noConversion"/>
  </si>
  <si>
    <t>科教用地</t>
    <phoneticPr fontId="5" type="noConversion"/>
  </si>
  <si>
    <t>（指用于各类教育，独立的科研、勘测、设计、技术推广、科普等的用地）</t>
    <phoneticPr fontId="5" type="noConversion"/>
  </si>
  <si>
    <t>新闻出版用地</t>
    <phoneticPr fontId="5" type="noConversion"/>
  </si>
  <si>
    <t>（指用于广播电台、电视台、电影厂、报社、杂志社、通讯社、出版社等的用地）、</t>
    <phoneticPr fontId="5" type="noConversion"/>
  </si>
  <si>
    <t>机关团体用地</t>
    <phoneticPr fontId="5" type="noConversion"/>
  </si>
  <si>
    <t>（指用于党政机关、社会团体、群众自治组织等的用地）</t>
    <phoneticPr fontId="5" type="noConversion"/>
  </si>
  <si>
    <t>医卫慈善用地</t>
    <phoneticPr fontId="5" type="noConversion"/>
  </si>
  <si>
    <t>（指用于医疗保健、卫生防疫、急救康复、医检药检、福利救助、养老设施等的用地）</t>
    <phoneticPr fontId="5" type="noConversion"/>
  </si>
  <si>
    <t>文体娱乐用地</t>
    <phoneticPr fontId="5" type="noConversion"/>
  </si>
  <si>
    <t>（指各类文化、体育及公共广场用地）</t>
    <phoneticPr fontId="5" type="noConversion"/>
  </si>
  <si>
    <t>产业用地</t>
    <phoneticPr fontId="5" type="noConversion"/>
  </si>
  <si>
    <t>（指高新技术产业研发与展示中心等产业用地）</t>
    <phoneticPr fontId="5" type="noConversion"/>
  </si>
  <si>
    <t>居住用地（指二类居住用地）</t>
    <phoneticPr fontId="5" type="noConversion"/>
  </si>
  <si>
    <t>（指二类居住用地（地上容积率≥１。）</t>
    <phoneticPr fontId="5" type="noConversion"/>
  </si>
  <si>
    <t>居住用地（指一类居住用地）</t>
    <phoneticPr fontId="5" type="noConversion"/>
  </si>
  <si>
    <t>（指一类居住用地（地上容积率＜１。）</t>
    <phoneticPr fontId="5" type="noConversion"/>
  </si>
  <si>
    <t>工业用地</t>
    <phoneticPr fontId="5" type="noConversion"/>
  </si>
  <si>
    <t>（指工业生产及直接为工业生产服务的附属设施用地）</t>
    <phoneticPr fontId="5" type="noConversion"/>
  </si>
  <si>
    <t>采矿用地</t>
    <phoneticPr fontId="5" type="noConversion"/>
  </si>
  <si>
    <t>（指采矿、采石、采砂（沙）场，盐田，砖瓦窑等地面生产设施及尾矿堆放地）</t>
    <phoneticPr fontId="5" type="noConversion"/>
  </si>
  <si>
    <t>仓储用地</t>
    <phoneticPr fontId="5" type="noConversion"/>
  </si>
  <si>
    <t>（指用于物资储备、中转的物流仓储场所等用地）</t>
    <phoneticPr fontId="5" type="noConversion"/>
  </si>
  <si>
    <t>公共设施用地</t>
    <phoneticPr fontId="5" type="noConversion"/>
  </si>
  <si>
    <t>（指用于城乡基础设施的用地，包括给排水、供电、供热、供气、邮政、电信、消防、环卫、公用设施维修等用地。）</t>
    <phoneticPr fontId="5" type="noConversion"/>
  </si>
  <si>
    <t>交通用地</t>
    <phoneticPr fontId="5" type="noConversion"/>
  </si>
  <si>
    <t>（指铁路用地、公路用地、机场用地、管道运输用地等，包括铁路、公路、机场、管道运输的地面线路、站场等用地以及城市道路、车站及其相应附属设施用地）</t>
    <phoneticPr fontId="5" type="noConversion"/>
  </si>
  <si>
    <t>备注：本用途修正系数仅适用于地上部分各类用途的修正，地下空间部分不适用上表中的用途修正，直接使用地下空间修正</t>
    <phoneticPr fontId="5" type="noConversion"/>
  </si>
  <si>
    <t>地下</t>
    <phoneticPr fontId="5" type="noConversion"/>
  </si>
  <si>
    <t>地下仓储</t>
    <phoneticPr fontId="5" type="noConversion"/>
  </si>
  <si>
    <t>车库</t>
    <phoneticPr fontId="5" type="noConversion"/>
  </si>
  <si>
    <t>—</t>
    <phoneticPr fontId="5" type="noConversion"/>
  </si>
  <si>
    <t>北京市商业路线价加价幅度表</t>
    <phoneticPr fontId="5" type="noConversion"/>
  </si>
  <si>
    <t>序号</t>
    <phoneticPr fontId="5" type="noConversion"/>
  </si>
  <si>
    <t>区县</t>
    <phoneticPr fontId="5" type="noConversion"/>
  </si>
  <si>
    <t>商业街名称</t>
    <phoneticPr fontId="5" type="noConversion"/>
  </si>
  <si>
    <t>起止点</t>
    <phoneticPr fontId="5" type="noConversion"/>
  </si>
  <si>
    <t>加价幅度</t>
    <phoneticPr fontId="5" type="noConversion"/>
  </si>
  <si>
    <t>标准深度（m）</t>
    <phoneticPr fontId="5" type="noConversion"/>
  </si>
  <si>
    <t>东城区</t>
    <phoneticPr fontId="5" type="noConversion"/>
  </si>
  <si>
    <t>东长安街</t>
    <phoneticPr fontId="5" type="noConversion"/>
  </si>
  <si>
    <t>天安门——东单</t>
    <phoneticPr fontId="5" type="noConversion"/>
  </si>
  <si>
    <t>建国门内大街</t>
    <phoneticPr fontId="5" type="noConversion"/>
  </si>
  <si>
    <t>建国门——东单</t>
    <phoneticPr fontId="5" type="noConversion"/>
  </si>
  <si>
    <t>王府井商业街</t>
    <phoneticPr fontId="5" type="noConversion"/>
  </si>
  <si>
    <t>东长安街——五四大街</t>
    <phoneticPr fontId="5" type="noConversion"/>
  </si>
  <si>
    <t>东单北大街</t>
    <phoneticPr fontId="5" type="noConversion"/>
  </si>
  <si>
    <t>金鱼胡同——东单路口</t>
    <phoneticPr fontId="5" type="noConversion"/>
  </si>
  <si>
    <t>东四南大街</t>
    <phoneticPr fontId="5" type="noConversion"/>
  </si>
  <si>
    <t>东四路口——金鱼胡同</t>
    <phoneticPr fontId="5" type="noConversion"/>
  </si>
  <si>
    <t>东直门内大街      （簋街）</t>
    <phoneticPr fontId="5" type="noConversion"/>
  </si>
  <si>
    <t>东直门桥——北新桥</t>
    <phoneticPr fontId="5" type="noConversion"/>
  </si>
  <si>
    <t>北京站东街</t>
    <phoneticPr fontId="5" type="noConversion"/>
  </si>
  <si>
    <t>建国门南大街——北京站</t>
    <phoneticPr fontId="5" type="noConversion"/>
  </si>
  <si>
    <t>北京站街</t>
    <phoneticPr fontId="5" type="noConversion"/>
  </si>
  <si>
    <t>建国门内大街——北京站</t>
    <phoneticPr fontId="5" type="noConversion"/>
  </si>
  <si>
    <t>东四十条</t>
    <phoneticPr fontId="5" type="noConversion"/>
  </si>
  <si>
    <t>东四十条桥——东四北大街</t>
    <phoneticPr fontId="5" type="noConversion"/>
  </si>
  <si>
    <t>张自忠路</t>
    <phoneticPr fontId="5" type="noConversion"/>
  </si>
  <si>
    <t>东四北大街——交道口南大街</t>
    <phoneticPr fontId="5" type="noConversion"/>
  </si>
  <si>
    <t>地安门东大街</t>
    <phoneticPr fontId="5" type="noConversion"/>
  </si>
  <si>
    <t>交道口南大街——地安门外大街</t>
    <phoneticPr fontId="5" type="noConversion"/>
  </si>
  <si>
    <t>前门商业街</t>
    <phoneticPr fontId="5" type="noConversion"/>
  </si>
  <si>
    <t>前门箭楼——珠市口</t>
    <phoneticPr fontId="5" type="noConversion"/>
  </si>
  <si>
    <t>崇外商业街</t>
    <phoneticPr fontId="5" type="noConversion"/>
  </si>
  <si>
    <t>崇文门——磁器口</t>
    <phoneticPr fontId="5" type="noConversion"/>
  </si>
  <si>
    <t>广渠门内大街</t>
    <phoneticPr fontId="5" type="noConversion"/>
  </si>
  <si>
    <t>广渠门——磁器口</t>
    <phoneticPr fontId="5" type="noConversion"/>
  </si>
  <si>
    <t>珠市口东大街</t>
    <phoneticPr fontId="5" type="noConversion"/>
  </si>
  <si>
    <t>磁器口——珠市口</t>
    <phoneticPr fontId="5" type="noConversion"/>
  </si>
  <si>
    <t>西城区</t>
    <phoneticPr fontId="5" type="noConversion"/>
  </si>
  <si>
    <t>西长安街</t>
    <phoneticPr fontId="5" type="noConversion"/>
  </si>
  <si>
    <t>天安门——西单</t>
    <phoneticPr fontId="5" type="noConversion"/>
  </si>
  <si>
    <t>复兴门内大街</t>
    <phoneticPr fontId="5" type="noConversion"/>
  </si>
  <si>
    <t>西单——复兴门</t>
    <phoneticPr fontId="5" type="noConversion"/>
  </si>
  <si>
    <t>复兴门外大街</t>
    <phoneticPr fontId="5" type="noConversion"/>
  </si>
  <si>
    <t>复兴门——木樨地</t>
    <phoneticPr fontId="5" type="noConversion"/>
  </si>
  <si>
    <t>西单商业街</t>
    <phoneticPr fontId="5" type="noConversion"/>
  </si>
  <si>
    <t>西单——辟才胡同</t>
    <phoneticPr fontId="5" type="noConversion"/>
  </si>
  <si>
    <t>西四商业街</t>
    <phoneticPr fontId="5" type="noConversion"/>
  </si>
  <si>
    <t>辟才胡同——平安里</t>
    <phoneticPr fontId="5" type="noConversion"/>
  </si>
  <si>
    <t>新街口商业街</t>
    <phoneticPr fontId="5" type="noConversion"/>
  </si>
  <si>
    <t>平安里——积水潭桥</t>
    <phoneticPr fontId="5" type="noConversion"/>
  </si>
  <si>
    <t>双旗杆西街       （福利特商业街）</t>
    <phoneticPr fontId="5" type="noConversion"/>
  </si>
  <si>
    <t>北三环中路——黄寺大街</t>
    <phoneticPr fontId="5" type="noConversion"/>
  </si>
  <si>
    <t>地安门西大街</t>
    <phoneticPr fontId="5" type="noConversion"/>
  </si>
  <si>
    <t>地安门外大街——新街口南大街</t>
    <phoneticPr fontId="5" type="noConversion"/>
  </si>
  <si>
    <t>平安里西大街</t>
    <phoneticPr fontId="5" type="noConversion"/>
  </si>
  <si>
    <t>新街口南大街——车公庄</t>
    <phoneticPr fontId="5" type="noConversion"/>
  </si>
  <si>
    <t>大栅栏商业街</t>
    <phoneticPr fontId="5" type="noConversion"/>
  </si>
  <si>
    <t>前门大街——煤市街</t>
    <phoneticPr fontId="5" type="noConversion"/>
  </si>
  <si>
    <t>珠市口西大街</t>
    <phoneticPr fontId="5" type="noConversion"/>
  </si>
  <si>
    <t>珠市口——南新华街</t>
    <phoneticPr fontId="5" type="noConversion"/>
  </si>
  <si>
    <t>骡马市大街</t>
    <phoneticPr fontId="5" type="noConversion"/>
  </si>
  <si>
    <t>南新华街——菜市口</t>
    <phoneticPr fontId="5" type="noConversion"/>
  </si>
  <si>
    <t>广安门内大街</t>
    <phoneticPr fontId="5" type="noConversion"/>
  </si>
  <si>
    <t>菜市口——广安门桥</t>
    <phoneticPr fontId="5" type="noConversion"/>
  </si>
  <si>
    <t>宣武门外大街</t>
    <phoneticPr fontId="5" type="noConversion"/>
  </si>
  <si>
    <t>宣武门——菜市口</t>
    <phoneticPr fontId="5" type="noConversion"/>
  </si>
  <si>
    <t>菜市口大街</t>
    <phoneticPr fontId="5" type="noConversion"/>
  </si>
  <si>
    <t>菜市口——开阳桥</t>
    <phoneticPr fontId="5" type="noConversion"/>
  </si>
  <si>
    <t>马连道路</t>
    <phoneticPr fontId="5" type="noConversion"/>
  </si>
  <si>
    <t>广安门外大街——红莲南路</t>
    <phoneticPr fontId="5" type="noConversion"/>
  </si>
  <si>
    <t>朝阳区</t>
    <phoneticPr fontId="5" type="noConversion"/>
  </si>
  <si>
    <t>朝外商业街</t>
    <phoneticPr fontId="5" type="noConversion"/>
  </si>
  <si>
    <t>朝阳门——东大桥</t>
    <phoneticPr fontId="5" type="noConversion"/>
  </si>
  <si>
    <t>安立路</t>
    <phoneticPr fontId="5" type="noConversion"/>
  </si>
  <si>
    <t>安慧桥——慧忠北路</t>
    <phoneticPr fontId="5" type="noConversion"/>
  </si>
  <si>
    <t>三里屯路</t>
    <phoneticPr fontId="5" type="noConversion"/>
  </si>
  <si>
    <t>工人体育场北路——东直门外大街</t>
    <phoneticPr fontId="5" type="noConversion"/>
  </si>
  <si>
    <t>秀水街</t>
    <phoneticPr fontId="5" type="noConversion"/>
  </si>
  <si>
    <t>建国门外大街——光华路</t>
    <phoneticPr fontId="5" type="noConversion"/>
  </si>
  <si>
    <t>大羊坊路         （十里河建材商业街）</t>
    <phoneticPr fontId="5" type="noConversion"/>
  </si>
  <si>
    <t>十里河桥——小武基路</t>
    <phoneticPr fontId="5" type="noConversion"/>
  </si>
  <si>
    <t>建国门外大街</t>
    <phoneticPr fontId="5" type="noConversion"/>
  </si>
  <si>
    <t>建国门桥——国贸桥</t>
    <phoneticPr fontId="5" type="noConversion"/>
  </si>
  <si>
    <t>建国路</t>
    <phoneticPr fontId="5" type="noConversion"/>
  </si>
  <si>
    <t>国贸桥——西大望路</t>
    <phoneticPr fontId="5" type="noConversion"/>
  </si>
  <si>
    <t>海淀区</t>
    <phoneticPr fontId="5" type="noConversion"/>
  </si>
  <si>
    <t>中关村大街</t>
    <phoneticPr fontId="5" type="noConversion"/>
  </si>
  <si>
    <t>海淀南路——北四环</t>
    <phoneticPr fontId="5" type="noConversion"/>
  </si>
  <si>
    <t>复兴路</t>
    <phoneticPr fontId="5" type="noConversion"/>
  </si>
  <si>
    <t>木樨地——万寿路</t>
    <phoneticPr fontId="5" type="noConversion"/>
  </si>
  <si>
    <t>海淀中路</t>
    <phoneticPr fontId="5" type="noConversion"/>
  </si>
  <si>
    <t>丰台区</t>
    <phoneticPr fontId="5" type="noConversion"/>
  </si>
  <si>
    <t>蒲芳路、紫芳路    （方庄商业街）</t>
    <phoneticPr fontId="5" type="noConversion"/>
  </si>
  <si>
    <t>蒲黄榆路——方庄东路</t>
    <phoneticPr fontId="5" type="noConversion"/>
  </si>
  <si>
    <t>石景山区</t>
    <phoneticPr fontId="5" type="noConversion"/>
  </si>
  <si>
    <t>石景山路</t>
    <phoneticPr fontId="5" type="noConversion"/>
  </si>
  <si>
    <t>八宝山——八角桥</t>
    <phoneticPr fontId="5" type="noConversion"/>
  </si>
  <si>
    <t>门头沟区</t>
    <phoneticPr fontId="5" type="noConversion"/>
  </si>
  <si>
    <t>新桥大街</t>
    <phoneticPr fontId="5" type="noConversion"/>
  </si>
  <si>
    <t>门头沟路——双峪路</t>
    <phoneticPr fontId="5" type="noConversion"/>
  </si>
  <si>
    <t>房山区</t>
    <phoneticPr fontId="5" type="noConversion"/>
  </si>
  <si>
    <t>南关大街</t>
    <phoneticPr fontId="5" type="noConversion"/>
  </si>
  <si>
    <t>房山东大街——南关立交桥</t>
    <phoneticPr fontId="5" type="noConversion"/>
  </si>
  <si>
    <t>拱辰大街</t>
    <phoneticPr fontId="5" type="noConversion"/>
  </si>
  <si>
    <t>良乡中路——月华大街</t>
    <phoneticPr fontId="5" type="noConversion"/>
  </si>
  <si>
    <t>通州区</t>
    <phoneticPr fontId="5" type="noConversion"/>
  </si>
  <si>
    <t>新华大街</t>
    <phoneticPr fontId="5" type="noConversion"/>
  </si>
  <si>
    <t>车站路——通惠南路</t>
    <phoneticPr fontId="5" type="noConversion"/>
  </si>
  <si>
    <t>云景东路</t>
    <phoneticPr fontId="5" type="noConversion"/>
  </si>
  <si>
    <t>地铁八通线——云景南大街</t>
    <phoneticPr fontId="5" type="noConversion"/>
  </si>
  <si>
    <t>顺义区</t>
    <phoneticPr fontId="5" type="noConversion"/>
  </si>
  <si>
    <t>新顺大街</t>
    <phoneticPr fontId="5" type="noConversion"/>
  </si>
  <si>
    <t>幸福西街——站前街</t>
    <phoneticPr fontId="5" type="noConversion"/>
  </si>
  <si>
    <t>大兴区</t>
    <phoneticPr fontId="5" type="noConversion"/>
  </si>
  <si>
    <t>兴华大街</t>
    <phoneticPr fontId="5" type="noConversion"/>
  </si>
  <si>
    <t>金星西路——黄村火车站</t>
    <phoneticPr fontId="5" type="noConversion"/>
  </si>
  <si>
    <t>昌平区</t>
    <phoneticPr fontId="5" type="noConversion"/>
  </si>
  <si>
    <t>回龙观西大街</t>
    <phoneticPr fontId="5" type="noConversion"/>
  </si>
  <si>
    <t>京藏高速公路——文华西路</t>
    <phoneticPr fontId="5" type="noConversion"/>
  </si>
  <si>
    <t>鼓楼东、西街</t>
    <phoneticPr fontId="5" type="noConversion"/>
  </si>
  <si>
    <t>东环路——西环路</t>
    <phoneticPr fontId="5" type="noConversion"/>
  </si>
  <si>
    <t>鼓楼南、北街</t>
    <phoneticPr fontId="5" type="noConversion"/>
  </si>
  <si>
    <t>北环路——府学路</t>
    <phoneticPr fontId="5" type="noConversion"/>
  </si>
  <si>
    <t>平谷区</t>
    <phoneticPr fontId="5" type="noConversion"/>
  </si>
  <si>
    <t>步行街</t>
    <phoneticPr fontId="5" type="noConversion"/>
  </si>
  <si>
    <t>文化北街——向阳北街</t>
    <phoneticPr fontId="5" type="noConversion"/>
  </si>
  <si>
    <t>怀柔区</t>
    <phoneticPr fontId="5" type="noConversion"/>
  </si>
  <si>
    <t>商业街</t>
    <phoneticPr fontId="5" type="noConversion"/>
  </si>
  <si>
    <t>迎宾路——青春路</t>
    <phoneticPr fontId="5" type="noConversion"/>
  </si>
  <si>
    <t>密云县</t>
    <phoneticPr fontId="5" type="noConversion"/>
  </si>
  <si>
    <t>鼓楼东、西大街</t>
    <phoneticPr fontId="5" type="noConversion"/>
  </si>
  <si>
    <t>新中街——南更道</t>
    <phoneticPr fontId="5" type="noConversion"/>
  </si>
  <si>
    <t>鼓楼大街</t>
    <phoneticPr fontId="5" type="noConversion"/>
  </si>
  <si>
    <t>西大桥路——康复路</t>
    <phoneticPr fontId="5" type="noConversion"/>
  </si>
  <si>
    <t>延庆县</t>
    <phoneticPr fontId="5" type="noConversion"/>
  </si>
  <si>
    <t>东外大街</t>
    <phoneticPr fontId="5" type="noConversion"/>
  </si>
  <si>
    <t>香苑街——东顺城街</t>
    <phoneticPr fontId="5" type="noConversion"/>
  </si>
  <si>
    <t>不临58条商业街</t>
    <phoneticPr fontId="5" type="noConversion"/>
  </si>
  <si>
    <t>容积率</t>
    <phoneticPr fontId="5" type="noConversion"/>
  </si>
  <si>
    <t>北京市基准地价容积率修正系数表（商业）</t>
    <phoneticPr fontId="5" type="noConversion"/>
  </si>
  <si>
    <t>北京市基准地价容积率修正系数表（办公）</t>
    <phoneticPr fontId="5" type="noConversion"/>
  </si>
  <si>
    <t>北京市基准地价容积率修正系数表（居住）</t>
    <phoneticPr fontId="5" type="noConversion"/>
  </si>
  <si>
    <t>北京市基准地价容积率修正系数表（工业）</t>
    <phoneticPr fontId="5" type="noConversion"/>
  </si>
  <si>
    <t>结果不可超过《北京市区片基准地价因素总修正幅度表》所列修正幅度；依据估价对象用途调整链接</t>
    <phoneticPr fontId="5" type="noConversion"/>
  </si>
  <si>
    <t>影响因素</t>
    <phoneticPr fontId="5" type="noConversion"/>
  </si>
  <si>
    <t>情况说明</t>
    <phoneticPr fontId="5" type="noConversion"/>
  </si>
  <si>
    <t>等级</t>
    <phoneticPr fontId="5" type="noConversion"/>
  </si>
  <si>
    <t xml:space="preserve"> 商业繁华程度</t>
    <phoneticPr fontId="5" type="noConversion"/>
  </si>
  <si>
    <t>较好</t>
    <phoneticPr fontId="5" type="noConversion"/>
  </si>
  <si>
    <t>交通便捷度</t>
    <phoneticPr fontId="5" type="noConversion"/>
  </si>
  <si>
    <t>区域土地利用方向</t>
    <phoneticPr fontId="5" type="noConversion"/>
  </si>
  <si>
    <t>临街宽度和深度</t>
    <phoneticPr fontId="5" type="noConversion"/>
  </si>
  <si>
    <t>临街道路状况</t>
    <phoneticPr fontId="5" type="noConversion"/>
  </si>
  <si>
    <t>宗地形状及可利用程度</t>
    <phoneticPr fontId="5" type="noConversion"/>
  </si>
  <si>
    <t>公共服务设施状况</t>
    <phoneticPr fontId="5" type="noConversion"/>
  </si>
  <si>
    <t>基础设施完备状况</t>
    <phoneticPr fontId="5" type="noConversion"/>
  </si>
  <si>
    <t>自然和人文环境状况</t>
    <phoneticPr fontId="5" type="noConversion"/>
  </si>
  <si>
    <t>办公集聚程度</t>
    <phoneticPr fontId="5" type="noConversion"/>
  </si>
  <si>
    <t>居住社区成熟度</t>
    <phoneticPr fontId="5" type="noConversion"/>
  </si>
  <si>
    <t>临路状况</t>
    <phoneticPr fontId="5" type="noConversion"/>
  </si>
  <si>
    <t>与区域中心的接近程度</t>
    <phoneticPr fontId="5" type="noConversion"/>
  </si>
  <si>
    <t>产业集聚程度</t>
    <phoneticPr fontId="5" type="noConversion"/>
  </si>
  <si>
    <t>环境状况</t>
    <phoneticPr fontId="5" type="noConversion"/>
  </si>
  <si>
    <t>住宅</t>
    <phoneticPr fontId="5" type="noConversion"/>
  </si>
  <si>
    <t>住宅</t>
    <phoneticPr fontId="5" type="noConversion"/>
  </si>
  <si>
    <r>
      <rPr>
        <sz val="10"/>
        <color indexed="8"/>
        <rFont val="宋体"/>
        <family val="3"/>
        <charset val="134"/>
      </rPr>
      <t>修正系数</t>
    </r>
    <phoneticPr fontId="75" type="noConversion"/>
  </si>
  <si>
    <r>
      <rPr>
        <sz val="10"/>
        <color indexed="8"/>
        <rFont val="楷体_GB2312"/>
        <family val="3"/>
        <charset val="134"/>
      </rPr>
      <t>修正幅度</t>
    </r>
    <phoneticPr fontId="5" type="noConversion"/>
  </si>
  <si>
    <r>
      <rPr>
        <sz val="10"/>
        <color indexed="8"/>
        <rFont val="楷体_GB2312"/>
        <family val="3"/>
        <charset val="134"/>
      </rPr>
      <t>权重</t>
    </r>
    <phoneticPr fontId="5" type="noConversion"/>
  </si>
  <si>
    <r>
      <rPr>
        <sz val="10"/>
        <rFont val="楷体_GB2312"/>
        <family val="3"/>
        <charset val="134"/>
      </rPr>
      <t>合计</t>
    </r>
    <phoneticPr fontId="5" type="noConversion"/>
  </si>
  <si>
    <r>
      <rPr>
        <sz val="10"/>
        <color indexed="8"/>
        <rFont val="楷体_GB2312"/>
        <family val="3"/>
        <charset val="134"/>
      </rPr>
      <t>修正幅度</t>
    </r>
    <phoneticPr fontId="5" type="noConversion"/>
  </si>
  <si>
    <r>
      <rPr>
        <sz val="10"/>
        <color indexed="8"/>
        <rFont val="楷体_GB2312"/>
        <family val="3"/>
        <charset val="134"/>
      </rPr>
      <t>权重</t>
    </r>
    <phoneticPr fontId="5" type="noConversion"/>
  </si>
  <si>
    <r>
      <rPr>
        <sz val="10"/>
        <rFont val="楷体_GB2312"/>
        <family val="3"/>
        <charset val="134"/>
      </rPr>
      <t>合计</t>
    </r>
    <phoneticPr fontId="5" type="noConversion"/>
  </si>
  <si>
    <t>宽度XX米，深度XX米,临街宽度及深度比例较适宜，对土地利用无不利影响</t>
    <phoneticPr fontId="75" type="noConversion"/>
  </si>
  <si>
    <t>宗地形状不规则，但对宗地利用影响较小</t>
    <phoneticPr fontId="75" type="noConversion"/>
  </si>
  <si>
    <t>临近区域中心，距离小于500米</t>
    <phoneticPr fontId="75" type="noConversion"/>
  </si>
  <si>
    <t>*</t>
    <phoneticPr fontId="15" type="noConversion"/>
  </si>
  <si>
    <t>二级分类</t>
    <phoneticPr fontId="5" type="noConversion"/>
  </si>
  <si>
    <t>抵押物名称</t>
    <phoneticPr fontId="9" type="noConversion"/>
  </si>
  <si>
    <t>（1）已抵押担保的债权数额</t>
    <phoneticPr fontId="9" type="noConversion"/>
  </si>
  <si>
    <t>（2）拖欠的建设工程价款</t>
    <phoneticPr fontId="9" type="noConversion"/>
  </si>
  <si>
    <t>（3）其他法定优先受偿款</t>
    <phoneticPr fontId="9" type="noConversion"/>
  </si>
  <si>
    <t>今日</t>
    <phoneticPr fontId="5" type="noConversion"/>
  </si>
  <si>
    <t>资质过期显示为红色</t>
    <phoneticPr fontId="5" type="noConversion"/>
  </si>
  <si>
    <t>注册房地产估价师</t>
    <phoneticPr fontId="5" type="noConversion"/>
  </si>
  <si>
    <t>注册证号</t>
    <phoneticPr fontId="5" type="noConversion"/>
  </si>
  <si>
    <t>资质有效期</t>
    <phoneticPr fontId="5" type="noConversion"/>
  </si>
  <si>
    <t>土地估价师</t>
    <phoneticPr fontId="5" type="noConversion"/>
  </si>
  <si>
    <t>证号</t>
    <phoneticPr fontId="5" type="noConversion"/>
  </si>
  <si>
    <t>梁津</t>
    <phoneticPr fontId="5" type="noConversion"/>
  </si>
  <si>
    <t>叶凌</t>
    <phoneticPr fontId="5" type="noConversion"/>
  </si>
  <si>
    <t>王鹏</t>
    <phoneticPr fontId="5" type="noConversion"/>
  </si>
  <si>
    <t>欧红伟</t>
    <phoneticPr fontId="5" type="noConversion"/>
  </si>
  <si>
    <t>吴薇</t>
    <phoneticPr fontId="5" type="noConversion"/>
  </si>
  <si>
    <t>陈颖</t>
    <phoneticPr fontId="5" type="noConversion"/>
  </si>
  <si>
    <t>崔锴</t>
    <phoneticPr fontId="5" type="noConversion"/>
  </si>
  <si>
    <t>郑燚</t>
    <phoneticPr fontId="5" type="noConversion"/>
  </si>
  <si>
    <t>刘敬东</t>
    <phoneticPr fontId="5" type="noConversion"/>
  </si>
  <si>
    <t>估价机构</t>
    <phoneticPr fontId="5" type="noConversion"/>
  </si>
  <si>
    <t>房地产</t>
    <phoneticPr fontId="5" type="noConversion"/>
  </si>
  <si>
    <t>土地</t>
    <phoneticPr fontId="5" type="noConversion"/>
  </si>
  <si>
    <t>证书名称</t>
    <phoneticPr fontId="5" type="noConversion"/>
  </si>
  <si>
    <t>号码</t>
    <phoneticPr fontId="5" type="noConversion"/>
  </si>
  <si>
    <t>资质有效期</t>
    <phoneticPr fontId="5" type="noConversion"/>
  </si>
  <si>
    <t>注册证书</t>
    <phoneticPr fontId="5" type="noConversion"/>
  </si>
  <si>
    <t>A201111009</t>
    <phoneticPr fontId="5" type="noConversion"/>
  </si>
  <si>
    <t>资信等级：A级</t>
    <phoneticPr fontId="5" type="noConversion"/>
  </si>
  <si>
    <t>北京康正宏基房地产评估有限公司</t>
    <phoneticPr fontId="5" type="noConversion"/>
  </si>
  <si>
    <t>房地产估价师及注册号</t>
    <phoneticPr fontId="82" type="noConversion"/>
  </si>
  <si>
    <t>土地估价师及注册号</t>
    <phoneticPr fontId="82" type="noConversion"/>
  </si>
  <si>
    <t>估价结果：</t>
    <phoneticPr fontId="85" type="noConversion"/>
  </si>
  <si>
    <t>建筑面积（平方米）</t>
    <phoneticPr fontId="9" type="noConversion"/>
  </si>
  <si>
    <t>1.房地产价值</t>
    <phoneticPr fontId="85" type="noConversion"/>
  </si>
  <si>
    <t>XX</t>
  </si>
  <si>
    <t>——</t>
    <phoneticPr fontId="87" type="noConversion"/>
  </si>
  <si>
    <t>北京市区片基准地价因素总修正幅度表</t>
    <phoneticPr fontId="5" type="noConversion"/>
  </si>
  <si>
    <t>商业</t>
    <phoneticPr fontId="5" type="noConversion"/>
  </si>
  <si>
    <t>办公</t>
    <phoneticPr fontId="5" type="noConversion"/>
  </si>
  <si>
    <t>住宅</t>
    <phoneticPr fontId="5" type="noConversion"/>
  </si>
  <si>
    <t>工业</t>
    <phoneticPr fontId="5" type="noConversion"/>
  </si>
  <si>
    <t>级别</t>
    <phoneticPr fontId="5" type="noConversion"/>
  </si>
  <si>
    <t>区片编号</t>
    <phoneticPr fontId="5" type="noConversion"/>
  </si>
  <si>
    <t>一级</t>
    <phoneticPr fontId="5" type="noConversion"/>
  </si>
  <si>
    <t>Ⅰ—01</t>
    <phoneticPr fontId="5" type="noConversion"/>
  </si>
  <si>
    <t>Ⅰ—02</t>
    <phoneticPr fontId="5" type="noConversion"/>
  </si>
  <si>
    <t>Ⅱ—01</t>
    <phoneticPr fontId="5" type="noConversion"/>
  </si>
  <si>
    <t>Ⅱ—13</t>
    <phoneticPr fontId="5" type="noConversion"/>
  </si>
  <si>
    <t>Ⅲ—01</t>
    <phoneticPr fontId="5" type="noConversion"/>
  </si>
  <si>
    <t>Ⅳ-01</t>
    <phoneticPr fontId="5" type="noConversion"/>
  </si>
  <si>
    <t>Ⅳ-电子城东</t>
    <phoneticPr fontId="5" type="noConversion"/>
  </si>
  <si>
    <t>Ⅳ-电子城西</t>
    <phoneticPr fontId="5" type="noConversion"/>
  </si>
  <si>
    <t>Ⅳ-上地核心</t>
    <phoneticPr fontId="5" type="noConversion"/>
  </si>
  <si>
    <t>Ⅳ-丰台园东</t>
    <phoneticPr fontId="5" type="noConversion"/>
  </si>
  <si>
    <t>Ⅴ-01</t>
    <phoneticPr fontId="5" type="noConversion"/>
  </si>
  <si>
    <t>Ⅴ-电子城北</t>
    <phoneticPr fontId="5" type="noConversion"/>
  </si>
  <si>
    <t>Ⅴ-永丰产业基地</t>
    <phoneticPr fontId="5" type="noConversion"/>
  </si>
  <si>
    <t>Ⅴ-航天城</t>
    <phoneticPr fontId="5" type="noConversion"/>
  </si>
  <si>
    <r>
      <t>Ⅴ-西北旺</t>
    </r>
    <r>
      <rPr>
        <sz val="10"/>
        <color indexed="8"/>
        <rFont val="宋体"/>
        <family val="3"/>
        <charset val="134"/>
      </rPr>
      <t>Ⅰ</t>
    </r>
    <phoneticPr fontId="5" type="noConversion"/>
  </si>
  <si>
    <r>
      <t>Ⅴ-西北旺</t>
    </r>
    <r>
      <rPr>
        <sz val="10"/>
        <color indexed="8"/>
        <rFont val="宋体"/>
        <family val="3"/>
        <charset val="134"/>
      </rPr>
      <t>Ⅱ</t>
    </r>
    <phoneticPr fontId="5" type="noConversion"/>
  </si>
  <si>
    <t>Ⅴ-石景山园南区</t>
    <phoneticPr fontId="5" type="noConversion"/>
  </si>
  <si>
    <r>
      <t>Ⅴ-石景山园北</t>
    </r>
    <r>
      <rPr>
        <sz val="10"/>
        <color indexed="8"/>
        <rFont val="宋体"/>
        <family val="3"/>
        <charset val="134"/>
      </rPr>
      <t>Ⅰ</t>
    </r>
    <phoneticPr fontId="5" type="noConversion"/>
  </si>
  <si>
    <r>
      <t>Ⅴ-石景山园北</t>
    </r>
    <r>
      <rPr>
        <sz val="10"/>
        <color indexed="8"/>
        <rFont val="宋体"/>
        <family val="3"/>
        <charset val="134"/>
      </rPr>
      <t>Ⅱ</t>
    </r>
    <phoneticPr fontId="5" type="noConversion"/>
  </si>
  <si>
    <t>Ⅵ-01</t>
    <phoneticPr fontId="5" type="noConversion"/>
  </si>
  <si>
    <t>Ⅵ-通1</t>
    <phoneticPr fontId="5" type="noConversion"/>
  </si>
  <si>
    <t>Ⅵ-顺1</t>
    <phoneticPr fontId="5" type="noConversion"/>
  </si>
  <si>
    <t>Ⅵ-兴1</t>
    <phoneticPr fontId="5" type="noConversion"/>
  </si>
  <si>
    <t>Ⅵ-昌1</t>
    <phoneticPr fontId="5" type="noConversion"/>
  </si>
  <si>
    <t>Ⅵ-亦1</t>
    <phoneticPr fontId="5" type="noConversion"/>
  </si>
  <si>
    <t>Ⅵ-创新园</t>
    <phoneticPr fontId="5" type="noConversion"/>
  </si>
  <si>
    <t>Ⅵ-海淀环保园</t>
    <phoneticPr fontId="5" type="noConversion"/>
  </si>
  <si>
    <r>
      <t>Ⅵ-温泉科技</t>
    </r>
    <r>
      <rPr>
        <sz val="10"/>
        <color indexed="8"/>
        <rFont val="宋体"/>
        <family val="3"/>
        <charset val="134"/>
      </rPr>
      <t>Ⅰ</t>
    </r>
    <phoneticPr fontId="5" type="noConversion"/>
  </si>
  <si>
    <r>
      <t>Ⅵ-温泉科技</t>
    </r>
    <r>
      <rPr>
        <sz val="10"/>
        <color indexed="8"/>
        <rFont val="宋体"/>
        <family val="3"/>
        <charset val="134"/>
      </rPr>
      <t>Ⅱ</t>
    </r>
    <phoneticPr fontId="5" type="noConversion"/>
  </si>
  <si>
    <r>
      <t>Ⅵ-温泉科技</t>
    </r>
    <r>
      <rPr>
        <sz val="10"/>
        <color indexed="8"/>
        <rFont val="宋体"/>
        <family val="3"/>
        <charset val="134"/>
      </rPr>
      <t>Ⅲ</t>
    </r>
    <phoneticPr fontId="5" type="noConversion"/>
  </si>
  <si>
    <t>Ⅵ-天竺保税区南</t>
    <phoneticPr fontId="5" type="noConversion"/>
  </si>
  <si>
    <t>Ⅵ-天竺保税区北1</t>
    <phoneticPr fontId="5" type="noConversion"/>
  </si>
  <si>
    <t>Ⅵ-空港A</t>
    <phoneticPr fontId="5" type="noConversion"/>
  </si>
  <si>
    <t>Ⅵ-空港B</t>
    <phoneticPr fontId="5" type="noConversion"/>
  </si>
  <si>
    <t>Ⅵ-生命科学园</t>
    <phoneticPr fontId="5" type="noConversion"/>
  </si>
  <si>
    <t>Ⅵ-昌三一光电</t>
    <phoneticPr fontId="5" type="noConversion"/>
  </si>
  <si>
    <t>Ⅵ-BDA核心</t>
    <phoneticPr fontId="5" type="noConversion"/>
  </si>
  <si>
    <t>Ⅶ-01</t>
    <phoneticPr fontId="5" type="noConversion"/>
  </si>
  <si>
    <t>Ⅶ-门1</t>
    <phoneticPr fontId="5" type="noConversion"/>
  </si>
  <si>
    <t>Ⅶ-房1</t>
    <phoneticPr fontId="5" type="noConversion"/>
  </si>
  <si>
    <t>Ⅶ-通1</t>
    <phoneticPr fontId="5" type="noConversion"/>
  </si>
  <si>
    <t>Ⅶ-顺1</t>
    <phoneticPr fontId="5" type="noConversion"/>
  </si>
  <si>
    <t>Ⅶ-兴1</t>
    <phoneticPr fontId="5" type="noConversion"/>
  </si>
  <si>
    <t>Ⅶ-昌1</t>
    <phoneticPr fontId="5" type="noConversion"/>
  </si>
  <si>
    <t>Ⅶ-亦1</t>
    <phoneticPr fontId="5" type="noConversion"/>
  </si>
  <si>
    <t>Ⅶ-国际教育园</t>
    <phoneticPr fontId="5" type="noConversion"/>
  </si>
  <si>
    <t>Ⅶ-农林园</t>
    <phoneticPr fontId="5" type="noConversion"/>
  </si>
  <si>
    <t>Ⅶ-上庄科技</t>
    <phoneticPr fontId="5" type="noConversion"/>
  </si>
  <si>
    <t>Ⅶ-文化教育基地</t>
    <phoneticPr fontId="5" type="noConversion"/>
  </si>
  <si>
    <r>
      <t>Ⅶ-苏家坨科技</t>
    </r>
    <r>
      <rPr>
        <sz val="10"/>
        <color indexed="8"/>
        <rFont val="宋体"/>
        <family val="3"/>
        <charset val="134"/>
      </rPr>
      <t>Ⅰ</t>
    </r>
    <phoneticPr fontId="5" type="noConversion"/>
  </si>
  <si>
    <r>
      <t>Ⅶ-苏家坨科技</t>
    </r>
    <r>
      <rPr>
        <sz val="10"/>
        <color indexed="8"/>
        <rFont val="宋体"/>
        <family val="3"/>
        <charset val="134"/>
      </rPr>
      <t>Ⅱ</t>
    </r>
    <phoneticPr fontId="5" type="noConversion"/>
  </si>
  <si>
    <r>
      <t>Ⅶ-丰台园西</t>
    </r>
    <r>
      <rPr>
        <sz val="10"/>
        <color indexed="8"/>
        <rFont val="宋体"/>
        <family val="3"/>
        <charset val="134"/>
      </rPr>
      <t>Ⅰ</t>
    </r>
    <phoneticPr fontId="5" type="noConversion"/>
  </si>
  <si>
    <r>
      <t>Ⅶ-丰台园西</t>
    </r>
    <r>
      <rPr>
        <sz val="10"/>
        <color indexed="8"/>
        <rFont val="宋体"/>
        <family val="3"/>
        <charset val="134"/>
      </rPr>
      <t>Ⅱ</t>
    </r>
    <phoneticPr fontId="5" type="noConversion"/>
  </si>
  <si>
    <t>Ⅶ-石龙开发区</t>
    <phoneticPr fontId="5" type="noConversion"/>
  </si>
  <si>
    <t>Ⅶ-光机电</t>
    <phoneticPr fontId="5" type="noConversion"/>
  </si>
  <si>
    <t>Ⅶ-通州开发区西</t>
    <phoneticPr fontId="5" type="noConversion"/>
  </si>
  <si>
    <t>Ⅶ-林河开发区</t>
    <phoneticPr fontId="5" type="noConversion"/>
  </si>
  <si>
    <t>Ⅶ-大兴开发区</t>
    <phoneticPr fontId="5" type="noConversion"/>
  </si>
  <si>
    <r>
      <t>Ⅶ-昌平园南</t>
    </r>
    <r>
      <rPr>
        <sz val="10"/>
        <color indexed="8"/>
        <rFont val="宋体"/>
        <family val="3"/>
        <charset val="134"/>
      </rPr>
      <t>Ⅰ</t>
    </r>
    <phoneticPr fontId="5" type="noConversion"/>
  </si>
  <si>
    <r>
      <t>Ⅶ-昌平园南</t>
    </r>
    <r>
      <rPr>
        <sz val="10"/>
        <color indexed="8"/>
        <rFont val="宋体"/>
        <family val="3"/>
        <charset val="134"/>
      </rPr>
      <t>Ⅱ</t>
    </r>
    <phoneticPr fontId="5" type="noConversion"/>
  </si>
  <si>
    <r>
      <t>Ⅶ-昌平园北</t>
    </r>
    <r>
      <rPr>
        <sz val="10"/>
        <color indexed="8"/>
        <rFont val="宋体"/>
        <family val="3"/>
        <charset val="134"/>
      </rPr>
      <t>Ⅰ</t>
    </r>
    <phoneticPr fontId="5" type="noConversion"/>
  </si>
  <si>
    <r>
      <t>Ⅶ-昌平园北</t>
    </r>
    <r>
      <rPr>
        <sz val="10"/>
        <color indexed="8"/>
        <rFont val="宋体"/>
        <family val="3"/>
        <charset val="134"/>
      </rPr>
      <t>Ⅱ</t>
    </r>
    <phoneticPr fontId="5" type="noConversion"/>
  </si>
  <si>
    <r>
      <t>Ⅶ-昌平园北</t>
    </r>
    <r>
      <rPr>
        <sz val="10"/>
        <color indexed="8"/>
        <rFont val="宋体"/>
        <family val="3"/>
        <charset val="134"/>
      </rPr>
      <t>Ⅲ</t>
    </r>
    <phoneticPr fontId="5" type="noConversion"/>
  </si>
  <si>
    <t>Ⅶ-BDA东</t>
    <phoneticPr fontId="5" type="noConversion"/>
  </si>
  <si>
    <t>Ⅶ-BDA西</t>
    <phoneticPr fontId="5" type="noConversion"/>
  </si>
  <si>
    <t>Ⅷ-01</t>
    <phoneticPr fontId="5" type="noConversion"/>
  </si>
  <si>
    <t>Ⅷ-门1</t>
    <phoneticPr fontId="5" type="noConversion"/>
  </si>
  <si>
    <t>Ⅷ-门军</t>
    <phoneticPr fontId="5" type="noConversion"/>
  </si>
  <si>
    <t>Ⅷ-房1</t>
    <phoneticPr fontId="5" type="noConversion"/>
  </si>
  <si>
    <t>Ⅷ-通1</t>
    <phoneticPr fontId="5" type="noConversion"/>
  </si>
  <si>
    <t>Ⅷ-顺1</t>
    <phoneticPr fontId="5" type="noConversion"/>
  </si>
  <si>
    <t>Ⅷ-顺3</t>
    <phoneticPr fontId="5" type="noConversion"/>
  </si>
  <si>
    <t>Ⅷ-兴1</t>
    <phoneticPr fontId="5" type="noConversion"/>
  </si>
  <si>
    <t>Ⅷ-昌1</t>
    <phoneticPr fontId="5" type="noConversion"/>
  </si>
  <si>
    <t>Ⅷ-平1</t>
    <phoneticPr fontId="5" type="noConversion"/>
  </si>
  <si>
    <t>Ⅷ-怀1</t>
    <phoneticPr fontId="5" type="noConversion"/>
  </si>
  <si>
    <t>Ⅷ-密1</t>
    <phoneticPr fontId="5" type="noConversion"/>
  </si>
  <si>
    <t>Ⅷ-廷1</t>
    <phoneticPr fontId="5" type="noConversion"/>
  </si>
  <si>
    <t>Ⅷ-亦1</t>
    <phoneticPr fontId="5" type="noConversion"/>
  </si>
  <si>
    <t>Ⅷ-良乡开发区A</t>
    <phoneticPr fontId="5" type="noConversion"/>
  </si>
  <si>
    <t>Ⅷ-良乡开发区B</t>
    <phoneticPr fontId="5" type="noConversion"/>
  </si>
  <si>
    <t>Ⅷ-良乡开发区C</t>
    <phoneticPr fontId="5" type="noConversion"/>
  </si>
  <si>
    <t>Ⅷ-通州环保园</t>
    <phoneticPr fontId="5" type="noConversion"/>
  </si>
  <si>
    <t>Ⅷ-空港北区A</t>
    <phoneticPr fontId="5" type="noConversion"/>
  </si>
  <si>
    <t>Ⅷ-空港北区B</t>
    <phoneticPr fontId="5" type="noConversion"/>
  </si>
  <si>
    <t>Ⅷ-生物医药基地</t>
    <phoneticPr fontId="5" type="noConversion"/>
  </si>
  <si>
    <t>Ⅷ-小汤山工业园</t>
    <phoneticPr fontId="5" type="noConversion"/>
  </si>
  <si>
    <t>Ⅸ-01</t>
    <phoneticPr fontId="5" type="noConversion"/>
  </si>
  <si>
    <t>Ⅸ-门1</t>
    <phoneticPr fontId="5" type="noConversion"/>
  </si>
  <si>
    <t>Ⅸ-门2</t>
    <phoneticPr fontId="5" type="noConversion"/>
  </si>
  <si>
    <t>Ⅸ-门潭</t>
    <phoneticPr fontId="5" type="noConversion"/>
  </si>
  <si>
    <t>Ⅸ-房1</t>
    <phoneticPr fontId="5" type="noConversion"/>
  </si>
  <si>
    <t>Ⅸ-通1</t>
    <phoneticPr fontId="5" type="noConversion"/>
  </si>
  <si>
    <t>Ⅸ-顺1</t>
    <phoneticPr fontId="5" type="noConversion"/>
  </si>
  <si>
    <t>Ⅸ-兴1</t>
    <phoneticPr fontId="5" type="noConversion"/>
  </si>
  <si>
    <t>Ⅸ-昌1</t>
    <phoneticPr fontId="5" type="noConversion"/>
  </si>
  <si>
    <t>Ⅸ-昌南</t>
    <phoneticPr fontId="5" type="noConversion"/>
  </si>
  <si>
    <t>Ⅸ-平1</t>
    <phoneticPr fontId="5" type="noConversion"/>
  </si>
  <si>
    <t>Ⅸ-怀1</t>
    <phoneticPr fontId="5" type="noConversion"/>
  </si>
  <si>
    <t>Ⅸ-密1</t>
    <phoneticPr fontId="5" type="noConversion"/>
  </si>
  <si>
    <t>Ⅸ-延1</t>
    <phoneticPr fontId="5" type="noConversion"/>
  </si>
  <si>
    <t>Ⅸ-亦1</t>
    <phoneticPr fontId="5" type="noConversion"/>
  </si>
  <si>
    <t>Ⅸ-房山工业园东</t>
    <phoneticPr fontId="5" type="noConversion"/>
  </si>
  <si>
    <t>Ⅸ-房山工业园西</t>
    <phoneticPr fontId="5" type="noConversion"/>
  </si>
  <si>
    <t>Ⅸ-通州开发区东</t>
    <phoneticPr fontId="5" type="noConversion"/>
  </si>
  <si>
    <t>Ⅸ-永乐开发区</t>
    <phoneticPr fontId="5" type="noConversion"/>
  </si>
  <si>
    <t>Ⅸ-采育开发区</t>
    <phoneticPr fontId="5" type="noConversion"/>
  </si>
  <si>
    <t>Ⅸ-兴谷开发区A</t>
    <phoneticPr fontId="5" type="noConversion"/>
  </si>
  <si>
    <t>Ⅸ-兴谷开发区B</t>
    <phoneticPr fontId="5" type="noConversion"/>
  </si>
  <si>
    <t>Ⅸ-雁栖开发区A</t>
    <phoneticPr fontId="5" type="noConversion"/>
  </si>
  <si>
    <t>Ⅸ-雁栖开发区B</t>
    <phoneticPr fontId="5" type="noConversion"/>
  </si>
  <si>
    <t>Ⅸ-雁栖开发区C</t>
    <phoneticPr fontId="5" type="noConversion"/>
  </si>
  <si>
    <t>Ⅸ-密云开发区</t>
    <phoneticPr fontId="5" type="noConversion"/>
  </si>
  <si>
    <t>Ⅹ-01</t>
    <phoneticPr fontId="5" type="noConversion"/>
  </si>
  <si>
    <t>Ⅹ-门1</t>
    <phoneticPr fontId="5" type="noConversion"/>
  </si>
  <si>
    <t>Ⅹ-门斋</t>
    <phoneticPr fontId="5" type="noConversion"/>
  </si>
  <si>
    <t>Ⅹ-房1</t>
    <phoneticPr fontId="5" type="noConversion"/>
  </si>
  <si>
    <t>Ⅹ-通1</t>
    <phoneticPr fontId="5" type="noConversion"/>
  </si>
  <si>
    <t>Ⅹ-顺1</t>
    <phoneticPr fontId="5" type="noConversion"/>
  </si>
  <si>
    <t>Ⅹ-兴1</t>
    <phoneticPr fontId="5" type="noConversion"/>
  </si>
  <si>
    <t>Ⅹ-昌1</t>
    <phoneticPr fontId="5" type="noConversion"/>
  </si>
  <si>
    <t>Ⅹ-平1</t>
    <phoneticPr fontId="5" type="noConversion"/>
  </si>
  <si>
    <t>Ⅹ-怀1</t>
    <phoneticPr fontId="5" type="noConversion"/>
  </si>
  <si>
    <t>Ⅹ-密1</t>
    <phoneticPr fontId="5" type="noConversion"/>
  </si>
  <si>
    <t>Ⅹ-延1</t>
    <phoneticPr fontId="5" type="noConversion"/>
  </si>
  <si>
    <t>Ⅹ-亦1</t>
    <phoneticPr fontId="5" type="noConversion"/>
  </si>
  <si>
    <t>Ⅹ-马坊工业园</t>
    <phoneticPr fontId="5" type="noConversion"/>
  </si>
  <si>
    <t>Ⅹ-延庆开发区</t>
    <phoneticPr fontId="5" type="noConversion"/>
  </si>
  <si>
    <t>Ⅹ-八达岭开发区</t>
    <phoneticPr fontId="5" type="noConversion"/>
  </si>
  <si>
    <t>十一级</t>
    <phoneticPr fontId="5" type="noConversion"/>
  </si>
  <si>
    <t>Ⅺ-门1</t>
    <phoneticPr fontId="5" type="noConversion"/>
  </si>
  <si>
    <t>Ⅺ-门斋</t>
    <phoneticPr fontId="5" type="noConversion"/>
  </si>
  <si>
    <t>Ⅺ-房1</t>
    <phoneticPr fontId="5" type="noConversion"/>
  </si>
  <si>
    <t>Ⅺ-通1</t>
    <phoneticPr fontId="5" type="noConversion"/>
  </si>
  <si>
    <t>Ⅺ-顺1</t>
    <phoneticPr fontId="5" type="noConversion"/>
  </si>
  <si>
    <t>Ⅺ-兴1</t>
    <phoneticPr fontId="5" type="noConversion"/>
  </si>
  <si>
    <t>Ⅺ-兴2</t>
    <phoneticPr fontId="5" type="noConversion"/>
  </si>
  <si>
    <t>Ⅺ-昌1</t>
    <phoneticPr fontId="5" type="noConversion"/>
  </si>
  <si>
    <t>Ⅺ-平1</t>
    <phoneticPr fontId="5" type="noConversion"/>
  </si>
  <si>
    <t>Ⅺ-怀1</t>
    <phoneticPr fontId="5" type="noConversion"/>
  </si>
  <si>
    <t>Ⅺ-密1</t>
    <phoneticPr fontId="5" type="noConversion"/>
  </si>
  <si>
    <t>Ⅺ-延1</t>
    <phoneticPr fontId="5" type="noConversion"/>
  </si>
  <si>
    <t>十二级</t>
    <phoneticPr fontId="5" type="noConversion"/>
  </si>
  <si>
    <t>Ⅻ-门1</t>
    <phoneticPr fontId="5" type="noConversion"/>
  </si>
  <si>
    <t>Ⅻ-房1</t>
    <phoneticPr fontId="5" type="noConversion"/>
  </si>
  <si>
    <t>Ⅻ-昌1</t>
    <phoneticPr fontId="5" type="noConversion"/>
  </si>
  <si>
    <t>Ⅻ-平1</t>
    <phoneticPr fontId="5" type="noConversion"/>
  </si>
  <si>
    <t>Ⅻ-怀1</t>
    <phoneticPr fontId="5" type="noConversion"/>
  </si>
  <si>
    <t>Ⅻ-密1</t>
    <phoneticPr fontId="5" type="noConversion"/>
  </si>
  <si>
    <t>Ⅻ-延1</t>
    <phoneticPr fontId="5" type="noConversion"/>
  </si>
  <si>
    <t>幅度控制(±)</t>
    <phoneticPr fontId="5" type="noConversion"/>
  </si>
  <si>
    <t>幅度控制(±)</t>
    <phoneticPr fontId="5" type="noConversion"/>
  </si>
  <si>
    <t>估价项目名称：</t>
    <phoneticPr fontId="82" type="noConversion"/>
  </si>
  <si>
    <t xml:space="preserve">— </t>
    <phoneticPr fontId="82" type="noConversion"/>
  </si>
  <si>
    <t>估价委托人：</t>
    <phoneticPr fontId="5" type="noConversion"/>
  </si>
  <si>
    <t>房地产估价机构：</t>
    <phoneticPr fontId="5" type="noConversion"/>
  </si>
  <si>
    <t>注册房地产估价师：</t>
    <phoneticPr fontId="5" type="noConversion"/>
  </si>
  <si>
    <t>估价报告编号：</t>
    <phoneticPr fontId="5" type="noConversion"/>
  </si>
  <si>
    <t>A.</t>
    <phoneticPr fontId="15" type="noConversion"/>
  </si>
  <si>
    <t>B.</t>
    <phoneticPr fontId="15" type="noConversion"/>
  </si>
  <si>
    <t>A</t>
    <phoneticPr fontId="138" type="noConversion"/>
  </si>
  <si>
    <t>B</t>
    <phoneticPr fontId="138" type="noConversion"/>
  </si>
  <si>
    <t>A</t>
  </si>
  <si>
    <t>B</t>
  </si>
  <si>
    <t>(A)</t>
  </si>
  <si>
    <t>(B)</t>
  </si>
  <si>
    <t>(C)</t>
  </si>
  <si>
    <t>(D)</t>
  </si>
  <si>
    <t>C</t>
  </si>
  <si>
    <t>A+B</t>
  </si>
  <si>
    <t>a</t>
  </si>
  <si>
    <t>b</t>
  </si>
  <si>
    <t>c</t>
  </si>
  <si>
    <t>(E)</t>
    <phoneticPr fontId="5" type="noConversion"/>
  </si>
  <si>
    <t>Ⅷ-延1</t>
    <phoneticPr fontId="5" type="noConversion"/>
  </si>
  <si>
    <t>Ⅷ-延1</t>
    <phoneticPr fontId="5" type="noConversion"/>
  </si>
  <si>
    <t>房型</t>
    <phoneticPr fontId="5" type="noConversion"/>
  </si>
  <si>
    <t>间数</t>
    <phoneticPr fontId="5" type="noConversion"/>
  </si>
  <si>
    <t>收费标准</t>
    <phoneticPr fontId="5" type="noConversion"/>
  </si>
  <si>
    <t>折扣率</t>
    <phoneticPr fontId="5" type="noConversion"/>
  </si>
  <si>
    <t>出租率</t>
    <phoneticPr fontId="5" type="noConversion"/>
  </si>
  <si>
    <t>天数</t>
    <phoneticPr fontId="5" type="noConversion"/>
  </si>
  <si>
    <t>年收入</t>
    <phoneticPr fontId="5" type="noConversion"/>
  </si>
  <si>
    <t>总统套房</t>
    <phoneticPr fontId="5" type="noConversion"/>
  </si>
  <si>
    <t>行政套房</t>
    <phoneticPr fontId="5" type="noConversion"/>
  </si>
  <si>
    <t>沙龙套房</t>
    <phoneticPr fontId="5" type="noConversion"/>
  </si>
  <si>
    <t>标准房</t>
    <phoneticPr fontId="5" type="noConversion"/>
  </si>
  <si>
    <t>单间公寓</t>
    <phoneticPr fontId="5" type="noConversion"/>
  </si>
  <si>
    <t>单房公寓</t>
    <phoneticPr fontId="5" type="noConversion"/>
  </si>
  <si>
    <t>双房公寓</t>
    <phoneticPr fontId="5" type="noConversion"/>
  </si>
  <si>
    <t>小计</t>
    <phoneticPr fontId="5" type="noConversion"/>
  </si>
  <si>
    <t>餐厅</t>
    <phoneticPr fontId="5" type="noConversion"/>
  </si>
  <si>
    <t>人均消费</t>
    <phoneticPr fontId="5" type="noConversion"/>
  </si>
  <si>
    <t>座位数</t>
    <phoneticPr fontId="5" type="noConversion"/>
  </si>
  <si>
    <t>上座率</t>
    <phoneticPr fontId="5" type="noConversion"/>
  </si>
  <si>
    <t>——</t>
    <phoneticPr fontId="5" type="noConversion"/>
  </si>
  <si>
    <t>中餐厅</t>
    <phoneticPr fontId="5" type="noConversion"/>
  </si>
  <si>
    <t>西餐厅</t>
    <phoneticPr fontId="5" type="noConversion"/>
  </si>
  <si>
    <t>其他</t>
    <phoneticPr fontId="5" type="noConversion"/>
  </si>
  <si>
    <t>会议室</t>
    <phoneticPr fontId="5" type="noConversion"/>
  </si>
  <si>
    <t>收费（元/间.天）</t>
    <phoneticPr fontId="5" type="noConversion"/>
  </si>
  <si>
    <t>平均使用率</t>
    <phoneticPr fontId="5" type="noConversion"/>
  </si>
  <si>
    <t>大</t>
    <phoneticPr fontId="5" type="noConversion"/>
  </si>
  <si>
    <t>中</t>
    <phoneticPr fontId="5" type="noConversion"/>
  </si>
  <si>
    <t>小</t>
    <phoneticPr fontId="5" type="noConversion"/>
  </si>
  <si>
    <t>建筑面积</t>
    <phoneticPr fontId="5" type="noConversion"/>
  </si>
  <si>
    <t>日租金</t>
    <phoneticPr fontId="5" type="noConversion"/>
  </si>
  <si>
    <t>空置率</t>
    <phoneticPr fontId="5" type="noConversion"/>
  </si>
  <si>
    <t>（一）年净收入（剥离非房地产带来的收益）</t>
    <phoneticPr fontId="5" type="noConversion"/>
  </si>
  <si>
    <t>年总收入</t>
    <phoneticPr fontId="5" type="noConversion"/>
  </si>
  <si>
    <t>（1）</t>
    <phoneticPr fontId="5" type="noConversion"/>
  </si>
  <si>
    <t>客房收入</t>
    <phoneticPr fontId="5" type="noConversion"/>
  </si>
  <si>
    <t>（2）</t>
    <phoneticPr fontId="5" type="noConversion"/>
  </si>
  <si>
    <t>其他收入</t>
    <phoneticPr fontId="5" type="noConversion"/>
  </si>
  <si>
    <t>餐厅、会议中心、出租等收入，按主收入（客房收入）比例计算</t>
    <phoneticPr fontId="5" type="noConversion"/>
  </si>
  <si>
    <t>经营成本</t>
    <phoneticPr fontId="5" type="noConversion"/>
  </si>
  <si>
    <t>包含耗用物品以及原材料等，以年总收入为基数计算</t>
    <phoneticPr fontId="5" type="noConversion"/>
  </si>
  <si>
    <t>其他营业费用</t>
    <phoneticPr fontId="5" type="noConversion"/>
  </si>
  <si>
    <t>工资、水电费、宣传费、差旅费、公司经费、审计费、咨询费、银行手续费、特殊行业税费等等，以年总收入为基数计算</t>
    <phoneticPr fontId="5" type="noConversion"/>
  </si>
  <si>
    <t>行业利润</t>
    <phoneticPr fontId="5" type="noConversion"/>
  </si>
  <si>
    <t>（二）年经营费用（房地产）</t>
    <phoneticPr fontId="5" type="noConversion"/>
  </si>
  <si>
    <t>税费</t>
    <phoneticPr fontId="5" type="noConversion"/>
  </si>
  <si>
    <t>保险费</t>
    <phoneticPr fontId="5" type="noConversion"/>
  </si>
  <si>
    <t>维修费</t>
    <phoneticPr fontId="5" type="noConversion"/>
  </si>
  <si>
    <t>管理费</t>
    <phoneticPr fontId="5" type="noConversion"/>
  </si>
  <si>
    <t>（三）净收益</t>
    <phoneticPr fontId="5" type="noConversion"/>
  </si>
  <si>
    <t>1.年总收入</t>
    <phoneticPr fontId="5" type="noConversion"/>
  </si>
  <si>
    <t>（1）客房</t>
    <phoneticPr fontId="5" type="noConversion"/>
  </si>
  <si>
    <t>（2）餐厅</t>
    <phoneticPr fontId="5" type="noConversion"/>
  </si>
  <si>
    <t>（3）会议中心</t>
    <phoneticPr fontId="5" type="noConversion"/>
  </si>
  <si>
    <t>（4）其他收入（可按客房收入比率计算）</t>
    <phoneticPr fontId="5" type="noConversion"/>
  </si>
  <si>
    <t>（5）出租部分</t>
    <phoneticPr fontId="5" type="noConversion"/>
  </si>
  <si>
    <t>1</t>
    <phoneticPr fontId="5" type="noConversion"/>
  </si>
  <si>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</si>
  <si>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</si>
  <si>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</si>
  <si>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</si>
  <si>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7" type="noConversion"/>
  </si>
  <si>
    <t>平均增幅</t>
    <phoneticPr fontId="147"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</si>
  <si>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</si>
  <si>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</si>
  <si>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</si>
  <si>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</si>
  <si>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</si>
  <si>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</si>
  <si>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</si>
  <si>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</si>
  <si>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</si>
  <si>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</si>
  <si>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2017-1</t>
    <phoneticPr fontId="5" type="noConversion"/>
  </si>
  <si>
    <t>2016-4</t>
  </si>
  <si>
    <t>2013-4</t>
    <phoneticPr fontId="147" type="noConversion"/>
  </si>
  <si>
    <t>2013-3</t>
    <phoneticPr fontId="147" type="noConversion"/>
  </si>
  <si>
    <t>2013-2</t>
    <phoneticPr fontId="147" type="noConversion"/>
  </si>
  <si>
    <t>2013-1</t>
    <phoneticPr fontId="147" type="noConversion"/>
  </si>
  <si>
    <r>
      <t>2</t>
    </r>
    <r>
      <rPr>
        <sz val="10"/>
        <color theme="1"/>
        <rFont val="Arial"/>
        <family val="2"/>
      </rPr>
      <t>012-4</t>
    </r>
    <phoneticPr fontId="147" type="noConversion"/>
  </si>
  <si>
    <r>
      <t>2</t>
    </r>
    <r>
      <rPr>
        <sz val="10"/>
        <color theme="1"/>
        <rFont val="Arial"/>
        <family val="2"/>
      </rPr>
      <t>012-3</t>
    </r>
    <phoneticPr fontId="147" type="noConversion"/>
  </si>
  <si>
    <r>
      <t>2</t>
    </r>
    <r>
      <rPr>
        <sz val="10"/>
        <color theme="1"/>
        <rFont val="Arial"/>
        <family val="2"/>
      </rPr>
      <t>012-2</t>
    </r>
    <phoneticPr fontId="147" type="noConversion"/>
  </si>
  <si>
    <r>
      <t>2</t>
    </r>
    <r>
      <rPr>
        <sz val="10"/>
        <color theme="1"/>
        <rFont val="Arial"/>
        <family val="2"/>
      </rPr>
      <t>012-1</t>
    </r>
    <phoneticPr fontId="147" type="noConversion"/>
  </si>
  <si>
    <r>
      <t>2</t>
    </r>
    <r>
      <rPr>
        <sz val="10"/>
        <color theme="1"/>
        <rFont val="Arial"/>
        <family val="2"/>
      </rPr>
      <t>011-4</t>
    </r>
    <phoneticPr fontId="147" type="noConversion"/>
  </si>
  <si>
    <r>
      <t>2</t>
    </r>
    <r>
      <rPr>
        <sz val="10"/>
        <color theme="1"/>
        <rFont val="Arial"/>
        <family val="2"/>
      </rPr>
      <t>011-3</t>
    </r>
    <phoneticPr fontId="147" type="noConversion"/>
  </si>
  <si>
    <r>
      <t>2</t>
    </r>
    <r>
      <rPr>
        <sz val="10"/>
        <color theme="1"/>
        <rFont val="Arial"/>
        <family val="2"/>
      </rPr>
      <t>011-2</t>
    </r>
    <phoneticPr fontId="147" type="noConversion"/>
  </si>
  <si>
    <r>
      <t>2</t>
    </r>
    <r>
      <rPr>
        <sz val="10"/>
        <color theme="1"/>
        <rFont val="Arial"/>
        <family val="2"/>
      </rPr>
      <t>011-1</t>
    </r>
    <phoneticPr fontId="147" type="noConversion"/>
  </si>
  <si>
    <r>
      <t>2</t>
    </r>
    <r>
      <rPr>
        <sz val="10"/>
        <color theme="1"/>
        <rFont val="Arial"/>
        <family val="2"/>
      </rPr>
      <t>010-4</t>
    </r>
    <phoneticPr fontId="147" type="noConversion"/>
  </si>
  <si>
    <r>
      <t>2</t>
    </r>
    <r>
      <rPr>
        <sz val="10"/>
        <color theme="1"/>
        <rFont val="Arial"/>
        <family val="2"/>
      </rPr>
      <t>010-3</t>
    </r>
    <phoneticPr fontId="147" type="noConversion"/>
  </si>
  <si>
    <r>
      <t>2</t>
    </r>
    <r>
      <rPr>
        <sz val="10"/>
        <color theme="1"/>
        <rFont val="Arial"/>
        <family val="2"/>
      </rPr>
      <t>010-2</t>
    </r>
    <phoneticPr fontId="147" type="noConversion"/>
  </si>
  <si>
    <r>
      <t>2</t>
    </r>
    <r>
      <rPr>
        <sz val="10"/>
        <color theme="1"/>
        <rFont val="Arial"/>
        <family val="2"/>
      </rPr>
      <t>010-1</t>
    </r>
    <phoneticPr fontId="147" type="noConversion"/>
  </si>
  <si>
    <r>
      <t>2</t>
    </r>
    <r>
      <rPr>
        <sz val="10"/>
        <color theme="1"/>
        <rFont val="Arial"/>
        <family val="2"/>
      </rPr>
      <t>009-4</t>
    </r>
    <phoneticPr fontId="147" type="noConversion"/>
  </si>
  <si>
    <r>
      <t>2</t>
    </r>
    <r>
      <rPr>
        <sz val="10"/>
        <color theme="1"/>
        <rFont val="Arial"/>
        <family val="2"/>
      </rPr>
      <t>009-3</t>
    </r>
    <phoneticPr fontId="147" type="noConversion"/>
  </si>
  <si>
    <r>
      <t>2</t>
    </r>
    <r>
      <rPr>
        <sz val="10"/>
        <color theme="1"/>
        <rFont val="Arial"/>
        <family val="2"/>
      </rPr>
      <t>009-2</t>
    </r>
    <phoneticPr fontId="147" type="noConversion"/>
  </si>
  <si>
    <r>
      <t>2</t>
    </r>
    <r>
      <rPr>
        <sz val="10"/>
        <color theme="1"/>
        <rFont val="Arial"/>
        <family val="2"/>
      </rPr>
      <t>009-1</t>
    </r>
    <phoneticPr fontId="147" type="noConversion"/>
  </si>
  <si>
    <r>
      <t>2</t>
    </r>
    <r>
      <rPr>
        <sz val="10"/>
        <color theme="1"/>
        <rFont val="Arial"/>
        <family val="2"/>
      </rPr>
      <t>008-4</t>
    </r>
    <phoneticPr fontId="147" type="noConversion"/>
  </si>
  <si>
    <r>
      <t>2</t>
    </r>
    <r>
      <rPr>
        <sz val="10"/>
        <color theme="1"/>
        <rFont val="Arial"/>
        <family val="2"/>
      </rPr>
      <t>008-3</t>
    </r>
    <phoneticPr fontId="147" type="noConversion"/>
  </si>
  <si>
    <r>
      <t>2</t>
    </r>
    <r>
      <rPr>
        <sz val="10"/>
        <color theme="1"/>
        <rFont val="Arial"/>
        <family val="2"/>
      </rPr>
      <t>008-2</t>
    </r>
    <phoneticPr fontId="147" type="noConversion"/>
  </si>
  <si>
    <r>
      <t>2</t>
    </r>
    <r>
      <rPr>
        <sz val="10"/>
        <color theme="1"/>
        <rFont val="Arial"/>
        <family val="2"/>
      </rPr>
      <t>008-1</t>
    </r>
    <phoneticPr fontId="147" type="noConversion"/>
  </si>
  <si>
    <r>
      <t>2</t>
    </r>
    <r>
      <rPr>
        <sz val="10"/>
        <color theme="1"/>
        <rFont val="Arial"/>
        <family val="2"/>
      </rPr>
      <t>007-4</t>
    </r>
    <phoneticPr fontId="147" type="noConversion"/>
  </si>
  <si>
    <r>
      <t>2</t>
    </r>
    <r>
      <rPr>
        <sz val="10"/>
        <color theme="1"/>
        <rFont val="Arial"/>
        <family val="2"/>
      </rPr>
      <t>007-3</t>
    </r>
    <phoneticPr fontId="147" type="noConversion"/>
  </si>
  <si>
    <r>
      <t>2</t>
    </r>
    <r>
      <rPr>
        <sz val="10"/>
        <color theme="1"/>
        <rFont val="Arial"/>
        <family val="2"/>
      </rPr>
      <t>007-2</t>
    </r>
    <phoneticPr fontId="147" type="noConversion"/>
  </si>
  <si>
    <r>
      <t>2</t>
    </r>
    <r>
      <rPr>
        <sz val="10"/>
        <color theme="1"/>
        <rFont val="Arial"/>
        <family val="2"/>
      </rPr>
      <t>007-1</t>
    </r>
    <phoneticPr fontId="147" type="noConversion"/>
  </si>
  <si>
    <r>
      <t>2</t>
    </r>
    <r>
      <rPr>
        <sz val="10"/>
        <color theme="1"/>
        <rFont val="Arial"/>
        <family val="2"/>
      </rPr>
      <t>006-4</t>
    </r>
    <phoneticPr fontId="147" type="noConversion"/>
  </si>
  <si>
    <t>2006-3</t>
    <phoneticPr fontId="147" type="noConversion"/>
  </si>
  <si>
    <t>2006-2</t>
    <phoneticPr fontId="147" type="noConversion"/>
  </si>
  <si>
    <t>2006-1</t>
    <phoneticPr fontId="147" type="noConversion"/>
  </si>
  <si>
    <r>
      <t>2</t>
    </r>
    <r>
      <rPr>
        <sz val="10"/>
        <color theme="1"/>
        <rFont val="Arial"/>
        <family val="2"/>
      </rPr>
      <t>005-4</t>
    </r>
    <phoneticPr fontId="147" type="noConversion"/>
  </si>
  <si>
    <r>
      <t>2</t>
    </r>
    <r>
      <rPr>
        <sz val="10"/>
        <color theme="1"/>
        <rFont val="Arial"/>
        <family val="2"/>
      </rPr>
      <t>005-3</t>
    </r>
    <phoneticPr fontId="147" type="noConversion"/>
  </si>
  <si>
    <r>
      <t>2</t>
    </r>
    <r>
      <rPr>
        <sz val="10"/>
        <color theme="1"/>
        <rFont val="Arial"/>
        <family val="2"/>
      </rPr>
      <t>005-2</t>
    </r>
    <phoneticPr fontId="147" type="noConversion"/>
  </si>
  <si>
    <r>
      <t>2</t>
    </r>
    <r>
      <rPr>
        <sz val="10"/>
        <color theme="1"/>
        <rFont val="Arial"/>
        <family val="2"/>
      </rPr>
      <t>005-1</t>
    </r>
    <phoneticPr fontId="147" type="noConversion"/>
  </si>
  <si>
    <r>
      <t>2</t>
    </r>
    <r>
      <rPr>
        <sz val="10"/>
        <color theme="1"/>
        <rFont val="Arial"/>
        <family val="2"/>
      </rPr>
      <t>004-4</t>
    </r>
    <phoneticPr fontId="147" type="noConversion"/>
  </si>
  <si>
    <r>
      <t>2</t>
    </r>
    <r>
      <rPr>
        <sz val="10"/>
        <color theme="1"/>
        <rFont val="Arial"/>
        <family val="2"/>
      </rPr>
      <t>004-3</t>
    </r>
    <phoneticPr fontId="147" type="noConversion"/>
  </si>
  <si>
    <r>
      <t>2</t>
    </r>
    <r>
      <rPr>
        <sz val="10"/>
        <color theme="1"/>
        <rFont val="Arial"/>
        <family val="2"/>
      </rPr>
      <t>004-2</t>
    </r>
    <phoneticPr fontId="147" type="noConversion"/>
  </si>
  <si>
    <r>
      <t>2</t>
    </r>
    <r>
      <rPr>
        <sz val="10"/>
        <color theme="1"/>
        <rFont val="Arial"/>
        <family val="2"/>
      </rPr>
      <t>004-1</t>
    </r>
    <phoneticPr fontId="147" type="noConversion"/>
  </si>
  <si>
    <r>
      <t>2</t>
    </r>
    <r>
      <rPr>
        <sz val="10"/>
        <color theme="1"/>
        <rFont val="Arial"/>
        <family val="2"/>
      </rPr>
      <t>003-4</t>
    </r>
    <phoneticPr fontId="147" type="noConversion"/>
  </si>
  <si>
    <r>
      <t>2</t>
    </r>
    <r>
      <rPr>
        <sz val="10"/>
        <color theme="1"/>
        <rFont val="Arial"/>
        <family val="2"/>
      </rPr>
      <t>003-3</t>
    </r>
    <phoneticPr fontId="147" type="noConversion"/>
  </si>
  <si>
    <r>
      <t>2</t>
    </r>
    <r>
      <rPr>
        <sz val="10"/>
        <color theme="1"/>
        <rFont val="Arial"/>
        <family val="2"/>
      </rPr>
      <t>003-2</t>
    </r>
    <phoneticPr fontId="147" type="noConversion"/>
  </si>
  <si>
    <r>
      <t>2</t>
    </r>
    <r>
      <rPr>
        <sz val="10"/>
        <color theme="1"/>
        <rFont val="Arial"/>
        <family val="2"/>
      </rPr>
      <t>003-1</t>
    </r>
    <phoneticPr fontId="147" type="noConversion"/>
  </si>
  <si>
    <r>
      <t>2</t>
    </r>
    <r>
      <rPr>
        <sz val="10"/>
        <color theme="1"/>
        <rFont val="Arial"/>
        <family val="2"/>
      </rPr>
      <t>002-4</t>
    </r>
    <phoneticPr fontId="147" type="noConversion"/>
  </si>
  <si>
    <r>
      <t>2</t>
    </r>
    <r>
      <rPr>
        <sz val="10"/>
        <color theme="1"/>
        <rFont val="Arial"/>
        <family val="2"/>
      </rPr>
      <t>002-3</t>
    </r>
    <phoneticPr fontId="147" type="noConversion"/>
  </si>
  <si>
    <r>
      <t>2</t>
    </r>
    <r>
      <rPr>
        <sz val="10"/>
        <color theme="1"/>
        <rFont val="Arial"/>
        <family val="2"/>
      </rPr>
      <t>002-2</t>
    </r>
    <phoneticPr fontId="147" type="noConversion"/>
  </si>
  <si>
    <r>
      <t>2</t>
    </r>
    <r>
      <rPr>
        <sz val="10"/>
        <color theme="1"/>
        <rFont val="Arial"/>
        <family val="2"/>
      </rPr>
      <t>002-1</t>
    </r>
    <phoneticPr fontId="147" type="noConversion"/>
  </si>
  <si>
    <t>说明</t>
    <phoneticPr fontId="14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</si>
  <si>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</si>
  <si>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</si>
  <si>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7"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</si>
  <si>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</si>
  <si>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</si>
  <si>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</si>
  <si>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</si>
  <si>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7" type="noConversion"/>
  </si>
  <si>
    <t>封皮-估价项目名称</t>
    <phoneticPr fontId="147" type="noConversion"/>
  </si>
  <si>
    <t>封皮-估价委托人</t>
    <phoneticPr fontId="147" type="noConversion"/>
  </si>
  <si>
    <t>封皮-注册房地产估价师</t>
    <phoneticPr fontId="147" type="noConversion"/>
  </si>
  <si>
    <t>封皮-估价报告编号</t>
    <phoneticPr fontId="147" type="noConversion"/>
  </si>
  <si>
    <t>致函-委托事项</t>
    <phoneticPr fontId="147" type="noConversion"/>
  </si>
  <si>
    <t>致函-估价对象</t>
    <phoneticPr fontId="147" type="noConversion"/>
  </si>
  <si>
    <t>致函-估价目的</t>
    <phoneticPr fontId="147" type="noConversion"/>
  </si>
  <si>
    <t>致函-价值时点</t>
    <phoneticPr fontId="147" type="noConversion"/>
  </si>
  <si>
    <t>致函-价值类型-房地产</t>
    <phoneticPr fontId="147"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</si>
  <si>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</si>
  <si>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</si>
  <si>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</si>
  <si>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</si>
  <si>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</si>
  <si>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7" type="noConversion"/>
  </si>
  <si>
    <t>致函-估价结果-表1-名称</t>
    <phoneticPr fontId="150" type="noConversion"/>
  </si>
  <si>
    <t>致函-估价结果-表1-建筑面积</t>
    <phoneticPr fontId="150"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</si>
  <si>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</si>
  <si>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</si>
  <si>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</si>
  <si>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</si>
  <si>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</si>
  <si>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</si>
  <si>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</si>
  <si>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t>
    <phoneticPr fontId="150" type="noConversion"/>
  </si>
  <si>
    <t>致函-估价结果-表1-抵押（大）</t>
    <phoneticPr fontId="150" type="noConversion"/>
  </si>
  <si>
    <t>致函-估价结果-表1-已注</t>
    <phoneticPr fontId="150" type="noConversion"/>
  </si>
  <si>
    <t>致函-估价结果-表1-已注（大）</t>
    <phoneticPr fontId="150" type="noConversion"/>
  </si>
  <si>
    <t>致函-估价结果-表1-净值</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</si>
  <si>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</si>
  <si>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</si>
  <si>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</si>
  <si>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</si>
  <si>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</si>
  <si>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</si>
  <si>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</si>
  <si>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</si>
  <si>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致函-估价结果-表2-建（大）</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</si>
  <si>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</si>
  <si>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</si>
  <si>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</si>
  <si>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</si>
  <si>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</si>
  <si>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致函-特别提示-4</t>
    <phoneticPr fontId="150" type="noConversion"/>
  </si>
  <si>
    <t>致函-特别提示-5</t>
  </si>
  <si>
    <t>致函-出具日期</t>
    <phoneticPr fontId="147" type="noConversion"/>
  </si>
  <si>
    <t>致函-估价师1</t>
    <phoneticPr fontId="147" type="noConversion"/>
  </si>
  <si>
    <t>致函-估价师1-证号</t>
    <phoneticPr fontId="147" type="noConversion"/>
  </si>
  <si>
    <t>致函-估价师2</t>
    <phoneticPr fontId="147" type="noConversion"/>
  </si>
  <si>
    <t>致函-估价师2-证号</t>
    <phoneticPr fontId="147" type="noConversion"/>
  </si>
  <si>
    <t>（1）已抵押担保的债权数额</t>
  </si>
  <si>
    <t>（2）拖欠的建设工程价款</t>
  </si>
  <si>
    <t>（3）其他法定优先受偿款</t>
  </si>
  <si>
    <t>致函-特别提示-优先受偿-4</t>
  </si>
  <si>
    <t>（转下页）</t>
  </si>
  <si>
    <t>致函-估价结果-表1-总（单位）</t>
    <phoneticPr fontId="150" type="noConversion"/>
  </si>
  <si>
    <t>致函-估价结果-表1-优先</t>
    <phoneticPr fontId="150" type="noConversion"/>
  </si>
  <si>
    <t>致函-估价结果-表1-优先（单位）</t>
    <phoneticPr fontId="150" type="noConversion"/>
  </si>
  <si>
    <t>结果表内容-1</t>
    <phoneticPr fontId="155" type="noConversion"/>
  </si>
  <si>
    <t>结果表内容-2</t>
    <phoneticPr fontId="155" type="noConversion"/>
  </si>
  <si>
    <t>结果表内容-3</t>
    <phoneticPr fontId="15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</si>
  <si>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</si>
  <si>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补充-1</t>
    <phoneticPr fontId="155" type="noConversion"/>
  </si>
  <si>
    <t>补充-2</t>
  </si>
  <si>
    <t>补充-3</t>
  </si>
  <si>
    <t>估价对象</t>
    <phoneticPr fontId="85" type="noConversion"/>
  </si>
  <si>
    <t xml:space="preserve">                                   估价对象项目及结果</t>
    <phoneticPr fontId="85" type="noConversion"/>
  </si>
  <si>
    <t>大写金额</t>
    <phoneticPr fontId="85" type="noConversion"/>
  </si>
  <si>
    <t>总价</t>
    <phoneticPr fontId="85" type="noConversion"/>
  </si>
  <si>
    <t>总额</t>
    <phoneticPr fontId="85" type="noConversion"/>
  </si>
  <si>
    <t>单价</t>
    <phoneticPr fontId="85" type="noConversion"/>
  </si>
  <si>
    <t>单价</t>
    <phoneticPr fontId="85" type="noConversion"/>
  </si>
  <si>
    <t>补充-6</t>
  </si>
  <si>
    <t>补充-7</t>
  </si>
  <si>
    <t>补充-8</t>
  </si>
  <si>
    <t>补充-9</t>
  </si>
  <si>
    <t>致函-其他专业人员</t>
    <phoneticPr fontId="155" type="noConversion"/>
  </si>
  <si>
    <t>价值时点</t>
    <phoneticPr fontId="5" type="noConversion"/>
  </si>
  <si>
    <t>开发期</t>
    <phoneticPr fontId="147" type="noConversion"/>
  </si>
  <si>
    <t>贷款利率</t>
    <phoneticPr fontId="5" type="noConversion"/>
  </si>
  <si>
    <t>贷款利率</t>
    <phoneticPr fontId="147" type="noConversion"/>
  </si>
  <si>
    <t>存款利率</t>
    <phoneticPr fontId="147" type="noConversion"/>
  </si>
  <si>
    <t>半年以内（含）</t>
    <phoneticPr fontId="5" type="noConversion"/>
  </si>
  <si>
    <t>0.5-1年（含）</t>
    <phoneticPr fontId="5" type="noConversion"/>
  </si>
  <si>
    <t>1-3年（含）</t>
    <phoneticPr fontId="5" type="noConversion"/>
  </si>
  <si>
    <t>3-5年（含）</t>
    <phoneticPr fontId="5" type="noConversion"/>
  </si>
  <si>
    <t>5年以上</t>
    <phoneticPr fontId="5" type="noConversion"/>
  </si>
  <si>
    <t>更新利率时，不要插入或删减行，会影响公式判断。当期行（13行）为固定行，只录入当期数据，如有更新，需要将历史数据从第14行起复制黏贴</t>
    <phoneticPr fontId="14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</si>
  <si>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</si>
  <si>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</si>
  <si>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5" type="noConversion"/>
  </si>
  <si>
    <t>日期</t>
  </si>
  <si>
    <t>短期</t>
  </si>
  <si>
    <t>中长期</t>
  </si>
  <si>
    <t>个人住房公积金</t>
  </si>
  <si>
    <t>活期</t>
  </si>
  <si>
    <t>整存整取</t>
  </si>
  <si>
    <t>零存整取</t>
    <phoneticPr fontId="5" type="noConversion"/>
  </si>
  <si>
    <t>协定</t>
  </si>
  <si>
    <t>一天通</t>
  </si>
  <si>
    <t>七天通</t>
  </si>
  <si>
    <t>0半年以内（含）</t>
    <phoneticPr fontId="5" type="noConversion"/>
  </si>
  <si>
    <t>0.5-1年（含）</t>
    <phoneticPr fontId="5" type="noConversion"/>
  </si>
  <si>
    <t>1-3年（含）</t>
    <phoneticPr fontId="5" type="noConversion"/>
  </si>
  <si>
    <t>3-5年（含）</t>
    <phoneticPr fontId="5" type="noConversion"/>
  </si>
  <si>
    <t>5年以</t>
  </si>
  <si>
    <t>3个月</t>
  </si>
  <si>
    <t>当期</t>
  </si>
  <si>
    <t>--</t>
  </si>
  <si>
    <t>1年期存款利率</t>
    <phoneticPr fontId="5" type="noConversion"/>
  </si>
  <si>
    <t>基准季度（基准地价）</t>
    <phoneticPr fontId="147" type="noConversion"/>
  </si>
  <si>
    <t>此处对应收益法中未来第一年总收益</t>
    <phoneticPr fontId="147" type="noConversion"/>
  </si>
  <si>
    <t>A</t>
    <phoneticPr fontId="138" type="noConversion"/>
  </si>
  <si>
    <t>B</t>
    <phoneticPr fontId="138" type="noConversion"/>
  </si>
  <si>
    <t>C</t>
    <phoneticPr fontId="138" type="noConversion"/>
  </si>
  <si>
    <t>D</t>
    <phoneticPr fontId="138" type="noConversion"/>
  </si>
  <si>
    <t>E</t>
    <phoneticPr fontId="13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</si>
  <si>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</si>
  <si>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</si>
  <si>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</si>
  <si>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</si>
  <si>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</si>
  <si>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</si>
  <si>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</si>
  <si>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</si>
  <si>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</si>
  <si>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</si>
  <si>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</si>
  <si>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</si>
  <si>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</si>
  <si>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</si>
  <si>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</si>
  <si>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</si>
  <si>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</si>
  <si>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</si>
  <si>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</si>
  <si>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</si>
  <si>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</si>
  <si>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</si>
  <si>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</si>
  <si>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</si>
  <si>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</si>
  <si>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</si>
  <si>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7" type="noConversion"/>
  </si>
  <si>
    <t>重置成新价</t>
    <phoneticPr fontId="147" type="noConversion"/>
  </si>
  <si>
    <t>——</t>
  </si>
  <si>
    <t>致函-估价结果-表1-已注（单）</t>
    <phoneticPr fontId="150" type="noConversion"/>
  </si>
  <si>
    <t>致函-估价结果-表1-抵押（单）</t>
    <phoneticPr fontId="150" type="noConversion"/>
  </si>
  <si>
    <t>补充-4-致函-估价结果-表1-抵押（单）</t>
    <phoneticPr fontId="155" type="noConversion"/>
  </si>
  <si>
    <t>补充-5-致函-估价结果-表1-已注（单）</t>
    <phoneticPr fontId="155" type="noConversion"/>
  </si>
  <si>
    <t>2017-2</t>
    <phoneticPr fontId="5" type="noConversion"/>
  </si>
  <si>
    <t>综合</t>
    <phoneticPr fontId="5" type="noConversion"/>
  </si>
  <si>
    <t>商服</t>
    <phoneticPr fontId="5" type="noConversion"/>
  </si>
  <si>
    <t>住宅</t>
    <phoneticPr fontId="5" type="noConversion"/>
  </si>
  <si>
    <r>
      <rPr>
        <sz val="11"/>
        <color indexed="8"/>
        <rFont val="楷体_GB2312"/>
        <family val="3"/>
        <charset val="134"/>
      </rPr>
      <t>工业</t>
    </r>
    <phoneticPr fontId="5" type="noConversion"/>
  </si>
  <si>
    <t>商服</t>
    <phoneticPr fontId="5" type="noConversion"/>
  </si>
  <si>
    <r>
      <rPr>
        <b/>
        <sz val="14"/>
        <color theme="1"/>
        <rFont val="宋体"/>
        <family val="3"/>
        <charset val="134"/>
      </rPr>
      <t>估价方法：</t>
    </r>
    <phoneticPr fontId="82"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</si>
  <si>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2" type="noConversion"/>
  </si>
  <si>
    <r>
      <rPr>
        <b/>
        <sz val="18"/>
        <color theme="1"/>
        <rFont val="宋体"/>
        <family val="3"/>
        <charset val="134"/>
      </rPr>
      <t>评估意见函</t>
    </r>
    <phoneticPr fontId="82" type="noConversion"/>
  </si>
  <si>
    <r>
      <rPr>
        <b/>
        <sz val="14"/>
        <color rgb="FF000000"/>
        <rFont val="宋体"/>
        <family val="3"/>
        <charset val="134"/>
      </rPr>
      <t>估价对象：</t>
    </r>
    <phoneticPr fontId="5" type="noConversion"/>
  </si>
  <si>
    <r>
      <rPr>
        <b/>
        <sz val="14"/>
        <color rgb="FF000000"/>
        <rFont val="宋体"/>
        <family val="3"/>
        <charset val="134"/>
      </rPr>
      <t>估价目的：</t>
    </r>
    <phoneticPr fontId="82" type="noConversion"/>
  </si>
  <si>
    <r>
      <rPr>
        <b/>
        <sz val="14"/>
        <color theme="1"/>
        <rFont val="宋体"/>
        <family val="3"/>
        <charset val="134"/>
      </rPr>
      <t>价值时点：</t>
    </r>
    <phoneticPr fontId="82" type="noConversion"/>
  </si>
  <si>
    <r>
      <rPr>
        <b/>
        <sz val="14"/>
        <color theme="1"/>
        <rFont val="宋体"/>
        <family val="3"/>
        <charset val="134"/>
      </rPr>
      <t>价值类型：</t>
    </r>
    <phoneticPr fontId="82"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</si>
  <si>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2" type="noConversion"/>
  </si>
  <si>
    <r>
      <t>单价</t>
    </r>
    <r>
      <rPr>
        <sz val="10"/>
        <color indexed="8"/>
        <rFont val="DengXian"/>
        <family val="3"/>
        <charset val="134"/>
        <scheme val="minor"/>
      </rPr>
      <t>(元/平方米)</t>
    </r>
    <phoneticPr fontId="85" type="noConversion"/>
  </si>
  <si>
    <r>
      <t>结果表-1</t>
    </r>
    <r>
      <rPr>
        <b/>
        <i/>
        <sz val="12"/>
        <color theme="3" tint="0.39997558519241921"/>
        <rFont val="DengXian"/>
        <family val="3"/>
        <charset val="134"/>
        <scheme val="minor"/>
      </rPr>
      <t>（有土地证）</t>
    </r>
    <phoneticPr fontId="85" type="noConversion"/>
  </si>
  <si>
    <r>
      <rPr>
        <sz val="12"/>
        <color indexed="8"/>
        <rFont val="宋体"/>
        <family val="3"/>
        <charset val="134"/>
      </rPr>
      <t>抵押物名称</t>
    </r>
  </si>
  <si>
    <r>
      <rPr>
        <sz val="12"/>
        <color indexed="8"/>
        <rFont val="宋体"/>
        <family val="3"/>
        <charset val="134"/>
      </rPr>
      <t>建筑面积</t>
    </r>
    <phoneticPr fontId="9"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</si>
  <si>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9" type="noConversion"/>
  </si>
  <si>
    <r>
      <rPr>
        <sz val="12"/>
        <color indexed="8"/>
        <rFont val="宋体"/>
        <family val="3"/>
        <charset val="134"/>
      </rPr>
      <t>建筑物价值</t>
    </r>
    <phoneticPr fontId="9"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</si>
  <si>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</si>
  <si>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</si>
  <si>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9"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</si>
  <si>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</si>
  <si>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</si>
  <si>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</si>
  <si>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</si>
  <si>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</si>
  <si>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</si>
  <si>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</si>
  <si>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</si>
  <si>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7" type="noConversion"/>
  </si>
  <si>
    <r>
      <rPr>
        <sz val="14"/>
        <color theme="1"/>
        <rFont val="宋体"/>
        <family val="3"/>
        <charset val="134"/>
      </rPr>
      <t>相关资格或职称</t>
    </r>
  </si>
  <si>
    <r>
      <rPr>
        <b/>
        <sz val="14"/>
        <color theme="1"/>
        <rFont val="宋体"/>
        <family val="3"/>
        <charset val="134"/>
      </rPr>
      <t>特别提示：</t>
    </r>
    <phoneticPr fontId="85" type="noConversion"/>
  </si>
  <si>
    <r>
      <t xml:space="preserve">      </t>
    </r>
    <r>
      <rPr>
        <sz val="14"/>
        <color theme="1"/>
        <rFont val="宋体"/>
        <family val="3"/>
        <charset val="134"/>
      </rPr>
      <t>顺致</t>
    </r>
    <phoneticPr fontId="85" type="noConversion"/>
  </si>
  <si>
    <r>
      <rPr>
        <sz val="14"/>
        <color theme="1"/>
        <rFont val="宋体"/>
        <family val="3"/>
        <charset val="134"/>
      </rPr>
      <t>商祺</t>
    </r>
    <phoneticPr fontId="85" type="noConversion"/>
  </si>
  <si>
    <r>
      <rPr>
        <sz val="14"/>
        <color theme="1"/>
        <rFont val="宋体"/>
        <family val="3"/>
        <charset val="134"/>
      </rPr>
      <t>北京康正宏基房地产评估有限公司</t>
    </r>
    <phoneticPr fontId="85"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</si>
  <si>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7"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</si>
  <si>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7"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</si>
  <si>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5" type="noConversion"/>
  </si>
  <si>
    <r>
      <rPr>
        <b/>
        <sz val="16"/>
        <color indexed="10"/>
        <rFont val="宋体"/>
        <family val="3"/>
        <charset val="134"/>
      </rPr>
      <t>假设开发法</t>
    </r>
    <phoneticPr fontId="15" type="noConversion"/>
  </si>
  <si>
    <r>
      <rPr>
        <b/>
        <sz val="12"/>
        <rFont val="宋体"/>
        <family val="3"/>
        <charset val="134"/>
      </rPr>
      <t>仅计算典型户型</t>
    </r>
  </si>
  <si>
    <r>
      <rPr>
        <b/>
        <sz val="12"/>
        <rFont val="宋体"/>
        <family val="3"/>
        <charset val="134"/>
      </rPr>
      <t>总价</t>
    </r>
    <phoneticPr fontId="16" type="noConversion"/>
  </si>
  <si>
    <r>
      <rPr>
        <b/>
        <sz val="12"/>
        <rFont val="宋体"/>
        <family val="3"/>
        <charset val="134"/>
      </rPr>
      <t>楼面单价</t>
    </r>
    <phoneticPr fontId="16"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</si>
  <si>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6" type="noConversion"/>
  </si>
  <si>
    <r>
      <t>1.</t>
    </r>
    <r>
      <rPr>
        <b/>
        <sz val="12"/>
        <color indexed="8"/>
        <rFont val="宋体"/>
        <family val="3"/>
        <charset val="134"/>
      </rPr>
      <t>开发完成后房地产价值</t>
    </r>
    <phoneticPr fontId="15" type="noConversion"/>
  </si>
  <si>
    <r>
      <rPr>
        <b/>
        <sz val="11"/>
        <color indexed="8"/>
        <rFont val="宋体"/>
        <family val="3"/>
        <charset val="134"/>
      </rPr>
      <t>序号</t>
    </r>
    <phoneticPr fontId="15" type="noConversion"/>
  </si>
  <si>
    <r>
      <rPr>
        <b/>
        <sz val="11"/>
        <color indexed="8"/>
        <rFont val="宋体"/>
        <family val="3"/>
        <charset val="134"/>
      </rPr>
      <t>项目名称</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</si>
  <si>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38" type="noConversion"/>
  </si>
  <si>
    <r>
      <rPr>
        <sz val="10"/>
        <color indexed="8"/>
        <rFont val="宋体"/>
        <family val="3"/>
        <charset val="134"/>
      </rPr>
      <t>楼面单价</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</si>
  <si>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38" type="noConversion"/>
  </si>
  <si>
    <r>
      <rPr>
        <sz val="10"/>
        <color indexed="8"/>
        <rFont val="宋体"/>
        <family val="3"/>
        <charset val="134"/>
      </rPr>
      <t>建筑面积</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</si>
  <si>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38" type="noConversion"/>
  </si>
  <si>
    <r>
      <rPr>
        <sz val="10"/>
        <color indexed="8"/>
        <rFont val="宋体"/>
        <family val="3"/>
        <charset val="134"/>
      </rPr>
      <t>总额</t>
    </r>
    <phoneticPr fontId="15" type="noConversion"/>
  </si>
  <si>
    <r>
      <t>2.</t>
    </r>
    <r>
      <rPr>
        <b/>
        <sz val="12"/>
        <color indexed="8"/>
        <rFont val="宋体"/>
        <family val="3"/>
        <charset val="134"/>
      </rPr>
      <t>扣减项</t>
    </r>
    <phoneticPr fontId="15" type="noConversion"/>
  </si>
  <si>
    <r>
      <rPr>
        <b/>
        <sz val="11"/>
        <color indexed="8"/>
        <rFont val="宋体"/>
        <family val="3"/>
        <charset val="134"/>
      </rPr>
      <t>总额</t>
    </r>
    <phoneticPr fontId="15" type="noConversion"/>
  </si>
  <si>
    <r>
      <rPr>
        <b/>
        <sz val="11"/>
        <color indexed="8"/>
        <rFont val="宋体"/>
        <family val="3"/>
        <charset val="134"/>
      </rPr>
      <t>面积</t>
    </r>
    <phoneticPr fontId="15" type="noConversion"/>
  </si>
  <si>
    <r>
      <rPr>
        <b/>
        <sz val="11"/>
        <color indexed="8"/>
        <rFont val="宋体"/>
        <family val="3"/>
        <charset val="134"/>
      </rPr>
      <t>单价</t>
    </r>
    <phoneticPr fontId="15" type="noConversion"/>
  </si>
  <si>
    <r>
      <rPr>
        <b/>
        <sz val="11"/>
        <color indexed="8"/>
        <rFont val="宋体"/>
        <family val="3"/>
        <charset val="134"/>
      </rPr>
      <t>相关系数</t>
    </r>
    <phoneticPr fontId="15" type="noConversion"/>
  </si>
  <si>
    <r>
      <rPr>
        <sz val="10"/>
        <color indexed="8"/>
        <rFont val="宋体"/>
        <family val="3"/>
        <charset val="134"/>
      </rPr>
      <t>续建建安</t>
    </r>
    <phoneticPr fontId="15" type="noConversion"/>
  </si>
  <si>
    <r>
      <rPr>
        <sz val="10"/>
        <color indexed="8"/>
        <rFont val="宋体"/>
        <family val="3"/>
        <charset val="134"/>
      </rPr>
      <t>勘察设计和前期工程费</t>
    </r>
    <phoneticPr fontId="15" type="noConversion"/>
  </si>
  <si>
    <r>
      <rPr>
        <b/>
        <sz val="11"/>
        <color indexed="8"/>
        <rFont val="宋体"/>
        <family val="3"/>
        <charset val="134"/>
      </rPr>
      <t>以建安费用为基数计取</t>
    </r>
    <phoneticPr fontId="15" type="noConversion"/>
  </si>
  <si>
    <r>
      <rPr>
        <sz val="10"/>
        <color indexed="8"/>
        <rFont val="宋体"/>
        <family val="3"/>
        <charset val="134"/>
      </rPr>
      <t>公共配套设施费用</t>
    </r>
    <phoneticPr fontId="15" type="noConversion"/>
  </si>
  <si>
    <r>
      <rPr>
        <b/>
        <sz val="11"/>
        <color indexed="8"/>
        <rFont val="宋体"/>
        <family val="3"/>
        <charset val="134"/>
      </rPr>
      <t>以住宅用房建安费用为基数计取</t>
    </r>
    <phoneticPr fontId="15" type="noConversion"/>
  </si>
  <si>
    <r>
      <rPr>
        <sz val="10"/>
        <color indexed="8"/>
        <rFont val="宋体"/>
        <family val="3"/>
        <charset val="134"/>
      </rPr>
      <t>红线内市政费用</t>
    </r>
    <phoneticPr fontId="15" type="noConversion"/>
  </si>
  <si>
    <r>
      <rPr>
        <b/>
        <sz val="11"/>
        <color indexed="8"/>
        <rFont val="宋体"/>
        <family val="3"/>
        <charset val="134"/>
      </rPr>
      <t>按工程进度计取或按实际情况计取</t>
    </r>
    <phoneticPr fontId="15" type="noConversion"/>
  </si>
  <si>
    <r>
      <rPr>
        <sz val="10"/>
        <color indexed="8"/>
        <rFont val="宋体"/>
        <family val="3"/>
        <charset val="134"/>
      </rPr>
      <t>相关税费</t>
    </r>
    <phoneticPr fontId="15" type="noConversion"/>
  </si>
  <si>
    <r>
      <rPr>
        <sz val="10"/>
        <color indexed="8"/>
        <rFont val="宋体"/>
        <family val="3"/>
        <charset val="134"/>
      </rPr>
      <t>以建安费用为基数计取</t>
    </r>
    <phoneticPr fontId="15" type="noConversion"/>
  </si>
  <si>
    <r>
      <t>1</t>
    </r>
    <r>
      <rPr>
        <sz val="10"/>
        <color indexed="8"/>
        <rFont val="宋体"/>
        <family val="3"/>
        <charset val="134"/>
      </rPr>
      <t>）</t>
    </r>
    <phoneticPr fontId="16" type="noConversion"/>
  </si>
  <si>
    <r>
      <rPr>
        <sz val="10"/>
        <color indexed="8"/>
        <rFont val="宋体"/>
        <family val="3"/>
        <charset val="134"/>
      </rPr>
      <t>续建成本</t>
    </r>
    <phoneticPr fontId="16" type="noConversion"/>
  </si>
  <si>
    <r>
      <t>2</t>
    </r>
    <r>
      <rPr>
        <sz val="10"/>
        <color indexed="8"/>
        <rFont val="宋体"/>
        <family val="3"/>
        <charset val="134"/>
      </rPr>
      <t>）</t>
    </r>
    <phoneticPr fontId="138" type="noConversion"/>
  </si>
  <si>
    <r>
      <rPr>
        <sz val="10"/>
        <color indexed="8"/>
        <rFont val="宋体"/>
        <family val="3"/>
        <charset val="134"/>
      </rPr>
      <t>红线外市政费用（待完成）</t>
    </r>
    <phoneticPr fontId="15" type="noConversion"/>
  </si>
  <si>
    <r>
      <rPr>
        <sz val="10"/>
        <color indexed="8"/>
        <rFont val="宋体"/>
        <family val="3"/>
        <charset val="134"/>
      </rPr>
      <t>按实际情况计取</t>
    </r>
    <phoneticPr fontId="15" type="noConversion"/>
  </si>
  <si>
    <r>
      <t>3</t>
    </r>
    <r>
      <rPr>
        <sz val="10"/>
        <color indexed="8"/>
        <rFont val="宋体"/>
        <family val="3"/>
        <charset val="134"/>
      </rPr>
      <t>）</t>
    </r>
    <phoneticPr fontId="138" type="noConversion"/>
  </si>
  <si>
    <r>
      <rPr>
        <sz val="10"/>
        <color indexed="8"/>
        <rFont val="宋体"/>
        <family val="3"/>
        <charset val="134"/>
      </rPr>
      <t>城市基础设施建设费（行政收费）</t>
    </r>
    <phoneticPr fontId="15" type="noConversion"/>
  </si>
  <si>
    <r>
      <rPr>
        <sz val="10"/>
        <color indexed="8"/>
        <rFont val="宋体"/>
        <family val="3"/>
        <charset val="134"/>
      </rPr>
      <t>按实际未缴纳金额</t>
    </r>
    <phoneticPr fontId="15" type="noConversion"/>
  </si>
  <si>
    <r>
      <rPr>
        <sz val="10"/>
        <color indexed="8"/>
        <rFont val="宋体"/>
        <family val="3"/>
        <charset val="134"/>
      </rPr>
      <t>住宅</t>
    </r>
    <phoneticPr fontId="15" type="noConversion"/>
  </si>
  <si>
    <r>
      <rPr>
        <sz val="10"/>
        <color indexed="8"/>
        <rFont val="宋体"/>
        <family val="3"/>
        <charset val="134"/>
      </rPr>
      <t>非住宅</t>
    </r>
    <phoneticPr fontId="15" type="noConversion"/>
  </si>
  <si>
    <r>
      <rPr>
        <b/>
        <sz val="11"/>
        <color indexed="8"/>
        <rFont val="宋体"/>
        <family val="3"/>
        <charset val="134"/>
      </rPr>
      <t>后续开发成本</t>
    </r>
    <phoneticPr fontId="15"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</si>
  <si>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6" type="noConversion"/>
  </si>
  <si>
    <r>
      <rPr>
        <b/>
        <sz val="11"/>
        <color indexed="8"/>
        <rFont val="宋体"/>
        <family val="3"/>
        <charset val="134"/>
      </rPr>
      <t>管理费用</t>
    </r>
    <phoneticPr fontId="15" type="noConversion"/>
  </si>
  <si>
    <r>
      <rPr>
        <b/>
        <sz val="11"/>
        <color indexed="8"/>
        <rFont val="宋体"/>
        <family val="3"/>
        <charset val="134"/>
      </rPr>
      <t>以续建成本为基数计算</t>
    </r>
    <phoneticPr fontId="15" type="noConversion"/>
  </si>
  <si>
    <r>
      <rPr>
        <b/>
        <sz val="11"/>
        <color indexed="8"/>
        <rFont val="宋体"/>
        <family val="3"/>
        <charset val="134"/>
      </rPr>
      <t>销售费用</t>
    </r>
    <phoneticPr fontId="15"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</si>
  <si>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5" type="noConversion"/>
  </si>
  <si>
    <r>
      <rPr>
        <sz val="10"/>
        <color indexed="8"/>
        <rFont val="宋体"/>
        <family val="3"/>
        <charset val="134"/>
      </rPr>
      <t>（</t>
    </r>
    <r>
      <rPr>
        <sz val="10"/>
        <color indexed="8"/>
        <rFont val="Arial"/>
        <family val="2"/>
      </rPr>
      <t>4</t>
    </r>
    <r>
      <rPr>
        <sz val="10"/>
        <color indexed="8"/>
        <rFont val="宋体"/>
        <family val="3"/>
        <charset val="134"/>
      </rPr>
      <t>）</t>
    </r>
    <phoneticPr fontId="138" type="noConversion"/>
  </si>
  <si>
    <r>
      <rPr>
        <b/>
        <sz val="11"/>
        <color indexed="8"/>
        <rFont val="宋体"/>
        <family val="3"/>
        <charset val="134"/>
      </rPr>
      <t>取得税费</t>
    </r>
    <phoneticPr fontId="15"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</si>
  <si>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</si>
  <si>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38" type="noConversion"/>
  </si>
  <si>
    <r>
      <rPr>
        <b/>
        <sz val="11"/>
        <color indexed="8"/>
        <rFont val="宋体"/>
        <family val="3"/>
        <charset val="134"/>
      </rPr>
      <t>利息</t>
    </r>
    <phoneticPr fontId="15" type="noConversion"/>
  </si>
  <si>
    <r>
      <rPr>
        <sz val="10"/>
        <color indexed="8"/>
        <rFont val="宋体"/>
        <family val="3"/>
        <charset val="134"/>
      </rPr>
      <t>后续开发成本、管理费用及销售费用产生的利息。</t>
    </r>
    <phoneticPr fontId="15" type="noConversion"/>
  </si>
  <si>
    <r>
      <t>1</t>
    </r>
    <r>
      <rPr>
        <sz val="10"/>
        <color indexed="8"/>
        <rFont val="宋体"/>
        <family val="3"/>
        <charset val="134"/>
      </rPr>
      <t>）</t>
    </r>
    <phoneticPr fontId="138" type="noConversion"/>
  </si>
  <si>
    <r>
      <rPr>
        <sz val="10"/>
        <color indexed="8"/>
        <rFont val="宋体"/>
        <family val="3"/>
        <charset val="134"/>
      </rPr>
      <t>估价对象及取得税费产生的利息</t>
    </r>
    <phoneticPr fontId="15"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</si>
  <si>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5"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</si>
  <si>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5" type="noConversion"/>
  </si>
  <si>
    <r>
      <rPr>
        <sz val="10"/>
        <color indexed="8"/>
        <rFont val="宋体"/>
        <family val="3"/>
        <charset val="134"/>
      </rPr>
      <t>（</t>
    </r>
    <r>
      <rPr>
        <sz val="10"/>
        <color indexed="8"/>
        <rFont val="Arial"/>
        <family val="2"/>
      </rPr>
      <t>6</t>
    </r>
    <r>
      <rPr>
        <sz val="10"/>
        <color indexed="8"/>
        <rFont val="宋体"/>
        <family val="3"/>
        <charset val="134"/>
      </rPr>
      <t>）</t>
    </r>
    <phoneticPr fontId="138" type="noConversion"/>
  </si>
  <si>
    <r>
      <rPr>
        <b/>
        <sz val="11"/>
        <color indexed="8"/>
        <rFont val="宋体"/>
        <family val="3"/>
        <charset val="134"/>
      </rPr>
      <t>利润</t>
    </r>
    <phoneticPr fontId="15" type="noConversion"/>
  </si>
  <si>
    <r>
      <t>1</t>
    </r>
    <r>
      <rPr>
        <sz val="10"/>
        <color indexed="8"/>
        <rFont val="宋体"/>
        <family val="3"/>
        <charset val="134"/>
      </rPr>
      <t>）</t>
    </r>
    <phoneticPr fontId="138" type="noConversion"/>
  </si>
  <si>
    <r>
      <rPr>
        <sz val="10"/>
        <color indexed="8"/>
        <rFont val="宋体"/>
        <family val="3"/>
        <charset val="134"/>
      </rPr>
      <t>估价对象及取得税费应计的利润</t>
    </r>
    <phoneticPr fontId="15"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</si>
  <si>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5" type="noConversion"/>
  </si>
  <si>
    <r>
      <t>2</t>
    </r>
    <r>
      <rPr>
        <sz val="10"/>
        <color indexed="8"/>
        <rFont val="宋体"/>
        <family val="3"/>
        <charset val="134"/>
      </rPr>
      <t>）</t>
    </r>
    <phoneticPr fontId="138"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</si>
  <si>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5" type="noConversion"/>
  </si>
  <si>
    <r>
      <rPr>
        <sz val="10"/>
        <color indexed="8"/>
        <rFont val="宋体"/>
        <family val="3"/>
        <charset val="134"/>
      </rPr>
      <t>（</t>
    </r>
    <r>
      <rPr>
        <sz val="10"/>
        <color indexed="8"/>
        <rFont val="Arial"/>
        <family val="2"/>
      </rPr>
      <t>7</t>
    </r>
    <r>
      <rPr>
        <sz val="10"/>
        <color indexed="8"/>
        <rFont val="宋体"/>
        <family val="3"/>
        <charset val="134"/>
      </rPr>
      <t>）</t>
    </r>
    <phoneticPr fontId="138" type="noConversion"/>
  </si>
  <si>
    <r>
      <rPr>
        <b/>
        <sz val="11"/>
        <color indexed="8"/>
        <rFont val="宋体"/>
        <family val="3"/>
        <charset val="134"/>
      </rPr>
      <t>销售税费</t>
    </r>
    <phoneticPr fontId="15"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</si>
  <si>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5" type="noConversion"/>
  </si>
  <si>
    <r>
      <t>3</t>
    </r>
    <r>
      <rPr>
        <b/>
        <sz val="11"/>
        <color indexed="8"/>
        <rFont val="宋体"/>
        <family val="3"/>
        <charset val="134"/>
      </rPr>
      <t>、开发价值</t>
    </r>
    <phoneticPr fontId="16" type="noConversion"/>
  </si>
  <si>
    <r>
      <rPr>
        <b/>
        <sz val="12"/>
        <color indexed="8"/>
        <rFont val="宋体"/>
        <family val="3"/>
        <charset val="134"/>
      </rPr>
      <t>估价对象价值</t>
    </r>
    <r>
      <rPr>
        <b/>
        <sz val="12"/>
        <color indexed="8"/>
        <rFont val="Arial"/>
        <family val="2"/>
      </rPr>
      <t>=1-2</t>
    </r>
    <phoneticPr fontId="15"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</si>
  <si>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9" type="noConversion"/>
  </si>
  <si>
    <r>
      <rPr>
        <b/>
        <sz val="12"/>
        <color indexed="8"/>
        <rFont val="宋体"/>
        <family val="3"/>
        <charset val="134"/>
      </rPr>
      <t>录入项</t>
    </r>
    <phoneticPr fontId="5" type="noConversion"/>
  </si>
  <si>
    <r>
      <rPr>
        <sz val="11"/>
        <color indexed="8"/>
        <rFont val="宋体"/>
        <family val="3"/>
        <charset val="134"/>
      </rPr>
      <t>无底纹单元格</t>
    </r>
    <phoneticPr fontId="29" type="noConversion"/>
  </si>
  <si>
    <r>
      <rPr>
        <b/>
        <sz val="12"/>
        <color indexed="8"/>
        <rFont val="宋体"/>
        <family val="3"/>
        <charset val="134"/>
      </rPr>
      <t>下拉菜单</t>
    </r>
  </si>
  <si>
    <r>
      <rPr>
        <sz val="11"/>
        <color indexed="8"/>
        <rFont val="宋体"/>
        <family val="3"/>
        <charset val="134"/>
      </rPr>
      <t>黄色底纹单元格</t>
    </r>
    <phoneticPr fontId="29" type="noConversion"/>
  </si>
  <si>
    <r>
      <rPr>
        <b/>
        <sz val="12"/>
        <color indexed="8"/>
        <rFont val="宋体"/>
        <family val="3"/>
        <charset val="134"/>
      </rPr>
      <t>锁定项</t>
    </r>
    <phoneticPr fontId="5" type="noConversion"/>
  </si>
  <si>
    <r>
      <rPr>
        <sz val="11"/>
        <color indexed="8"/>
        <rFont val="宋体"/>
        <family val="3"/>
        <charset val="134"/>
      </rPr>
      <t>灰色底纹单元格</t>
    </r>
    <phoneticPr fontId="29" type="noConversion"/>
  </si>
  <si>
    <r>
      <rPr>
        <b/>
        <sz val="12"/>
        <color indexed="13"/>
        <rFont val="宋体"/>
        <family val="3"/>
        <charset val="134"/>
      </rPr>
      <t>错误提示</t>
    </r>
    <phoneticPr fontId="29" type="noConversion"/>
  </si>
  <si>
    <r>
      <rPr>
        <sz val="11"/>
        <color indexed="8"/>
        <rFont val="宋体"/>
        <family val="3"/>
        <charset val="134"/>
      </rPr>
      <t>红色底纹黄色字体</t>
    </r>
    <phoneticPr fontId="29" type="noConversion"/>
  </si>
  <si>
    <r>
      <rPr>
        <b/>
        <sz val="12"/>
        <color indexed="10"/>
        <rFont val="宋体"/>
        <family val="3"/>
        <charset val="134"/>
      </rPr>
      <t>特别提示</t>
    </r>
    <phoneticPr fontId="29" type="noConversion"/>
  </si>
  <si>
    <r>
      <rPr>
        <sz val="11"/>
        <color indexed="8"/>
        <rFont val="宋体"/>
        <family val="3"/>
        <charset val="134"/>
      </rPr>
      <t>红色字体</t>
    </r>
    <phoneticPr fontId="29" type="noConversion"/>
  </si>
  <si>
    <r>
      <rPr>
        <b/>
        <sz val="12"/>
        <color indexed="8"/>
        <rFont val="宋体"/>
        <family val="3"/>
        <charset val="134"/>
      </rPr>
      <t>关注批注角标</t>
    </r>
    <phoneticPr fontId="29" type="noConversion"/>
  </si>
  <si>
    <r>
      <rPr>
        <sz val="11"/>
        <color indexed="8"/>
        <rFont val="宋体"/>
        <family val="3"/>
        <charset val="134"/>
      </rPr>
      <t>基础表</t>
    </r>
    <phoneticPr fontId="5" type="noConversion"/>
  </si>
  <si>
    <r>
      <rPr>
        <sz val="11"/>
        <color indexed="8"/>
        <rFont val="宋体"/>
        <family val="3"/>
        <charset val="134"/>
      </rPr>
      <t>定义</t>
    </r>
    <phoneticPr fontId="5" type="noConversion"/>
  </si>
  <si>
    <r>
      <rPr>
        <sz val="11"/>
        <color indexed="8"/>
        <rFont val="宋体"/>
        <family val="3"/>
        <charset val="134"/>
      </rPr>
      <t>项目基本情况</t>
    </r>
    <phoneticPr fontId="5"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</si>
  <si>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5" type="noConversion"/>
  </si>
  <si>
    <r>
      <rPr>
        <sz val="11"/>
        <color indexed="8"/>
        <rFont val="宋体"/>
        <family val="3"/>
        <charset val="134"/>
      </rPr>
      <t>房地状况</t>
    </r>
    <phoneticPr fontId="5" type="noConversion"/>
  </si>
  <si>
    <r>
      <rPr>
        <sz val="11"/>
        <color indexed="8"/>
        <rFont val="宋体"/>
        <family val="3"/>
        <charset val="134"/>
      </rPr>
      <t>结果表</t>
    </r>
    <phoneticPr fontId="5" type="noConversion"/>
  </si>
  <si>
    <r>
      <rPr>
        <sz val="11"/>
        <color indexed="8"/>
        <rFont val="宋体"/>
        <family val="3"/>
        <charset val="134"/>
      </rPr>
      <t>方法</t>
    </r>
    <phoneticPr fontId="5" type="noConversion"/>
  </si>
  <si>
    <r>
      <rPr>
        <sz val="11"/>
        <color indexed="8"/>
        <rFont val="宋体"/>
        <family val="3"/>
        <charset val="134"/>
      </rPr>
      <t>成本</t>
    </r>
    <phoneticPr fontId="5" type="noConversion"/>
  </si>
  <si>
    <r>
      <rPr>
        <sz val="11"/>
        <color indexed="8"/>
        <rFont val="宋体"/>
        <family val="3"/>
        <charset val="134"/>
      </rPr>
      <t>假开</t>
    </r>
    <phoneticPr fontId="5" type="noConversion"/>
  </si>
  <si>
    <r>
      <rPr>
        <sz val="11"/>
        <color indexed="8"/>
        <rFont val="宋体"/>
        <family val="3"/>
        <charset val="134"/>
      </rPr>
      <t>收益</t>
    </r>
    <phoneticPr fontId="5" type="noConversion"/>
  </si>
  <si>
    <r>
      <rPr>
        <sz val="11"/>
        <color indexed="8"/>
        <rFont val="宋体"/>
        <family val="3"/>
        <charset val="134"/>
      </rPr>
      <t>比较</t>
    </r>
    <phoneticPr fontId="5" type="noConversion"/>
  </si>
  <si>
    <r>
      <rPr>
        <sz val="11"/>
        <color indexed="8"/>
        <rFont val="宋体"/>
        <family val="3"/>
        <charset val="134"/>
      </rPr>
      <t>住宅</t>
    </r>
    <phoneticPr fontId="5" type="noConversion"/>
  </si>
  <si>
    <r>
      <rPr>
        <sz val="11"/>
        <color indexed="8"/>
        <rFont val="宋体"/>
        <family val="3"/>
        <charset val="134"/>
      </rPr>
      <t>商业</t>
    </r>
    <phoneticPr fontId="5" type="noConversion"/>
  </si>
  <si>
    <r>
      <rPr>
        <sz val="11"/>
        <color indexed="8"/>
        <rFont val="宋体"/>
        <family val="3"/>
        <charset val="134"/>
      </rPr>
      <t>办公</t>
    </r>
    <phoneticPr fontId="5" type="noConversion"/>
  </si>
  <si>
    <r>
      <rPr>
        <sz val="11"/>
        <color indexed="8"/>
        <rFont val="宋体"/>
        <family val="3"/>
        <charset val="134"/>
      </rPr>
      <t>工业</t>
    </r>
    <phoneticPr fontId="29" type="noConversion"/>
  </si>
  <si>
    <r>
      <rPr>
        <sz val="11"/>
        <color indexed="8"/>
        <rFont val="宋体"/>
        <family val="3"/>
        <charset val="134"/>
      </rPr>
      <t>车位</t>
    </r>
    <phoneticPr fontId="29" type="noConversion"/>
  </si>
  <si>
    <r>
      <rPr>
        <sz val="11"/>
        <color indexed="8"/>
        <rFont val="宋体"/>
        <family val="3"/>
        <charset val="134"/>
      </rPr>
      <t>仓储</t>
    </r>
    <phoneticPr fontId="29"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</si>
  <si>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9"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</si>
  <si>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9" type="noConversion"/>
  </si>
  <si>
    <r>
      <rPr>
        <sz val="11"/>
        <color indexed="8"/>
        <rFont val="宋体"/>
        <family val="3"/>
        <charset val="134"/>
      </rPr>
      <t>典型户型修正</t>
    </r>
    <phoneticPr fontId="29"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</si>
  <si>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9" type="noConversion"/>
  </si>
  <si>
    <r>
      <rPr>
        <sz val="11"/>
        <color indexed="8"/>
        <rFont val="宋体"/>
        <family val="3"/>
        <charset val="134"/>
      </rPr>
      <t>用途类型</t>
    </r>
    <phoneticPr fontId="15" type="noConversion"/>
  </si>
  <si>
    <r>
      <rPr>
        <sz val="11"/>
        <color indexed="8"/>
        <rFont val="宋体"/>
        <family val="3"/>
        <charset val="134"/>
      </rPr>
      <t>估价方法</t>
    </r>
    <phoneticPr fontId="15" type="noConversion"/>
  </si>
  <si>
    <r>
      <rPr>
        <sz val="11"/>
        <color theme="1"/>
        <rFont val="宋体"/>
        <family val="3"/>
        <charset val="134"/>
      </rPr>
      <t>土地级别</t>
    </r>
    <phoneticPr fontId="15" type="noConversion"/>
  </si>
  <si>
    <r>
      <rPr>
        <sz val="11"/>
        <color indexed="8"/>
        <rFont val="宋体"/>
        <family val="3"/>
        <charset val="134"/>
      </rPr>
      <t>判定</t>
    </r>
    <phoneticPr fontId="15" type="noConversion"/>
  </si>
  <si>
    <r>
      <rPr>
        <sz val="11"/>
        <color indexed="8"/>
        <rFont val="宋体"/>
        <family val="3"/>
        <charset val="134"/>
      </rPr>
      <t>位置</t>
    </r>
    <phoneticPr fontId="15" type="noConversion"/>
  </si>
  <si>
    <r>
      <rPr>
        <sz val="11"/>
        <color indexed="8"/>
        <rFont val="宋体"/>
        <family val="3"/>
        <charset val="134"/>
      </rPr>
      <t>主用途</t>
    </r>
    <phoneticPr fontId="15" type="noConversion"/>
  </si>
  <si>
    <r>
      <rPr>
        <sz val="11"/>
        <color indexed="8"/>
        <rFont val="宋体"/>
        <family val="3"/>
        <charset val="134"/>
      </rPr>
      <t>法定最高年限</t>
    </r>
    <phoneticPr fontId="15" type="noConversion"/>
  </si>
  <si>
    <r>
      <rPr>
        <sz val="11"/>
        <color indexed="8"/>
        <rFont val="宋体"/>
        <family val="3"/>
        <charset val="134"/>
      </rPr>
      <t>地类判定</t>
    </r>
    <phoneticPr fontId="15" type="noConversion"/>
  </si>
  <si>
    <r>
      <rPr>
        <sz val="11"/>
        <color indexed="8"/>
        <rFont val="宋体"/>
        <family val="3"/>
        <charset val="134"/>
      </rPr>
      <t>土地年限区间</t>
    </r>
    <phoneticPr fontId="15" type="noConversion"/>
  </si>
  <si>
    <r>
      <rPr>
        <sz val="11"/>
        <color indexed="8"/>
        <rFont val="宋体"/>
        <family val="3"/>
        <charset val="134"/>
      </rPr>
      <t>类别</t>
    </r>
    <phoneticPr fontId="15" type="noConversion"/>
  </si>
  <si>
    <r>
      <rPr>
        <sz val="11"/>
        <color indexed="8"/>
        <rFont val="宋体"/>
        <family val="3"/>
        <charset val="134"/>
      </rPr>
      <t>居住社区成熟度</t>
    </r>
    <phoneticPr fontId="15" type="noConversion"/>
  </si>
  <si>
    <r>
      <rPr>
        <sz val="11"/>
        <color indexed="8"/>
        <rFont val="宋体"/>
        <family val="3"/>
        <charset val="134"/>
      </rPr>
      <t>商业繁华度</t>
    </r>
    <phoneticPr fontId="15" type="noConversion"/>
  </si>
  <si>
    <r>
      <rPr>
        <sz val="11"/>
        <color indexed="8"/>
        <rFont val="宋体"/>
        <family val="3"/>
        <charset val="134"/>
      </rPr>
      <t>办公集聚程度</t>
    </r>
    <phoneticPr fontId="15" type="noConversion"/>
  </si>
  <si>
    <r>
      <rPr>
        <sz val="11"/>
        <color indexed="8"/>
        <rFont val="宋体"/>
        <family val="3"/>
        <charset val="134"/>
      </rPr>
      <t>产业集聚程度</t>
    </r>
    <phoneticPr fontId="15" type="noConversion"/>
  </si>
  <si>
    <r>
      <rPr>
        <sz val="11"/>
        <color indexed="8"/>
        <rFont val="宋体"/>
        <family val="3"/>
        <charset val="134"/>
      </rPr>
      <t>交通便捷度</t>
    </r>
    <phoneticPr fontId="15" type="noConversion"/>
  </si>
  <si>
    <r>
      <rPr>
        <sz val="11"/>
        <color indexed="8"/>
        <rFont val="宋体"/>
        <family val="3"/>
        <charset val="134"/>
      </rPr>
      <t>区域土地利用方向</t>
    </r>
    <phoneticPr fontId="38" type="noConversion"/>
  </si>
  <si>
    <r>
      <rPr>
        <sz val="11"/>
        <color indexed="8"/>
        <rFont val="宋体"/>
        <family val="3"/>
        <charset val="134"/>
      </rPr>
      <t>公共配套设施</t>
    </r>
    <phoneticPr fontId="15" type="noConversion"/>
  </si>
  <si>
    <r>
      <rPr>
        <sz val="11"/>
        <color indexed="8"/>
        <rFont val="宋体"/>
        <family val="3"/>
        <charset val="134"/>
      </rPr>
      <t>基础设施水平</t>
    </r>
    <phoneticPr fontId="15" type="noConversion"/>
  </si>
  <si>
    <r>
      <rPr>
        <sz val="11"/>
        <color indexed="8"/>
        <rFont val="宋体"/>
        <family val="3"/>
        <charset val="134"/>
      </rPr>
      <t>环境质量</t>
    </r>
    <phoneticPr fontId="15" type="noConversion"/>
  </si>
  <si>
    <r>
      <rPr>
        <sz val="11"/>
        <color indexed="8"/>
        <rFont val="宋体"/>
        <family val="3"/>
        <charset val="134"/>
      </rPr>
      <t>临街状况</t>
    </r>
    <phoneticPr fontId="38" type="noConversion"/>
  </si>
  <si>
    <r>
      <rPr>
        <sz val="11"/>
        <color indexed="8"/>
        <rFont val="宋体"/>
        <family val="3"/>
        <charset val="134"/>
      </rPr>
      <t>内部装修维护情况</t>
    </r>
    <phoneticPr fontId="15" type="noConversion"/>
  </si>
  <si>
    <r>
      <rPr>
        <sz val="11"/>
        <color indexed="8"/>
        <rFont val="宋体"/>
        <family val="3"/>
        <charset val="134"/>
      </rPr>
      <t>单价内涵</t>
    </r>
    <phoneticPr fontId="15" type="noConversion"/>
  </si>
  <si>
    <r>
      <rPr>
        <sz val="11"/>
        <color theme="1"/>
        <rFont val="宋体"/>
        <family val="3"/>
        <charset val="134"/>
      </rPr>
      <t>五等判定</t>
    </r>
    <phoneticPr fontId="15" type="noConversion"/>
  </si>
  <si>
    <r>
      <rPr>
        <sz val="11"/>
        <color theme="1"/>
        <rFont val="宋体"/>
        <family val="3"/>
        <charset val="134"/>
      </rPr>
      <t>结构</t>
    </r>
    <phoneticPr fontId="15" type="noConversion"/>
  </si>
  <si>
    <r>
      <rPr>
        <sz val="11"/>
        <color theme="1"/>
        <rFont val="宋体"/>
        <family val="3"/>
        <charset val="134"/>
      </rPr>
      <t>建筑使用方向</t>
    </r>
    <phoneticPr fontId="15" type="noConversion"/>
  </si>
  <si>
    <r>
      <rPr>
        <sz val="11"/>
        <color indexed="8"/>
        <rFont val="宋体"/>
        <family val="3"/>
        <charset val="134"/>
      </rPr>
      <t>成本法</t>
    </r>
    <phoneticPr fontId="5" type="noConversion"/>
  </si>
  <si>
    <r>
      <rPr>
        <sz val="11"/>
        <color theme="1"/>
        <rFont val="宋体"/>
        <family val="3"/>
        <charset val="134"/>
      </rPr>
      <t>一级</t>
    </r>
    <phoneticPr fontId="5" type="noConversion"/>
  </si>
  <si>
    <r>
      <rPr>
        <sz val="11"/>
        <color indexed="8"/>
        <rFont val="宋体"/>
        <family val="3"/>
        <charset val="134"/>
      </rPr>
      <t>是</t>
    </r>
    <phoneticPr fontId="15" type="noConversion"/>
  </si>
  <si>
    <r>
      <rPr>
        <sz val="11"/>
        <color indexed="8"/>
        <rFont val="宋体"/>
        <family val="3"/>
        <charset val="134"/>
      </rPr>
      <t>地上</t>
    </r>
    <phoneticPr fontId="15" type="noConversion"/>
  </si>
  <si>
    <r>
      <rPr>
        <sz val="11"/>
        <color indexed="8"/>
        <rFont val="宋体"/>
        <family val="3"/>
        <charset val="134"/>
      </rPr>
      <t>住宅</t>
    </r>
    <phoneticPr fontId="15" type="noConversion"/>
  </si>
  <si>
    <r>
      <t>60-70</t>
    </r>
    <r>
      <rPr>
        <sz val="11"/>
        <color indexed="8"/>
        <rFont val="宋体"/>
        <family val="3"/>
        <charset val="134"/>
      </rPr>
      <t>（含）</t>
    </r>
    <phoneticPr fontId="15" type="noConversion"/>
  </si>
  <si>
    <r>
      <rPr>
        <sz val="11"/>
        <color indexed="8"/>
        <rFont val="宋体"/>
        <family val="3"/>
        <charset val="134"/>
      </rPr>
      <t>经营性</t>
    </r>
    <phoneticPr fontId="15" type="noConversion"/>
  </si>
  <si>
    <r>
      <rPr>
        <sz val="11"/>
        <color indexed="8"/>
        <rFont val="宋体"/>
        <family val="3"/>
        <charset val="134"/>
      </rPr>
      <t>好</t>
    </r>
  </si>
  <si>
    <r>
      <rPr>
        <sz val="11"/>
        <color theme="1"/>
        <rFont val="宋体"/>
        <family val="3"/>
        <charset val="134"/>
      </rPr>
      <t>七通</t>
    </r>
    <phoneticPr fontId="15" type="noConversion"/>
  </si>
  <si>
    <r>
      <rPr>
        <sz val="11"/>
        <color indexed="8"/>
        <rFont val="宋体"/>
        <family val="3"/>
        <charset val="134"/>
      </rPr>
      <t>多面临街</t>
    </r>
    <phoneticPr fontId="38" type="noConversion"/>
  </si>
  <si>
    <r>
      <rPr>
        <sz val="11"/>
        <color indexed="8"/>
        <rFont val="宋体"/>
        <family val="3"/>
        <charset val="134"/>
      </rPr>
      <t>单位面积地价</t>
    </r>
    <phoneticPr fontId="15" type="noConversion"/>
  </si>
  <si>
    <r>
      <rPr>
        <sz val="11"/>
        <color theme="1"/>
        <rFont val="宋体"/>
        <family val="3"/>
        <charset val="134"/>
      </rPr>
      <t>钢</t>
    </r>
    <phoneticPr fontId="15" type="noConversion"/>
  </si>
  <si>
    <r>
      <rPr>
        <sz val="11"/>
        <color theme="1"/>
        <rFont val="宋体"/>
        <family val="3"/>
        <charset val="134"/>
      </rPr>
      <t>非生产用房</t>
    </r>
    <phoneticPr fontId="15" type="noConversion"/>
  </si>
  <si>
    <r>
      <rPr>
        <sz val="11"/>
        <color indexed="8"/>
        <rFont val="宋体"/>
        <family val="3"/>
        <charset val="134"/>
      </rPr>
      <t>平层住宅</t>
    </r>
    <phoneticPr fontId="15"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</si>
  <si>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5" type="noConversion"/>
  </si>
  <si>
    <r>
      <rPr>
        <sz val="11"/>
        <color theme="1"/>
        <rFont val="宋体"/>
        <family val="3"/>
        <charset val="134"/>
      </rPr>
      <t>二级</t>
    </r>
    <phoneticPr fontId="5" type="noConversion"/>
  </si>
  <si>
    <r>
      <rPr>
        <sz val="11"/>
        <color indexed="8"/>
        <rFont val="宋体"/>
        <family val="3"/>
        <charset val="134"/>
      </rPr>
      <t>否</t>
    </r>
    <phoneticPr fontId="15" type="noConversion"/>
  </si>
  <si>
    <r>
      <rPr>
        <sz val="11"/>
        <color indexed="8"/>
        <rFont val="宋体"/>
        <family val="3"/>
        <charset val="134"/>
      </rPr>
      <t>商业</t>
    </r>
    <phoneticPr fontId="15" type="noConversion"/>
  </si>
  <si>
    <r>
      <t>50-60</t>
    </r>
    <r>
      <rPr>
        <sz val="11"/>
        <color indexed="8"/>
        <rFont val="宋体"/>
        <family val="3"/>
        <charset val="134"/>
      </rPr>
      <t>（含）</t>
    </r>
    <phoneticPr fontId="15" type="noConversion"/>
  </si>
  <si>
    <r>
      <rPr>
        <sz val="11"/>
        <color indexed="8"/>
        <rFont val="宋体"/>
        <family val="3"/>
        <charset val="134"/>
      </rPr>
      <t>非经营性</t>
    </r>
    <phoneticPr fontId="15" type="noConversion"/>
  </si>
  <si>
    <r>
      <rPr>
        <sz val="11"/>
        <color indexed="8"/>
        <rFont val="宋体"/>
        <family val="3"/>
        <charset val="134"/>
      </rPr>
      <t>较好</t>
    </r>
  </si>
  <si>
    <r>
      <rPr>
        <sz val="11"/>
        <color theme="1"/>
        <rFont val="宋体"/>
        <family val="3"/>
        <charset val="134"/>
      </rPr>
      <t>六通</t>
    </r>
    <phoneticPr fontId="15" type="noConversion"/>
  </si>
  <si>
    <r>
      <rPr>
        <sz val="11"/>
        <color indexed="8"/>
        <rFont val="宋体"/>
        <family val="3"/>
        <charset val="134"/>
      </rPr>
      <t>双面临街</t>
    </r>
    <phoneticPr fontId="38" type="noConversion"/>
  </si>
  <si>
    <r>
      <rPr>
        <sz val="11"/>
        <color indexed="8"/>
        <rFont val="宋体"/>
        <family val="3"/>
        <charset val="134"/>
      </rPr>
      <t>楼面地价</t>
    </r>
    <phoneticPr fontId="15" type="noConversion"/>
  </si>
  <si>
    <r>
      <rPr>
        <sz val="11"/>
        <color theme="1"/>
        <rFont val="宋体"/>
        <family val="3"/>
        <charset val="134"/>
      </rPr>
      <t>钢混</t>
    </r>
    <phoneticPr fontId="15" type="noConversion"/>
  </si>
  <si>
    <r>
      <rPr>
        <sz val="11"/>
        <color theme="1"/>
        <rFont val="宋体"/>
        <family val="3"/>
        <charset val="134"/>
      </rPr>
      <t>生产用房</t>
    </r>
    <phoneticPr fontId="15" type="noConversion"/>
  </si>
  <si>
    <r>
      <t>LOFT</t>
    </r>
    <r>
      <rPr>
        <sz val="11"/>
        <color indexed="8"/>
        <rFont val="宋体"/>
        <family val="3"/>
        <charset val="134"/>
      </rPr>
      <t>住宅</t>
    </r>
    <phoneticPr fontId="15"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</si>
  <si>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5" type="noConversion"/>
  </si>
  <si>
    <r>
      <rPr>
        <sz val="11"/>
        <color theme="1"/>
        <rFont val="宋体"/>
        <family val="3"/>
        <charset val="134"/>
      </rPr>
      <t>三级</t>
    </r>
    <phoneticPr fontId="5" type="noConversion"/>
  </si>
  <si>
    <r>
      <rPr>
        <sz val="11"/>
        <color indexed="8"/>
        <rFont val="宋体"/>
        <family val="3"/>
        <charset val="134"/>
      </rPr>
      <t>地下</t>
    </r>
    <phoneticPr fontId="15" type="noConversion"/>
  </si>
  <si>
    <r>
      <rPr>
        <sz val="11"/>
        <color indexed="8"/>
        <rFont val="宋体"/>
        <family val="3"/>
        <charset val="134"/>
      </rPr>
      <t>办公</t>
    </r>
    <phoneticPr fontId="15" type="noConversion"/>
  </si>
  <si>
    <r>
      <t>40-50</t>
    </r>
    <r>
      <rPr>
        <sz val="11"/>
        <color indexed="8"/>
        <rFont val="宋体"/>
        <family val="3"/>
        <charset val="134"/>
      </rPr>
      <t>（含）</t>
    </r>
    <phoneticPr fontId="15" type="noConversion"/>
  </si>
  <si>
    <r>
      <rPr>
        <sz val="11"/>
        <color indexed="8"/>
        <rFont val="宋体"/>
        <family val="3"/>
        <charset val="134"/>
      </rPr>
      <t>一般</t>
    </r>
  </si>
  <si>
    <r>
      <rPr>
        <sz val="11"/>
        <color theme="1"/>
        <rFont val="宋体"/>
        <family val="3"/>
        <charset val="134"/>
      </rPr>
      <t>五通</t>
    </r>
    <phoneticPr fontId="15" type="noConversion"/>
  </si>
  <si>
    <r>
      <rPr>
        <sz val="11"/>
        <color indexed="8"/>
        <rFont val="宋体"/>
        <family val="3"/>
        <charset val="134"/>
      </rPr>
      <t>单面临街</t>
    </r>
    <phoneticPr fontId="38" type="noConversion"/>
  </si>
  <si>
    <r>
      <rPr>
        <sz val="11"/>
        <color theme="1"/>
        <rFont val="宋体"/>
        <family val="3"/>
        <charset val="134"/>
      </rPr>
      <t>砖混</t>
    </r>
    <phoneticPr fontId="15" type="noConversion"/>
  </si>
  <si>
    <r>
      <rPr>
        <sz val="11"/>
        <color theme="1"/>
        <rFont val="宋体"/>
        <family val="3"/>
        <charset val="134"/>
      </rPr>
      <t>受腐蚀的生产用房</t>
    </r>
    <phoneticPr fontId="15" type="noConversion"/>
  </si>
  <si>
    <r>
      <rPr>
        <sz val="11"/>
        <color indexed="8"/>
        <rFont val="宋体"/>
        <family val="3"/>
        <charset val="134"/>
      </rPr>
      <t>普通住宅</t>
    </r>
    <phoneticPr fontId="15" type="noConversion"/>
  </si>
  <si>
    <r>
      <rPr>
        <sz val="11"/>
        <color indexed="8"/>
        <rFont val="宋体"/>
        <family val="3"/>
        <charset val="134"/>
      </rPr>
      <t>假设开发法</t>
    </r>
    <phoneticPr fontId="5" type="noConversion"/>
  </si>
  <si>
    <r>
      <rPr>
        <sz val="11"/>
        <color theme="1"/>
        <rFont val="宋体"/>
        <family val="3"/>
        <charset val="134"/>
      </rPr>
      <t>四级</t>
    </r>
    <phoneticPr fontId="5" type="noConversion"/>
  </si>
  <si>
    <r>
      <rPr>
        <sz val="11"/>
        <color indexed="8"/>
        <rFont val="宋体"/>
        <family val="3"/>
        <charset val="134"/>
      </rPr>
      <t>工业</t>
    </r>
    <phoneticPr fontId="15" type="noConversion"/>
  </si>
  <si>
    <r>
      <rPr>
        <sz val="11"/>
        <color indexed="8"/>
        <rFont val="宋体"/>
        <family val="3"/>
        <charset val="134"/>
      </rPr>
      <t>车库</t>
    </r>
    <phoneticPr fontId="15" type="noConversion"/>
  </si>
  <si>
    <r>
      <t>30-40</t>
    </r>
    <r>
      <rPr>
        <sz val="11"/>
        <color indexed="8"/>
        <rFont val="宋体"/>
        <family val="3"/>
        <charset val="134"/>
      </rPr>
      <t>（含）</t>
    </r>
    <phoneticPr fontId="15" type="noConversion"/>
  </si>
  <si>
    <r>
      <rPr>
        <sz val="11"/>
        <color indexed="8"/>
        <rFont val="宋体"/>
        <family val="3"/>
        <charset val="134"/>
      </rPr>
      <t>较差</t>
    </r>
  </si>
  <si>
    <r>
      <rPr>
        <sz val="11"/>
        <color theme="1"/>
        <rFont val="宋体"/>
        <family val="3"/>
        <charset val="134"/>
      </rPr>
      <t>四通</t>
    </r>
    <phoneticPr fontId="15" type="noConversion"/>
  </si>
  <si>
    <r>
      <rPr>
        <sz val="11"/>
        <color indexed="8"/>
        <rFont val="宋体"/>
        <family val="3"/>
        <charset val="134"/>
      </rPr>
      <t>不临街</t>
    </r>
    <phoneticPr fontId="38" type="noConversion"/>
  </si>
  <si>
    <r>
      <rPr>
        <sz val="11"/>
        <color indexed="8"/>
        <rFont val="宋体"/>
        <family val="3"/>
        <charset val="134"/>
      </rPr>
      <t>公寓</t>
    </r>
    <phoneticPr fontId="15" type="noConversion"/>
  </si>
  <si>
    <r>
      <rPr>
        <sz val="11"/>
        <color indexed="8"/>
        <rFont val="宋体"/>
        <family val="3"/>
        <charset val="134"/>
      </rPr>
      <t>收益法</t>
    </r>
    <phoneticPr fontId="5" type="noConversion"/>
  </si>
  <si>
    <r>
      <rPr>
        <sz val="11"/>
        <color indexed="8"/>
        <rFont val="宋体"/>
        <family val="3"/>
        <charset val="134"/>
      </rPr>
      <t>五级</t>
    </r>
    <phoneticPr fontId="5" type="noConversion"/>
  </si>
  <si>
    <r>
      <rPr>
        <sz val="11"/>
        <color indexed="8"/>
        <rFont val="宋体"/>
        <family val="3"/>
        <charset val="134"/>
      </rPr>
      <t>车库</t>
    </r>
    <phoneticPr fontId="15" type="noConversion"/>
  </si>
  <si>
    <r>
      <rPr>
        <sz val="11"/>
        <color indexed="8"/>
        <rFont val="宋体"/>
        <family val="3"/>
        <charset val="134"/>
      </rPr>
      <t>仓储</t>
    </r>
    <phoneticPr fontId="15" type="noConversion"/>
  </si>
  <si>
    <r>
      <t>20-30</t>
    </r>
    <r>
      <rPr>
        <sz val="11"/>
        <color indexed="8"/>
        <rFont val="宋体"/>
        <family val="3"/>
        <charset val="134"/>
      </rPr>
      <t>（含）</t>
    </r>
    <phoneticPr fontId="15" type="noConversion"/>
  </si>
  <si>
    <r>
      <rPr>
        <sz val="11"/>
        <color indexed="8"/>
        <rFont val="宋体"/>
        <family val="3"/>
        <charset val="134"/>
      </rPr>
      <t>差</t>
    </r>
  </si>
  <si>
    <r>
      <rPr>
        <sz val="11"/>
        <color theme="1"/>
        <rFont val="宋体"/>
        <family val="3"/>
        <charset val="134"/>
      </rPr>
      <t>三通</t>
    </r>
    <phoneticPr fontId="15" type="noConversion"/>
  </si>
  <si>
    <r>
      <rPr>
        <sz val="11"/>
        <color indexed="8"/>
        <rFont val="宋体"/>
        <family val="3"/>
        <charset val="134"/>
      </rPr>
      <t>洋房</t>
    </r>
    <phoneticPr fontId="15"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</si>
  <si>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5" type="noConversion"/>
  </si>
  <si>
    <r>
      <rPr>
        <sz val="11"/>
        <color theme="1"/>
        <rFont val="宋体"/>
        <family val="3"/>
        <charset val="134"/>
      </rPr>
      <t>六级</t>
    </r>
    <phoneticPr fontId="5"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</si>
  <si>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5" type="noConversion"/>
  </si>
  <si>
    <r>
      <rPr>
        <sz val="11"/>
        <color indexed="8"/>
        <rFont val="宋体"/>
        <family val="3"/>
        <charset val="134"/>
      </rPr>
      <t>工业</t>
    </r>
    <phoneticPr fontId="15" type="noConversion"/>
  </si>
  <si>
    <r>
      <t>10-20</t>
    </r>
    <r>
      <rPr>
        <sz val="11"/>
        <color indexed="8"/>
        <rFont val="宋体"/>
        <family val="3"/>
        <charset val="134"/>
      </rPr>
      <t>（含）</t>
    </r>
    <phoneticPr fontId="15" type="noConversion"/>
  </si>
  <si>
    <r>
      <rPr>
        <sz val="11"/>
        <color indexed="8"/>
        <rFont val="宋体"/>
        <family val="3"/>
        <charset val="134"/>
      </rPr>
      <t>叠拼</t>
    </r>
    <phoneticPr fontId="15" type="noConversion"/>
  </si>
  <si>
    <r>
      <rPr>
        <sz val="11"/>
        <color indexed="8"/>
        <rFont val="宋体"/>
        <family val="3"/>
        <charset val="134"/>
      </rPr>
      <t>收益法（汇总）</t>
    </r>
    <phoneticPr fontId="5" type="noConversion"/>
  </si>
  <si>
    <r>
      <rPr>
        <sz val="11"/>
        <color theme="1"/>
        <rFont val="宋体"/>
        <family val="3"/>
        <charset val="134"/>
      </rPr>
      <t>七级</t>
    </r>
    <phoneticPr fontId="5"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</si>
  <si>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5" type="noConversion"/>
  </si>
  <si>
    <r>
      <rPr>
        <sz val="11"/>
        <color indexed="8"/>
        <rFont val="宋体"/>
        <family val="3"/>
        <charset val="134"/>
      </rPr>
      <t>公共配套</t>
    </r>
    <phoneticPr fontId="15" type="noConversion"/>
  </si>
  <si>
    <r>
      <t>0-10</t>
    </r>
    <r>
      <rPr>
        <sz val="11"/>
        <color indexed="8"/>
        <rFont val="宋体"/>
        <family val="3"/>
        <charset val="134"/>
      </rPr>
      <t>（含）</t>
    </r>
    <phoneticPr fontId="15" type="noConversion"/>
  </si>
  <si>
    <r>
      <rPr>
        <sz val="11"/>
        <color indexed="8"/>
        <rFont val="宋体"/>
        <family val="3"/>
        <charset val="134"/>
      </rPr>
      <t>联排</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</si>
  <si>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5" type="noConversion"/>
  </si>
  <si>
    <r>
      <rPr>
        <sz val="11"/>
        <color theme="1"/>
        <rFont val="宋体"/>
        <family val="3"/>
        <charset val="134"/>
      </rPr>
      <t>八级</t>
    </r>
    <phoneticPr fontId="5" type="noConversion"/>
  </si>
  <si>
    <r>
      <rPr>
        <sz val="11"/>
        <color indexed="8"/>
        <rFont val="宋体"/>
        <family val="3"/>
        <charset val="134"/>
      </rPr>
      <t>仓储</t>
    </r>
    <phoneticPr fontId="15" type="noConversion"/>
  </si>
  <si>
    <r>
      <rPr>
        <sz val="11"/>
        <color indexed="8"/>
        <rFont val="宋体"/>
        <family val="3"/>
        <charset val="134"/>
      </rPr>
      <t>设备及其他</t>
    </r>
    <phoneticPr fontId="15" type="noConversion"/>
  </si>
  <si>
    <r>
      <rPr>
        <sz val="11"/>
        <color indexed="8"/>
        <rFont val="宋体"/>
        <family val="3"/>
        <charset val="134"/>
      </rPr>
      <t>双拼</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</si>
  <si>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5" type="noConversion"/>
  </si>
  <si>
    <r>
      <rPr>
        <sz val="11"/>
        <color theme="1"/>
        <rFont val="宋体"/>
        <family val="3"/>
        <charset val="134"/>
      </rPr>
      <t>九级</t>
    </r>
    <phoneticPr fontId="5" type="noConversion"/>
  </si>
  <si>
    <r>
      <rPr>
        <sz val="11"/>
        <color indexed="8"/>
        <rFont val="宋体"/>
        <family val="3"/>
        <charset val="134"/>
      </rPr>
      <t>独栋</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</si>
  <si>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5" type="noConversion"/>
  </si>
  <si>
    <r>
      <rPr>
        <sz val="11"/>
        <color theme="1"/>
        <rFont val="宋体"/>
        <family val="3"/>
        <charset val="134"/>
      </rPr>
      <t>十级</t>
    </r>
    <phoneticPr fontId="5" type="noConversion"/>
  </si>
  <si>
    <r>
      <rPr>
        <sz val="11"/>
        <color indexed="8"/>
        <rFont val="宋体"/>
        <family val="3"/>
        <charset val="134"/>
      </rPr>
      <t>底商</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</si>
  <si>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5" type="noConversion"/>
  </si>
  <si>
    <r>
      <rPr>
        <sz val="11"/>
        <color theme="1"/>
        <rFont val="宋体"/>
        <family val="3"/>
        <charset val="134"/>
      </rPr>
      <t>十一级</t>
    </r>
    <phoneticPr fontId="5" type="noConversion"/>
  </si>
  <si>
    <r>
      <rPr>
        <sz val="11"/>
        <color indexed="8"/>
        <rFont val="宋体"/>
        <family val="3"/>
        <charset val="134"/>
      </rPr>
      <t>独立商业</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</si>
  <si>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5" type="noConversion"/>
  </si>
  <si>
    <r>
      <rPr>
        <sz val="11"/>
        <color theme="1"/>
        <rFont val="宋体"/>
        <family val="3"/>
        <charset val="134"/>
      </rPr>
      <t>十二级</t>
    </r>
    <phoneticPr fontId="5" type="noConversion"/>
  </si>
  <si>
    <r>
      <rPr>
        <sz val="11"/>
        <color indexed="8"/>
        <rFont val="宋体"/>
        <family val="3"/>
        <charset val="134"/>
      </rPr>
      <t>商业街</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</si>
  <si>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5" type="noConversion"/>
  </si>
  <si>
    <r>
      <rPr>
        <sz val="11"/>
        <color indexed="8"/>
        <rFont val="宋体"/>
        <family val="3"/>
        <charset val="134"/>
      </rPr>
      <t>酒店</t>
    </r>
    <phoneticPr fontId="15"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</si>
  <si>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5" type="noConversion"/>
  </si>
  <si>
    <r>
      <rPr>
        <sz val="11"/>
        <color indexed="8"/>
        <rFont val="宋体"/>
        <family val="3"/>
        <charset val="134"/>
      </rPr>
      <t>标准厂房</t>
    </r>
    <phoneticPr fontId="15"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</si>
  <si>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5" type="noConversion"/>
  </si>
  <si>
    <r>
      <rPr>
        <sz val="11"/>
        <color indexed="8"/>
        <rFont val="宋体"/>
        <family val="3"/>
        <charset val="134"/>
      </rPr>
      <t>特殊厂房</t>
    </r>
    <phoneticPr fontId="15" type="noConversion"/>
  </si>
  <si>
    <r>
      <rPr>
        <sz val="11"/>
        <color theme="1"/>
        <rFont val="宋体"/>
        <family val="3"/>
        <charset val="134"/>
      </rPr>
      <t>基准地价修正</t>
    </r>
    <phoneticPr fontId="5" type="noConversion"/>
  </si>
  <si>
    <r>
      <rPr>
        <sz val="11"/>
        <color indexed="8"/>
        <rFont val="宋体"/>
        <family val="3"/>
        <charset val="134"/>
      </rPr>
      <t>办公楼</t>
    </r>
    <phoneticPr fontId="15" type="noConversion"/>
  </si>
  <si>
    <r>
      <rPr>
        <sz val="11"/>
        <color theme="1"/>
        <rFont val="宋体"/>
        <family val="3"/>
        <charset val="134"/>
      </rPr>
      <t>典型户型修正</t>
    </r>
    <phoneticPr fontId="15" type="noConversion"/>
  </si>
  <si>
    <r>
      <rPr>
        <sz val="11"/>
        <color indexed="8"/>
        <rFont val="宋体"/>
        <family val="3"/>
        <charset val="134"/>
      </rPr>
      <t>宿舍</t>
    </r>
    <phoneticPr fontId="15"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</si>
  <si>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5" type="noConversion"/>
  </si>
  <si>
    <r>
      <rPr>
        <sz val="11"/>
        <color indexed="8"/>
        <rFont val="宋体"/>
        <family val="3"/>
        <charset val="134"/>
      </rPr>
      <t>食堂</t>
    </r>
    <phoneticPr fontId="15" type="noConversion"/>
  </si>
  <si>
    <r>
      <rPr>
        <sz val="11"/>
        <color indexed="8"/>
        <rFont val="宋体"/>
        <family val="3"/>
        <charset val="134"/>
      </rPr>
      <t>车库</t>
    </r>
    <phoneticPr fontId="15" type="noConversion"/>
  </si>
  <si>
    <r>
      <rPr>
        <sz val="11"/>
        <color indexed="8"/>
        <rFont val="宋体"/>
        <family val="3"/>
        <charset val="134"/>
      </rPr>
      <t>戊类库房</t>
    </r>
    <phoneticPr fontId="15" type="noConversion"/>
  </si>
  <si>
    <r>
      <rPr>
        <sz val="11"/>
        <color indexed="8"/>
        <rFont val="宋体"/>
        <family val="3"/>
        <charset val="134"/>
      </rPr>
      <t>燃品库房</t>
    </r>
    <phoneticPr fontId="15" type="noConversion"/>
  </si>
  <si>
    <r>
      <rPr>
        <sz val="11"/>
        <color indexed="8"/>
        <rFont val="宋体"/>
        <family val="3"/>
        <charset val="134"/>
      </rPr>
      <t>非燃品库房</t>
    </r>
    <phoneticPr fontId="15" type="noConversion"/>
  </si>
  <si>
    <r>
      <rPr>
        <sz val="11"/>
        <color indexed="8"/>
        <rFont val="宋体"/>
        <family val="3"/>
        <charset val="134"/>
      </rPr>
      <t>限价商品房</t>
    </r>
    <phoneticPr fontId="36" type="noConversion"/>
  </si>
  <si>
    <r>
      <rPr>
        <sz val="11"/>
        <color indexed="8"/>
        <rFont val="宋体"/>
        <family val="3"/>
        <charset val="134"/>
      </rPr>
      <t>自住商品房</t>
    </r>
    <phoneticPr fontId="36" type="noConversion"/>
  </si>
  <si>
    <r>
      <rPr>
        <sz val="11"/>
        <color theme="1"/>
        <rFont val="宋体"/>
        <family val="3"/>
        <charset val="134"/>
      </rPr>
      <t>估价目的</t>
    </r>
    <phoneticPr fontId="15" type="noConversion"/>
  </si>
  <si>
    <r>
      <rPr>
        <sz val="11"/>
        <color theme="1"/>
        <rFont val="宋体"/>
        <family val="3"/>
        <charset val="134"/>
      </rPr>
      <t>为估价委托人了解估价对象房地产市场价值提供参考依据。</t>
    </r>
    <phoneticPr fontId="5" type="noConversion"/>
  </si>
  <si>
    <r>
      <rPr>
        <sz val="11"/>
        <color theme="1"/>
        <rFont val="宋体"/>
        <family val="3"/>
        <charset val="134"/>
      </rPr>
      <t>优先受偿</t>
    </r>
    <phoneticPr fontId="15" type="noConversion"/>
  </si>
  <si>
    <r>
      <rPr>
        <sz val="11"/>
        <color theme="1"/>
        <rFont val="宋体"/>
        <family val="3"/>
        <charset val="134"/>
      </rPr>
      <t>抵押</t>
    </r>
    <phoneticPr fontId="15" type="noConversion"/>
  </si>
  <si>
    <r>
      <t>2.</t>
    </r>
    <r>
      <rPr>
        <sz val="11"/>
        <color theme="1"/>
        <rFont val="宋体"/>
        <family val="3"/>
        <charset val="134"/>
      </rPr>
      <t>估价师所知悉的法定优先受偿款</t>
    </r>
    <phoneticPr fontId="15" type="noConversion"/>
  </si>
  <si>
    <r>
      <t>2.</t>
    </r>
    <r>
      <rPr>
        <sz val="11"/>
        <color theme="1"/>
        <rFont val="宋体"/>
        <family val="3"/>
        <charset val="134"/>
      </rPr>
      <t>估价师所知悉的除抵押担保权以外的法定优先受偿款</t>
    </r>
    <phoneticPr fontId="15" type="noConversion"/>
  </si>
  <si>
    <r>
      <rPr>
        <sz val="11"/>
        <color theme="1"/>
        <rFont val="宋体"/>
        <family val="3"/>
        <charset val="134"/>
      </rPr>
      <t>价值类型及定义</t>
    </r>
    <phoneticPr fontId="15" type="noConversion"/>
  </si>
  <si>
    <r>
      <rPr>
        <sz val="11"/>
        <color theme="1"/>
        <rFont val="宋体"/>
        <family val="3"/>
        <charset val="134"/>
      </rPr>
      <t>房地产价值</t>
    </r>
    <phoneticPr fontId="84" type="noConversion"/>
  </si>
  <si>
    <r>
      <rPr>
        <sz val="11"/>
        <color theme="1"/>
        <rFont val="宋体"/>
        <family val="3"/>
        <charset val="134"/>
      </rPr>
      <t>房地产抵押价值</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</si>
  <si>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5" type="noConversion"/>
  </si>
  <si>
    <r>
      <rPr>
        <sz val="11"/>
        <color theme="1"/>
        <rFont val="宋体"/>
        <family val="3"/>
        <charset val="134"/>
      </rPr>
      <t>已注销</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</si>
  <si>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5" type="noConversion"/>
  </si>
  <si>
    <r>
      <rPr>
        <sz val="11"/>
        <color theme="1"/>
        <rFont val="宋体"/>
        <family val="3"/>
        <charset val="134"/>
      </rPr>
      <t>已注销及未注销</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</si>
  <si>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5" type="noConversion"/>
  </si>
  <si>
    <r>
      <rPr>
        <sz val="11"/>
        <color theme="1"/>
        <rFont val="宋体"/>
        <family val="3"/>
        <charset val="134"/>
      </rPr>
      <t>抵押净值</t>
    </r>
    <phoneticPr fontId="15"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</si>
  <si>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5" type="noConversion"/>
  </si>
  <si>
    <r>
      <rPr>
        <b/>
        <sz val="10"/>
        <color indexed="8"/>
        <rFont val="宋体"/>
        <family val="3"/>
        <charset val="134"/>
      </rPr>
      <t>估价对象名称</t>
    </r>
    <phoneticPr fontId="8" type="noConversion"/>
  </si>
  <si>
    <r>
      <rPr>
        <b/>
        <sz val="10"/>
        <color indexed="8"/>
        <rFont val="宋体"/>
        <family val="3"/>
        <charset val="134"/>
      </rPr>
      <t>报告编号</t>
    </r>
    <phoneticPr fontId="5" type="noConversion"/>
  </si>
  <si>
    <r>
      <rPr>
        <sz val="10"/>
        <color indexed="8"/>
        <rFont val="宋体"/>
        <family val="3"/>
        <charset val="134"/>
      </rPr>
      <t>现场勘查日</t>
    </r>
    <phoneticPr fontId="8" type="noConversion"/>
  </si>
  <si>
    <r>
      <rPr>
        <sz val="10"/>
        <color indexed="8"/>
        <rFont val="宋体"/>
        <family val="3"/>
        <charset val="134"/>
      </rPr>
      <t>价值时点</t>
    </r>
    <phoneticPr fontId="8" type="noConversion"/>
  </si>
  <si>
    <r>
      <rPr>
        <sz val="10"/>
        <color indexed="8"/>
        <rFont val="宋体"/>
        <family val="3"/>
        <charset val="134"/>
      </rPr>
      <t>签字估价师</t>
    </r>
    <phoneticPr fontId="8" type="noConversion"/>
  </si>
  <si>
    <r>
      <rPr>
        <sz val="10"/>
        <color indexed="8"/>
        <rFont val="宋体"/>
        <family val="3"/>
        <charset val="134"/>
      </rPr>
      <t>估价委托人（借款方）</t>
    </r>
    <phoneticPr fontId="8" type="noConversion"/>
  </si>
  <si>
    <r>
      <rPr>
        <sz val="10"/>
        <color indexed="8"/>
        <rFont val="宋体"/>
        <family val="3"/>
        <charset val="134"/>
      </rPr>
      <t>估价目的</t>
    </r>
    <phoneticPr fontId="8" type="noConversion"/>
  </si>
  <si>
    <r>
      <rPr>
        <sz val="10"/>
        <color indexed="8"/>
        <rFont val="宋体"/>
        <family val="3"/>
        <charset val="134"/>
      </rPr>
      <t>金融机构（贷款方）</t>
    </r>
    <phoneticPr fontId="8" type="noConversion"/>
  </si>
  <si>
    <r>
      <rPr>
        <sz val="10"/>
        <color indexed="8"/>
        <rFont val="宋体"/>
        <family val="3"/>
        <charset val="134"/>
      </rPr>
      <t>价值类型</t>
    </r>
    <phoneticPr fontId="8" type="noConversion"/>
  </si>
  <si>
    <r>
      <rPr>
        <sz val="10"/>
        <color indexed="8"/>
        <rFont val="宋体"/>
        <family val="3"/>
        <charset val="134"/>
      </rPr>
      <t>抵押结果包含：</t>
    </r>
    <phoneticPr fontId="8" type="noConversion"/>
  </si>
  <si>
    <r>
      <rPr>
        <sz val="10"/>
        <color indexed="8"/>
        <rFont val="宋体"/>
        <family val="3"/>
        <charset val="134"/>
      </rPr>
      <t>项目所在城市</t>
    </r>
    <phoneticPr fontId="8"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</si>
  <si>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8" type="noConversion"/>
  </si>
  <si>
    <r>
      <rPr>
        <sz val="10"/>
        <color indexed="8"/>
        <rFont val="宋体"/>
        <family val="3"/>
        <charset val="134"/>
      </rPr>
      <t>不动产权利人</t>
    </r>
    <phoneticPr fontId="8" type="noConversion"/>
  </si>
  <si>
    <r>
      <rPr>
        <sz val="10"/>
        <color indexed="8"/>
        <rFont val="宋体"/>
        <family val="3"/>
        <charset val="134"/>
      </rPr>
      <t>估价对象现状</t>
    </r>
    <phoneticPr fontId="8" type="noConversion"/>
  </si>
  <si>
    <r>
      <rPr>
        <sz val="10"/>
        <color indexed="8"/>
        <rFont val="宋体"/>
        <family val="3"/>
        <charset val="134"/>
      </rPr>
      <t>门牌号</t>
    </r>
    <phoneticPr fontId="8" type="noConversion"/>
  </si>
  <si>
    <r>
      <rPr>
        <sz val="10"/>
        <color indexed="8"/>
        <rFont val="宋体"/>
        <family val="3"/>
        <charset val="134"/>
      </rPr>
      <t>城市</t>
    </r>
    <phoneticPr fontId="8" type="noConversion"/>
  </si>
  <si>
    <r>
      <rPr>
        <sz val="10"/>
        <color indexed="8"/>
        <rFont val="宋体"/>
        <family val="3"/>
        <charset val="134"/>
      </rPr>
      <t>北京市</t>
    </r>
    <phoneticPr fontId="8" type="noConversion"/>
  </si>
  <si>
    <r>
      <rPr>
        <sz val="10"/>
        <color indexed="8"/>
        <rFont val="宋体"/>
        <family val="3"/>
        <charset val="134"/>
      </rPr>
      <t>现状用途</t>
    </r>
    <phoneticPr fontId="5" type="noConversion"/>
  </si>
  <si>
    <r>
      <rPr>
        <sz val="10"/>
        <color indexed="8"/>
        <rFont val="宋体"/>
        <family val="3"/>
        <charset val="134"/>
      </rPr>
      <t>土地级别</t>
    </r>
    <phoneticPr fontId="8" type="noConversion"/>
  </si>
  <si>
    <r>
      <rPr>
        <sz val="10"/>
        <color indexed="8"/>
        <rFont val="宋体"/>
        <family val="3"/>
        <charset val="134"/>
      </rPr>
      <t>格局户型</t>
    </r>
    <phoneticPr fontId="8" type="noConversion"/>
  </si>
  <si>
    <r>
      <rPr>
        <sz val="10"/>
        <color indexed="8"/>
        <rFont val="宋体"/>
        <family val="3"/>
        <charset val="134"/>
      </rPr>
      <t>区片编号</t>
    </r>
    <phoneticPr fontId="8" type="noConversion"/>
  </si>
  <si>
    <r>
      <rPr>
        <sz val="10"/>
        <color indexed="8"/>
        <rFont val="宋体"/>
        <family val="3"/>
        <charset val="134"/>
      </rPr>
      <t>维护状况</t>
    </r>
    <phoneticPr fontId="8" type="noConversion"/>
  </si>
  <si>
    <r>
      <rPr>
        <sz val="10"/>
        <color indexed="8"/>
        <rFont val="宋体"/>
        <family val="3"/>
        <charset val="134"/>
      </rPr>
      <t>建筑面积</t>
    </r>
    <phoneticPr fontId="8" type="noConversion"/>
  </si>
  <si>
    <r>
      <rPr>
        <sz val="10"/>
        <color indexed="8"/>
        <rFont val="宋体"/>
        <family val="3"/>
        <charset val="134"/>
      </rPr>
      <t>面积依据</t>
    </r>
    <phoneticPr fontId="8" type="noConversion"/>
  </si>
  <si>
    <r>
      <rPr>
        <sz val="10"/>
        <color indexed="8"/>
        <rFont val="宋体"/>
        <family val="3"/>
        <charset val="134"/>
      </rPr>
      <t>土地面积</t>
    </r>
    <phoneticPr fontId="8" type="noConversion"/>
  </si>
  <si>
    <r>
      <rPr>
        <sz val="10"/>
        <color indexed="8"/>
        <rFont val="宋体"/>
        <family val="3"/>
        <charset val="134"/>
      </rPr>
      <t>面积依据</t>
    </r>
    <phoneticPr fontId="8" type="noConversion"/>
  </si>
  <si>
    <r>
      <rPr>
        <sz val="10"/>
        <color indexed="8"/>
        <rFont val="宋体"/>
        <family val="3"/>
        <charset val="134"/>
      </rPr>
      <t>抵押情况描述</t>
    </r>
    <phoneticPr fontId="8" type="noConversion"/>
  </si>
  <si>
    <r>
      <rPr>
        <sz val="10"/>
        <color indexed="8"/>
        <rFont val="宋体"/>
        <family val="3"/>
        <charset val="134"/>
      </rPr>
      <t>容积率</t>
    </r>
    <phoneticPr fontId="8" type="noConversion"/>
  </si>
  <si>
    <r>
      <rPr>
        <sz val="10"/>
        <color indexed="8"/>
        <rFont val="宋体"/>
        <family val="3"/>
        <charset val="134"/>
      </rPr>
      <t>权利状况（抵押）</t>
    </r>
    <phoneticPr fontId="8" type="noConversion"/>
  </si>
  <si>
    <r>
      <rPr>
        <sz val="10"/>
        <color indexed="8"/>
        <rFont val="宋体"/>
        <family val="3"/>
        <charset val="134"/>
      </rPr>
      <t>是否抵押</t>
    </r>
    <phoneticPr fontId="8" type="noConversion"/>
  </si>
  <si>
    <r>
      <rPr>
        <sz val="10"/>
        <color indexed="8"/>
        <rFont val="宋体"/>
        <family val="3"/>
        <charset val="134"/>
      </rPr>
      <t>权属证件是否登记权利价值</t>
    </r>
    <phoneticPr fontId="8" type="noConversion"/>
  </si>
  <si>
    <r>
      <rPr>
        <sz val="10"/>
        <color indexed="8"/>
        <rFont val="宋体"/>
        <family val="3"/>
        <charset val="134"/>
      </rPr>
      <t>依据</t>
    </r>
    <phoneticPr fontId="8" type="noConversion"/>
  </si>
  <si>
    <r>
      <rPr>
        <sz val="10"/>
        <color indexed="8"/>
        <rFont val="宋体"/>
        <family val="3"/>
        <charset val="134"/>
      </rPr>
      <t>权属文件</t>
    </r>
    <phoneticPr fontId="8" type="noConversion"/>
  </si>
  <si>
    <r>
      <rPr>
        <sz val="10"/>
        <color indexed="8"/>
        <rFont val="宋体"/>
        <family val="3"/>
        <charset val="134"/>
      </rPr>
      <t>他项权证</t>
    </r>
    <phoneticPr fontId="8" type="noConversion"/>
  </si>
  <si>
    <r>
      <rPr>
        <sz val="10"/>
        <color indexed="8"/>
        <rFont val="宋体"/>
        <family val="3"/>
        <charset val="134"/>
      </rPr>
      <t>其他资料</t>
    </r>
    <phoneticPr fontId="8" type="noConversion"/>
  </si>
  <si>
    <r>
      <rPr>
        <sz val="10"/>
        <color indexed="8"/>
        <rFont val="宋体"/>
        <family val="3"/>
        <charset val="134"/>
      </rPr>
      <t>《房屋他项权利证书》</t>
    </r>
    <phoneticPr fontId="8" type="noConversion"/>
  </si>
  <si>
    <r>
      <rPr>
        <sz val="10"/>
        <color indexed="8"/>
        <rFont val="宋体"/>
        <family val="3"/>
        <charset val="134"/>
      </rPr>
      <t>抵押信息</t>
    </r>
    <phoneticPr fontId="8" type="noConversion"/>
  </si>
  <si>
    <r>
      <rPr>
        <sz val="10"/>
        <color indexed="8"/>
        <rFont val="宋体"/>
        <family val="3"/>
        <charset val="134"/>
      </rPr>
      <t>设定日期</t>
    </r>
    <phoneticPr fontId="8" type="noConversion"/>
  </si>
  <si>
    <r>
      <rPr>
        <sz val="10"/>
        <color indexed="8"/>
        <rFont val="宋体"/>
        <family val="3"/>
        <charset val="134"/>
      </rPr>
      <t>权利人</t>
    </r>
    <phoneticPr fontId="8" type="noConversion"/>
  </si>
  <si>
    <r>
      <rPr>
        <sz val="10"/>
        <color indexed="8"/>
        <rFont val="宋体"/>
        <family val="3"/>
        <charset val="134"/>
      </rPr>
      <t>权利范围</t>
    </r>
    <phoneticPr fontId="8" type="noConversion"/>
  </si>
  <si>
    <r>
      <rPr>
        <sz val="10"/>
        <color indexed="8"/>
        <rFont val="宋体"/>
        <family val="3"/>
        <charset val="134"/>
      </rPr>
      <t>权利价值</t>
    </r>
    <phoneticPr fontId="8" type="noConversion"/>
  </si>
  <si>
    <r>
      <rPr>
        <sz val="10"/>
        <color indexed="8"/>
        <rFont val="宋体"/>
        <family val="3"/>
        <charset val="134"/>
      </rPr>
      <t>权利价值</t>
    </r>
    <phoneticPr fontId="8" type="noConversion"/>
  </si>
  <si>
    <r>
      <rPr>
        <b/>
        <sz val="10"/>
        <color indexed="8"/>
        <rFont val="宋体"/>
        <family val="3"/>
        <charset val="134"/>
      </rPr>
      <t>权属登记状况</t>
    </r>
    <phoneticPr fontId="8" type="noConversion"/>
  </si>
  <si>
    <r>
      <rPr>
        <b/>
        <sz val="10"/>
        <color indexed="8"/>
        <rFont val="宋体"/>
        <family val="3"/>
        <charset val="134"/>
      </rPr>
      <t>房屋所有权证</t>
    </r>
    <phoneticPr fontId="8" type="noConversion"/>
  </si>
  <si>
    <r>
      <rPr>
        <b/>
        <sz val="10"/>
        <color indexed="8"/>
        <rFont val="宋体"/>
        <family val="3"/>
        <charset val="134"/>
      </rPr>
      <t>不动产权证书</t>
    </r>
    <phoneticPr fontId="8" type="noConversion"/>
  </si>
  <si>
    <r>
      <rPr>
        <b/>
        <sz val="10"/>
        <color indexed="8"/>
        <rFont val="宋体"/>
        <family val="3"/>
        <charset val="134"/>
      </rPr>
      <t>国有土地使用证</t>
    </r>
    <phoneticPr fontId="8" type="noConversion"/>
  </si>
  <si>
    <r>
      <rPr>
        <sz val="10"/>
        <color indexed="8"/>
        <rFont val="宋体"/>
        <family val="3"/>
        <charset val="134"/>
      </rPr>
      <t>证号</t>
    </r>
    <phoneticPr fontId="8" type="noConversion"/>
  </si>
  <si>
    <r>
      <rPr>
        <sz val="10"/>
        <color indexed="8"/>
        <rFont val="宋体"/>
        <family val="3"/>
        <charset val="134"/>
      </rPr>
      <t>房屋坐落</t>
    </r>
    <phoneticPr fontId="8" type="noConversion"/>
  </si>
  <si>
    <r>
      <rPr>
        <sz val="10"/>
        <color indexed="8"/>
        <rFont val="宋体"/>
        <family val="3"/>
        <charset val="134"/>
      </rPr>
      <t>坐落</t>
    </r>
    <phoneticPr fontId="8" type="noConversion"/>
  </si>
  <si>
    <r>
      <rPr>
        <sz val="10"/>
        <color indexed="8"/>
        <rFont val="宋体"/>
        <family val="3"/>
        <charset val="134"/>
      </rPr>
      <t>共有情况</t>
    </r>
    <phoneticPr fontId="8" type="noConversion"/>
  </si>
  <si>
    <r>
      <rPr>
        <sz val="10"/>
        <color indexed="8"/>
        <rFont val="宋体"/>
        <family val="3"/>
        <charset val="134"/>
      </rPr>
      <t>地号</t>
    </r>
    <phoneticPr fontId="8" type="noConversion"/>
  </si>
  <si>
    <r>
      <rPr>
        <sz val="10"/>
        <color indexed="8"/>
        <rFont val="宋体"/>
        <family val="3"/>
        <charset val="134"/>
      </rPr>
      <t>产别</t>
    </r>
    <phoneticPr fontId="8" type="noConversion"/>
  </si>
  <si>
    <r>
      <rPr>
        <sz val="10"/>
        <color indexed="8"/>
        <rFont val="宋体"/>
        <family val="3"/>
        <charset val="134"/>
      </rPr>
      <t>不动产单元号</t>
    </r>
    <phoneticPr fontId="8" type="noConversion"/>
  </si>
  <si>
    <r>
      <rPr>
        <sz val="10"/>
        <color indexed="8"/>
        <rFont val="宋体"/>
        <family val="3"/>
        <charset val="134"/>
      </rPr>
      <t>图号</t>
    </r>
    <phoneticPr fontId="8" type="noConversion"/>
  </si>
  <si>
    <r>
      <rPr>
        <sz val="10"/>
        <color indexed="8"/>
        <rFont val="宋体"/>
        <family val="3"/>
        <charset val="134"/>
      </rPr>
      <t>登记时间</t>
    </r>
    <phoneticPr fontId="8" type="noConversion"/>
  </si>
  <si>
    <r>
      <rPr>
        <sz val="10"/>
        <color indexed="8"/>
        <rFont val="宋体"/>
        <family val="3"/>
        <charset val="134"/>
      </rPr>
      <t>所在行政区划</t>
    </r>
    <phoneticPr fontId="8" type="noConversion"/>
  </si>
  <si>
    <r>
      <rPr>
        <sz val="10"/>
        <color indexed="8"/>
        <rFont val="宋体"/>
        <family val="3"/>
        <charset val="134"/>
      </rPr>
      <t>地类（用途）</t>
    </r>
    <phoneticPr fontId="8" type="noConversion"/>
  </si>
  <si>
    <r>
      <rPr>
        <sz val="10"/>
        <color indexed="8"/>
        <rFont val="宋体"/>
        <family val="3"/>
        <charset val="134"/>
      </rPr>
      <t>房屋性质</t>
    </r>
    <phoneticPr fontId="8" type="noConversion"/>
  </si>
  <si>
    <r>
      <rPr>
        <sz val="10"/>
        <color indexed="8"/>
        <rFont val="宋体"/>
        <family val="3"/>
        <charset val="134"/>
      </rPr>
      <t>地籍区和地籍子区</t>
    </r>
    <phoneticPr fontId="8" type="noConversion"/>
  </si>
  <si>
    <r>
      <rPr>
        <sz val="10"/>
        <color indexed="8"/>
        <rFont val="宋体"/>
        <family val="3"/>
        <charset val="134"/>
      </rPr>
      <t>取得价格</t>
    </r>
    <phoneticPr fontId="8"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</si>
  <si>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8" type="noConversion"/>
  </si>
  <si>
    <r>
      <rPr>
        <sz val="10"/>
        <color indexed="8"/>
        <rFont val="宋体"/>
        <family val="3"/>
        <charset val="134"/>
      </rPr>
      <t>宗地号</t>
    </r>
    <phoneticPr fontId="8" type="noConversion"/>
  </si>
  <si>
    <r>
      <rPr>
        <sz val="10"/>
        <color indexed="8"/>
        <rFont val="宋体"/>
        <family val="3"/>
        <charset val="134"/>
      </rPr>
      <t>使用权类型</t>
    </r>
    <phoneticPr fontId="8" type="noConversion"/>
  </si>
  <si>
    <r>
      <rPr>
        <sz val="10"/>
        <color indexed="8"/>
        <rFont val="宋体"/>
        <family val="3"/>
        <charset val="134"/>
      </rPr>
      <t>房屋用途</t>
    </r>
    <phoneticPr fontId="8" type="noConversion"/>
  </si>
  <si>
    <r>
      <rPr>
        <sz val="10"/>
        <color indexed="8"/>
        <rFont val="宋体"/>
        <family val="3"/>
        <charset val="134"/>
      </rPr>
      <t>定作物编码</t>
    </r>
    <phoneticPr fontId="8" type="noConversion"/>
  </si>
  <si>
    <r>
      <rPr>
        <sz val="10"/>
        <color indexed="8"/>
        <rFont val="宋体"/>
        <family val="3"/>
        <charset val="134"/>
      </rPr>
      <t>终止日期</t>
    </r>
    <phoneticPr fontId="8" type="noConversion"/>
  </si>
  <si>
    <r>
      <rPr>
        <sz val="10"/>
        <color indexed="8"/>
        <rFont val="宋体"/>
        <family val="3"/>
        <charset val="134"/>
      </rPr>
      <t>权利类型</t>
    </r>
    <phoneticPr fontId="8" type="noConversion"/>
  </si>
  <si>
    <r>
      <rPr>
        <sz val="10"/>
        <color indexed="8"/>
        <rFont val="宋体"/>
        <family val="3"/>
        <charset val="134"/>
      </rPr>
      <t>使用权面积</t>
    </r>
    <phoneticPr fontId="8" type="noConversion"/>
  </si>
  <si>
    <r>
      <rPr>
        <sz val="10"/>
        <color indexed="8"/>
        <rFont val="宋体"/>
        <family val="3"/>
        <charset val="134"/>
      </rPr>
      <t>套内建筑面积（含阳台）</t>
    </r>
    <phoneticPr fontId="8" type="noConversion"/>
  </si>
  <si>
    <r>
      <rPr>
        <sz val="10"/>
        <color indexed="8"/>
        <rFont val="宋体"/>
        <family val="3"/>
        <charset val="134"/>
      </rPr>
      <t>权利性质</t>
    </r>
    <phoneticPr fontId="8" type="noConversion"/>
  </si>
  <si>
    <r>
      <rPr>
        <sz val="10"/>
        <color indexed="8"/>
        <rFont val="宋体"/>
        <family val="3"/>
        <charset val="134"/>
      </rPr>
      <t>独用面积</t>
    </r>
    <phoneticPr fontId="8" type="noConversion"/>
  </si>
  <si>
    <r>
      <rPr>
        <sz val="10"/>
        <color indexed="8"/>
        <rFont val="宋体"/>
        <family val="3"/>
        <charset val="134"/>
      </rPr>
      <t>使用面积</t>
    </r>
    <phoneticPr fontId="8" type="noConversion"/>
  </si>
  <si>
    <r>
      <rPr>
        <sz val="10"/>
        <color indexed="8"/>
        <rFont val="宋体"/>
        <family val="3"/>
        <charset val="134"/>
      </rPr>
      <t>用途</t>
    </r>
    <phoneticPr fontId="8" type="noConversion"/>
  </si>
  <si>
    <r>
      <rPr>
        <sz val="10"/>
        <color indexed="8"/>
        <rFont val="宋体"/>
        <family val="3"/>
        <charset val="134"/>
      </rPr>
      <t>分摊面积</t>
    </r>
    <phoneticPr fontId="8" type="noConversion"/>
  </si>
  <si>
    <r>
      <rPr>
        <sz val="10"/>
        <color indexed="8"/>
        <rFont val="宋体"/>
        <family val="3"/>
        <charset val="134"/>
      </rPr>
      <t>房屋总层数</t>
    </r>
    <phoneticPr fontId="8" type="noConversion"/>
  </si>
  <si>
    <r>
      <rPr>
        <sz val="10"/>
        <color indexed="8"/>
        <rFont val="宋体"/>
        <family val="3"/>
        <charset val="134"/>
      </rPr>
      <t>宗地总面积</t>
    </r>
    <phoneticPr fontId="8" type="noConversion"/>
  </si>
  <si>
    <r>
      <rPr>
        <sz val="10"/>
        <color indexed="8"/>
        <rFont val="宋体"/>
        <family val="3"/>
        <charset val="134"/>
      </rPr>
      <t>所在层数</t>
    </r>
    <phoneticPr fontId="8" type="noConversion"/>
  </si>
  <si>
    <r>
      <rPr>
        <sz val="10"/>
        <color indexed="8"/>
        <rFont val="宋体"/>
        <family val="3"/>
        <charset val="134"/>
      </rPr>
      <t>面积</t>
    </r>
    <phoneticPr fontId="8" type="noConversion"/>
  </si>
  <si>
    <r>
      <rPr>
        <sz val="10"/>
        <color indexed="8"/>
        <rFont val="宋体"/>
        <family val="3"/>
        <charset val="134"/>
      </rPr>
      <t>宗地总建筑面积</t>
    </r>
    <phoneticPr fontId="8" type="noConversion"/>
  </si>
  <si>
    <r>
      <rPr>
        <sz val="10"/>
        <color indexed="8"/>
        <rFont val="宋体"/>
        <family val="3"/>
        <charset val="134"/>
      </rPr>
      <t>建成年份</t>
    </r>
    <phoneticPr fontId="8" type="noConversion"/>
  </si>
  <si>
    <r>
      <rPr>
        <sz val="10"/>
        <color indexed="8"/>
        <rFont val="宋体"/>
        <family val="3"/>
        <charset val="134"/>
      </rPr>
      <t>本户建筑面积</t>
    </r>
    <phoneticPr fontId="8" type="noConversion"/>
  </si>
  <si>
    <r>
      <rPr>
        <sz val="10"/>
        <color indexed="8"/>
        <rFont val="宋体"/>
        <family val="3"/>
        <charset val="134"/>
      </rPr>
      <t>附记（抵押情况）</t>
    </r>
    <phoneticPr fontId="8" type="noConversion"/>
  </si>
  <si>
    <r>
      <rPr>
        <sz val="10"/>
        <color indexed="8"/>
        <rFont val="宋体"/>
        <family val="3"/>
        <charset val="134"/>
      </rPr>
      <t>记事（抵押情况）</t>
    </r>
    <phoneticPr fontId="8" type="noConversion"/>
  </si>
  <si>
    <r>
      <rPr>
        <sz val="10"/>
        <color indexed="8"/>
        <rFont val="宋体"/>
        <family val="3"/>
        <charset val="134"/>
      </rPr>
      <t>来源</t>
    </r>
    <phoneticPr fontId="8" type="noConversion"/>
  </si>
  <si>
    <r>
      <rPr>
        <sz val="10"/>
        <color indexed="8"/>
        <rFont val="宋体"/>
        <family val="3"/>
        <charset val="134"/>
      </rPr>
      <t>附记（其他）</t>
    </r>
    <phoneticPr fontId="8" type="noConversion"/>
  </si>
  <si>
    <r>
      <rPr>
        <sz val="10"/>
        <color indexed="8"/>
        <rFont val="宋体"/>
        <family val="3"/>
        <charset val="134"/>
      </rPr>
      <t>记事（其他）</t>
    </r>
    <phoneticPr fontId="8" type="noConversion"/>
  </si>
  <si>
    <r>
      <rPr>
        <sz val="10"/>
        <color indexed="8"/>
        <rFont val="宋体"/>
        <family val="3"/>
        <charset val="134"/>
      </rPr>
      <t>土地证号</t>
    </r>
    <phoneticPr fontId="8" type="noConversion"/>
  </si>
  <si>
    <r>
      <rPr>
        <sz val="10"/>
        <color indexed="8"/>
        <rFont val="宋体"/>
        <family val="3"/>
        <charset val="134"/>
      </rPr>
      <t>使用期限（终止日期）</t>
    </r>
    <phoneticPr fontId="8"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</si>
  <si>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8" type="noConversion"/>
  </si>
  <si>
    <r>
      <rPr>
        <sz val="10"/>
        <color indexed="8"/>
        <rFont val="宋体"/>
        <family val="3"/>
        <charset val="134"/>
      </rPr>
      <t>权利其他状况</t>
    </r>
    <phoneticPr fontId="8" type="noConversion"/>
  </si>
  <si>
    <r>
      <rPr>
        <sz val="10"/>
        <color indexed="8"/>
        <rFont val="宋体"/>
        <family val="3"/>
        <charset val="134"/>
      </rPr>
      <t>土地使用年期（终止日期）</t>
    </r>
    <phoneticPr fontId="8" type="noConversion"/>
  </si>
  <si>
    <r>
      <rPr>
        <b/>
        <sz val="14"/>
        <color rgb="FFFF0000"/>
        <rFont val="宋体"/>
        <family val="3"/>
        <charset val="134"/>
      </rPr>
      <t>数据取费表</t>
    </r>
    <phoneticPr fontId="5"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</si>
  <si>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5" type="noConversion"/>
  </si>
  <si>
    <r>
      <rPr>
        <b/>
        <sz val="11"/>
        <color indexed="8"/>
        <rFont val="宋体"/>
        <family val="3"/>
        <charset val="134"/>
      </rPr>
      <t>本次估价路线是否为先计算典型户型价值，再做典型户型修正求取其他估价对象价值</t>
    </r>
    <phoneticPr fontId="5" type="noConversion"/>
  </si>
  <si>
    <r>
      <rPr>
        <b/>
        <sz val="11"/>
        <color indexed="8"/>
        <rFont val="宋体"/>
        <family val="3"/>
        <charset val="134"/>
      </rPr>
      <t>估价结果单位</t>
    </r>
    <phoneticPr fontId="5" type="noConversion"/>
  </si>
  <si>
    <r>
      <rPr>
        <b/>
        <sz val="11"/>
        <color indexed="8"/>
        <rFont val="宋体"/>
        <family val="3"/>
        <charset val="134"/>
      </rPr>
      <t>估价结果为先计算</t>
    </r>
    <phoneticPr fontId="5" type="noConversion"/>
  </si>
  <si>
    <r>
      <rPr>
        <b/>
        <sz val="11"/>
        <color indexed="8"/>
        <rFont val="宋体"/>
        <family val="3"/>
        <charset val="134"/>
      </rPr>
      <t>建筑面积</t>
    </r>
    <phoneticPr fontId="5" type="noConversion"/>
  </si>
  <si>
    <r>
      <rPr>
        <b/>
        <sz val="11"/>
        <color indexed="8"/>
        <rFont val="宋体"/>
        <family val="3"/>
        <charset val="134"/>
      </rPr>
      <t>基准户型建筑面积</t>
    </r>
    <phoneticPr fontId="5" type="noConversion"/>
  </si>
  <si>
    <r>
      <rPr>
        <b/>
        <sz val="11"/>
        <color indexed="8"/>
        <rFont val="宋体"/>
        <family val="3"/>
        <charset val="134"/>
      </rPr>
      <t>土地面积</t>
    </r>
    <phoneticPr fontId="5" type="noConversion"/>
  </si>
  <si>
    <r>
      <rPr>
        <b/>
        <sz val="11"/>
        <color indexed="8"/>
        <rFont val="宋体"/>
        <family val="3"/>
        <charset val="134"/>
      </rPr>
      <t>基准户型土地面积</t>
    </r>
    <phoneticPr fontId="5" type="noConversion"/>
  </si>
  <si>
    <r>
      <rPr>
        <sz val="11"/>
        <color indexed="8"/>
        <rFont val="宋体"/>
        <family val="3"/>
        <charset val="134"/>
      </rPr>
      <t>地类判定</t>
    </r>
    <phoneticPr fontId="5" type="noConversion"/>
  </si>
  <si>
    <r>
      <rPr>
        <b/>
        <sz val="11"/>
        <color indexed="8"/>
        <rFont val="宋体"/>
        <family val="3"/>
        <charset val="134"/>
      </rPr>
      <t>其他取费</t>
    </r>
    <phoneticPr fontId="5" type="noConversion"/>
  </si>
  <si>
    <r>
      <rPr>
        <sz val="11"/>
        <color indexed="8"/>
        <rFont val="宋体"/>
        <family val="3"/>
        <charset val="134"/>
      </rPr>
      <t>取值</t>
    </r>
    <phoneticPr fontId="5" type="noConversion"/>
  </si>
  <si>
    <r>
      <rPr>
        <sz val="11"/>
        <rFont val="宋体"/>
        <family val="3"/>
        <charset val="134"/>
      </rPr>
      <t>法定最高</t>
    </r>
    <r>
      <rPr>
        <sz val="11"/>
        <rFont val="Arial"/>
        <family val="2"/>
      </rPr>
      <t>/</t>
    </r>
    <r>
      <rPr>
        <sz val="11"/>
        <rFont val="宋体"/>
        <family val="3"/>
        <charset val="134"/>
      </rPr>
      <t>出让年限</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</si>
  <si>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5" type="noConversion"/>
  </si>
  <si>
    <r>
      <rPr>
        <sz val="11"/>
        <color indexed="10"/>
        <rFont val="宋体"/>
        <family val="3"/>
        <charset val="134"/>
      </rPr>
      <t>请录依据文件名称：</t>
    </r>
    <phoneticPr fontId="5" type="noConversion"/>
  </si>
  <si>
    <r>
      <rPr>
        <sz val="11"/>
        <color indexed="8"/>
        <rFont val="宋体"/>
        <family val="3"/>
        <charset val="134"/>
      </rPr>
      <t>终止日期</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</si>
  <si>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5" type="noConversion"/>
  </si>
  <si>
    <r>
      <rPr>
        <sz val="11"/>
        <color indexed="8"/>
        <rFont val="宋体"/>
        <family val="3"/>
        <charset val="134"/>
      </rPr>
      <t>剩余土地使用年限</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</si>
  <si>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5" type="noConversion"/>
  </si>
  <si>
    <r>
      <rPr>
        <sz val="11"/>
        <color indexed="8"/>
        <rFont val="宋体"/>
        <family val="3"/>
        <charset val="134"/>
      </rPr>
      <t>年期修正系数</t>
    </r>
    <phoneticPr fontId="5" type="noConversion"/>
  </si>
  <si>
    <r>
      <rPr>
        <sz val="11"/>
        <color indexed="8"/>
        <rFont val="宋体"/>
        <family val="3"/>
        <charset val="134"/>
      </rPr>
      <t>红线外市政基础设施（总）</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</si>
  <si>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5" type="noConversion"/>
  </si>
  <si>
    <r>
      <rPr>
        <sz val="11"/>
        <color indexed="8"/>
        <rFont val="宋体"/>
        <family val="3"/>
        <charset val="134"/>
      </rPr>
      <t>红线外市政基础设施（现状）</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</si>
  <si>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5" type="noConversion"/>
  </si>
  <si>
    <r>
      <rPr>
        <sz val="11"/>
        <color indexed="8"/>
        <rFont val="宋体"/>
        <family val="3"/>
        <charset val="134"/>
      </rPr>
      <t>红线外市政基础设施（待完成）</t>
    </r>
    <phoneticPr fontId="5"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</si>
  <si>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5" type="noConversion"/>
  </si>
  <si>
    <r>
      <rPr>
        <sz val="11"/>
        <color indexed="8"/>
        <rFont val="宋体"/>
        <family val="3"/>
        <charset val="134"/>
      </rPr>
      <t>单方造价</t>
    </r>
    <phoneticPr fontId="6" type="noConversion"/>
  </si>
  <si>
    <r>
      <rPr>
        <b/>
        <sz val="11"/>
        <color indexed="8"/>
        <rFont val="宋体"/>
        <family val="3"/>
        <charset val="134"/>
      </rPr>
      <t>开发期</t>
    </r>
    <phoneticPr fontId="5" type="noConversion"/>
  </si>
  <si>
    <r>
      <rPr>
        <sz val="11"/>
        <rFont val="宋体"/>
        <family val="3"/>
        <charset val="134"/>
      </rPr>
      <t>土地开发期</t>
    </r>
  </si>
  <si>
    <r>
      <rPr>
        <sz val="11"/>
        <rFont val="宋体"/>
        <family val="3"/>
        <charset val="134"/>
      </rPr>
      <t>建设期</t>
    </r>
    <phoneticPr fontId="6" type="noConversion"/>
  </si>
  <si>
    <r>
      <rPr>
        <sz val="11"/>
        <color indexed="8"/>
        <rFont val="宋体"/>
        <family val="3"/>
        <charset val="134"/>
      </rPr>
      <t>勘察设计和前期工程费</t>
    </r>
    <phoneticPr fontId="5" type="noConversion"/>
  </si>
  <si>
    <r>
      <rPr>
        <sz val="11"/>
        <rFont val="宋体"/>
        <family val="3"/>
        <charset val="134"/>
      </rPr>
      <t>已建工期</t>
    </r>
    <phoneticPr fontId="5" type="noConversion"/>
  </si>
  <si>
    <r>
      <rPr>
        <sz val="11"/>
        <color indexed="8"/>
        <rFont val="宋体"/>
        <family val="3"/>
        <charset val="134"/>
      </rPr>
      <t>公共配套设施费用</t>
    </r>
    <phoneticPr fontId="5" type="noConversion"/>
  </si>
  <si>
    <r>
      <rPr>
        <sz val="11"/>
        <rFont val="宋体"/>
        <family val="3"/>
        <charset val="134"/>
      </rPr>
      <t>项目开发期</t>
    </r>
    <phoneticPr fontId="6" type="noConversion"/>
  </si>
  <si>
    <r>
      <rPr>
        <sz val="11"/>
        <color indexed="8"/>
        <rFont val="宋体"/>
        <family val="3"/>
        <charset val="134"/>
      </rPr>
      <t>红线内市政基础设施</t>
    </r>
    <phoneticPr fontId="5" type="noConversion"/>
  </si>
  <si>
    <r>
      <rPr>
        <sz val="11"/>
        <color indexed="8"/>
        <rFont val="宋体"/>
        <family val="3"/>
        <charset val="134"/>
      </rPr>
      <t>项目已运行</t>
    </r>
    <phoneticPr fontId="5" type="noConversion"/>
  </si>
  <si>
    <r>
      <rPr>
        <sz val="11"/>
        <color indexed="8"/>
        <rFont val="宋体"/>
        <family val="3"/>
        <charset val="134"/>
      </rPr>
      <t>建造成本中相关税费</t>
    </r>
    <phoneticPr fontId="5" type="noConversion"/>
  </si>
  <si>
    <r>
      <rPr>
        <sz val="11"/>
        <rFont val="宋体"/>
        <family val="3"/>
        <charset val="134"/>
      </rPr>
      <t>续建工期</t>
    </r>
    <phoneticPr fontId="5" type="noConversion"/>
  </si>
  <si>
    <r>
      <rPr>
        <sz val="11"/>
        <color indexed="8"/>
        <rFont val="宋体"/>
        <family val="3"/>
        <charset val="134"/>
      </rPr>
      <t>管理费用</t>
    </r>
    <phoneticPr fontId="5" type="noConversion"/>
  </si>
  <si>
    <r>
      <rPr>
        <b/>
        <sz val="11"/>
        <color indexed="8"/>
        <rFont val="宋体"/>
        <family val="3"/>
        <charset val="134"/>
      </rPr>
      <t>建成年份</t>
    </r>
    <phoneticPr fontId="5" type="noConversion"/>
  </si>
  <si>
    <r>
      <rPr>
        <sz val="11"/>
        <color indexed="8"/>
        <rFont val="宋体"/>
        <family val="3"/>
        <charset val="134"/>
      </rPr>
      <t>销售费用</t>
    </r>
    <phoneticPr fontId="5" type="noConversion"/>
  </si>
  <si>
    <r>
      <rPr>
        <sz val="11"/>
        <color indexed="8"/>
        <rFont val="宋体"/>
        <family val="3"/>
        <charset val="134"/>
      </rPr>
      <t>收益法相关参数</t>
    </r>
    <phoneticPr fontId="5" type="noConversion"/>
  </si>
  <si>
    <r>
      <rPr>
        <sz val="11"/>
        <color indexed="8"/>
        <rFont val="宋体"/>
        <family val="3"/>
        <charset val="134"/>
      </rPr>
      <t>利润</t>
    </r>
    <phoneticPr fontId="5"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</si>
  <si>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5" type="noConversion"/>
  </si>
  <si>
    <r>
      <rPr>
        <sz val="11"/>
        <color indexed="8"/>
        <rFont val="宋体"/>
        <family val="3"/>
        <charset val="134"/>
      </rPr>
      <t>一年期存款利率</t>
    </r>
    <phoneticPr fontId="5" type="noConversion"/>
  </si>
  <si>
    <r>
      <rPr>
        <sz val="11"/>
        <color indexed="8"/>
        <rFont val="宋体"/>
        <family val="3"/>
        <charset val="134"/>
      </rPr>
      <t>增值税</t>
    </r>
    <phoneticPr fontId="5" type="noConversion"/>
  </si>
  <si>
    <r>
      <rPr>
        <sz val="11"/>
        <color indexed="8"/>
        <rFont val="宋体"/>
        <family val="3"/>
        <charset val="134"/>
      </rPr>
      <t>年租金增长率</t>
    </r>
    <phoneticPr fontId="5" type="noConversion"/>
  </si>
  <si>
    <r>
      <rPr>
        <sz val="11"/>
        <color indexed="8"/>
        <rFont val="宋体"/>
        <family val="3"/>
        <charset val="134"/>
      </rPr>
      <t>附加税合计</t>
    </r>
    <phoneticPr fontId="5" type="noConversion"/>
  </si>
  <si>
    <r>
      <rPr>
        <sz val="11"/>
        <color indexed="8"/>
        <rFont val="宋体"/>
        <family val="3"/>
        <charset val="134"/>
      </rPr>
      <t>空置率</t>
    </r>
    <phoneticPr fontId="5" type="noConversion"/>
  </si>
  <si>
    <r>
      <rPr>
        <sz val="11"/>
        <color indexed="8"/>
        <rFont val="宋体"/>
        <family val="3"/>
        <charset val="134"/>
      </rPr>
      <t>城市维护建设税</t>
    </r>
    <phoneticPr fontId="5"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</si>
  <si>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5" type="noConversion"/>
  </si>
  <si>
    <r>
      <rPr>
        <sz val="11"/>
        <color indexed="8"/>
        <rFont val="宋体"/>
        <family val="3"/>
        <charset val="134"/>
      </rPr>
      <t>教育费附加</t>
    </r>
    <phoneticPr fontId="5" type="noConversion"/>
  </si>
  <si>
    <r>
      <rPr>
        <sz val="11"/>
        <color theme="1"/>
        <rFont val="宋体"/>
        <family val="3"/>
        <charset val="134"/>
      </rPr>
      <t>北京：</t>
    </r>
    <r>
      <rPr>
        <sz val="11"/>
        <color theme="1"/>
        <rFont val="Arial"/>
        <family val="2"/>
      </rPr>
      <t>3%</t>
    </r>
    <phoneticPr fontId="5" type="noConversion"/>
  </si>
  <si>
    <r>
      <rPr>
        <sz val="11"/>
        <color indexed="8"/>
        <rFont val="宋体"/>
        <family val="3"/>
        <charset val="134"/>
      </rPr>
      <t>地方教育费附加</t>
    </r>
    <phoneticPr fontId="5" type="noConversion"/>
  </si>
  <si>
    <r>
      <rPr>
        <sz val="11"/>
        <color theme="1"/>
        <rFont val="宋体"/>
        <family val="3"/>
        <charset val="134"/>
      </rPr>
      <t>北京：</t>
    </r>
    <r>
      <rPr>
        <sz val="11"/>
        <color theme="1"/>
        <rFont val="Arial"/>
        <family val="2"/>
      </rPr>
      <t>2%</t>
    </r>
    <phoneticPr fontId="5" type="noConversion"/>
  </si>
  <si>
    <r>
      <rPr>
        <b/>
        <sz val="11"/>
        <color rgb="FFFF0000"/>
        <rFont val="宋体"/>
        <family val="3"/>
        <charset val="134"/>
      </rPr>
      <t>租期外</t>
    </r>
    <phoneticPr fontId="5" type="noConversion"/>
  </si>
  <si>
    <r>
      <rPr>
        <sz val="11"/>
        <color indexed="8"/>
        <rFont val="宋体"/>
        <family val="3"/>
        <charset val="134"/>
      </rPr>
      <t>其他税种</t>
    </r>
    <phoneticPr fontId="5" type="noConversion"/>
  </si>
  <si>
    <r>
      <rPr>
        <sz val="11"/>
        <color indexed="10"/>
        <rFont val="宋体"/>
        <family val="3"/>
        <charset val="134"/>
      </rPr>
      <t>请录依据文件名称：</t>
    </r>
    <phoneticPr fontId="5" type="noConversion"/>
  </si>
  <si>
    <r>
      <rPr>
        <sz val="11"/>
        <color indexed="8"/>
        <rFont val="宋体"/>
        <family val="3"/>
        <charset val="134"/>
      </rPr>
      <t>契税</t>
    </r>
    <phoneticPr fontId="5" type="noConversion"/>
  </si>
  <si>
    <r>
      <rPr>
        <sz val="11"/>
        <color indexed="8"/>
        <rFont val="宋体"/>
        <family val="3"/>
        <charset val="134"/>
      </rPr>
      <t>北京：</t>
    </r>
    <r>
      <rPr>
        <sz val="11"/>
        <color indexed="8"/>
        <rFont val="Arial"/>
        <family val="2"/>
      </rPr>
      <t>3%</t>
    </r>
    <phoneticPr fontId="5" type="noConversion"/>
  </si>
  <si>
    <r>
      <rPr>
        <sz val="11"/>
        <color indexed="8"/>
        <rFont val="宋体"/>
        <family val="3"/>
        <charset val="134"/>
      </rPr>
      <t>印花税</t>
    </r>
    <phoneticPr fontId="5" type="noConversion"/>
  </si>
  <si>
    <r>
      <rPr>
        <sz val="11"/>
        <color indexed="8"/>
        <rFont val="宋体"/>
        <family val="3"/>
        <charset val="134"/>
      </rPr>
      <t>北京：</t>
    </r>
    <r>
      <rPr>
        <sz val="11"/>
        <color indexed="8"/>
        <rFont val="Arial"/>
        <family val="2"/>
      </rPr>
      <t>0.05%</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</si>
  <si>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</si>
  <si>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5" type="noConversion"/>
  </si>
  <si>
    <r>
      <rPr>
        <sz val="11"/>
        <color indexed="8"/>
        <rFont val="宋体"/>
        <family val="3"/>
        <charset val="134"/>
      </rPr>
      <t>土地使用税</t>
    </r>
    <phoneticPr fontId="5"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</si>
  <si>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5" type="noConversion"/>
  </si>
  <si>
    <r>
      <rPr>
        <sz val="11"/>
        <color indexed="8"/>
        <rFont val="宋体"/>
        <family val="3"/>
        <charset val="134"/>
      </rPr>
      <t>城镇土地纳税等级分级范围</t>
    </r>
    <phoneticPr fontId="5" type="noConversion"/>
  </si>
  <si>
    <r>
      <rPr>
        <sz val="11"/>
        <color indexed="8"/>
        <rFont val="宋体"/>
        <family val="3"/>
        <charset val="134"/>
      </rPr>
      <t>北京</t>
    </r>
    <phoneticPr fontId="5" type="noConversion"/>
  </si>
  <si>
    <r>
      <rPr>
        <sz val="11"/>
        <color indexed="10"/>
        <rFont val="宋体"/>
        <family val="3"/>
        <charset val="134"/>
      </rPr>
      <t>其他省市请录依据文件名称：</t>
    </r>
    <phoneticPr fontId="5"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</si>
  <si>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5" type="noConversion"/>
  </si>
  <si>
    <r>
      <rPr>
        <sz val="11"/>
        <color indexed="8"/>
        <rFont val="宋体"/>
        <family val="3"/>
        <charset val="134"/>
      </rPr>
      <t>一级</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</si>
  <si>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5" type="noConversion"/>
  </si>
  <si>
    <r>
      <rPr>
        <sz val="11"/>
        <color indexed="8"/>
        <rFont val="宋体"/>
        <family val="3"/>
        <charset val="134"/>
      </rPr>
      <t>二级</t>
    </r>
    <phoneticPr fontId="5" type="noConversion"/>
  </si>
  <si>
    <r>
      <rPr>
        <sz val="11"/>
        <color indexed="8"/>
        <rFont val="宋体"/>
        <family val="3"/>
        <charset val="134"/>
      </rPr>
      <t>维修费率</t>
    </r>
    <phoneticPr fontId="5" type="noConversion"/>
  </si>
  <si>
    <r>
      <rPr>
        <sz val="11"/>
        <color indexed="8"/>
        <rFont val="宋体"/>
        <family val="3"/>
        <charset val="134"/>
      </rPr>
      <t>三级</t>
    </r>
    <phoneticPr fontId="5" type="noConversion"/>
  </si>
  <si>
    <r>
      <rPr>
        <sz val="11"/>
        <color indexed="8"/>
        <rFont val="宋体"/>
        <family val="3"/>
        <charset val="134"/>
      </rPr>
      <t>保险费率</t>
    </r>
    <phoneticPr fontId="5" type="noConversion"/>
  </si>
  <si>
    <r>
      <rPr>
        <sz val="11"/>
        <color indexed="8"/>
        <rFont val="宋体"/>
        <family val="3"/>
        <charset val="134"/>
      </rPr>
      <t>四级</t>
    </r>
    <phoneticPr fontId="5" type="noConversion"/>
  </si>
  <si>
    <r>
      <rPr>
        <sz val="11"/>
        <color indexed="8"/>
        <rFont val="宋体"/>
        <family val="3"/>
        <charset val="134"/>
      </rPr>
      <t>管理费率</t>
    </r>
    <phoneticPr fontId="5" type="noConversion"/>
  </si>
  <si>
    <r>
      <rPr>
        <sz val="11"/>
        <color indexed="8"/>
        <rFont val="宋体"/>
        <family val="3"/>
        <charset val="134"/>
      </rPr>
      <t>六级</t>
    </r>
    <phoneticPr fontId="5" type="noConversion"/>
  </si>
  <si>
    <r>
      <rPr>
        <sz val="11"/>
        <color indexed="8"/>
        <rFont val="宋体"/>
        <family val="3"/>
        <charset val="134"/>
      </rPr>
      <t>七级</t>
    </r>
    <phoneticPr fontId="5" type="noConversion"/>
  </si>
  <si>
    <r>
      <rPr>
        <sz val="11"/>
        <color indexed="8"/>
        <rFont val="宋体"/>
        <family val="3"/>
        <charset val="134"/>
      </rPr>
      <t>八级</t>
    </r>
    <phoneticPr fontId="5" type="noConversion"/>
  </si>
  <si>
    <r>
      <rPr>
        <sz val="11"/>
        <color indexed="8"/>
        <rFont val="宋体"/>
        <family val="3"/>
        <charset val="134"/>
      </rPr>
      <t>九级</t>
    </r>
    <phoneticPr fontId="5" type="noConversion"/>
  </si>
  <si>
    <r>
      <rPr>
        <sz val="11"/>
        <color indexed="8"/>
        <rFont val="宋体"/>
        <family val="3"/>
        <charset val="134"/>
      </rPr>
      <t>十级</t>
    </r>
    <phoneticPr fontId="5" type="noConversion"/>
  </si>
  <si>
    <r>
      <rPr>
        <b/>
        <sz val="14"/>
        <color indexed="10"/>
        <rFont val="宋体"/>
        <family val="3"/>
        <charset val="134"/>
      </rPr>
      <t>房地产修正因素</t>
    </r>
    <phoneticPr fontId="5" type="noConversion"/>
  </si>
  <si>
    <r>
      <rPr>
        <sz val="11"/>
        <color indexed="8"/>
        <rFont val="宋体"/>
        <family val="3"/>
        <charset val="134"/>
      </rPr>
      <t>居住社区成熟度</t>
    </r>
  </si>
  <si>
    <r>
      <rPr>
        <sz val="11"/>
        <color indexed="8"/>
        <rFont val="宋体"/>
        <family val="3"/>
        <charset val="134"/>
      </rPr>
      <t>公共配套设施</t>
    </r>
    <phoneticPr fontId="21" type="noConversion"/>
  </si>
  <si>
    <r>
      <rPr>
        <sz val="11"/>
        <color indexed="8"/>
        <rFont val="宋体"/>
        <family val="3"/>
        <charset val="134"/>
      </rPr>
      <t>交通便捷度</t>
    </r>
  </si>
  <si>
    <r>
      <rPr>
        <sz val="11"/>
        <color indexed="8"/>
        <rFont val="宋体"/>
        <family val="3"/>
        <charset val="134"/>
      </rPr>
      <t>基础设施水平</t>
    </r>
    <phoneticPr fontId="21" type="noConversion"/>
  </si>
  <si>
    <r>
      <rPr>
        <sz val="11"/>
        <color indexed="8"/>
        <rFont val="宋体"/>
        <family val="3"/>
        <charset val="134"/>
      </rPr>
      <t>自然及人文环境</t>
    </r>
  </si>
  <si>
    <r>
      <rPr>
        <b/>
        <sz val="14"/>
        <color indexed="10"/>
        <rFont val="宋体"/>
        <family val="3"/>
        <charset val="134"/>
      </rPr>
      <t>土地修正因素</t>
    </r>
    <phoneticPr fontId="5" type="noConversion"/>
  </si>
  <si>
    <r>
      <rPr>
        <b/>
        <sz val="14"/>
        <color rgb="FFFF0000"/>
        <rFont val="宋体"/>
        <family val="3"/>
        <charset val="134"/>
      </rPr>
      <t>估价结果（过程）</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</si>
  <si>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</si>
  <si>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</si>
  <si>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</si>
  <si>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</si>
  <si>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</si>
  <si>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</si>
  <si>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</si>
  <si>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</si>
  <si>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</si>
  <si>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</si>
  <si>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</si>
  <si>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</si>
  <si>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</si>
  <si>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</si>
  <si>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</si>
  <si>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</si>
  <si>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</si>
  <si>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</si>
  <si>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</si>
  <si>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</si>
  <si>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</si>
  <si>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</si>
  <si>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</si>
  <si>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</si>
  <si>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</si>
  <si>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</si>
  <si>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</si>
  <si>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</si>
  <si>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</si>
  <si>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</si>
  <si>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</si>
  <si>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</si>
  <si>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</si>
  <si>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</si>
  <si>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</si>
  <si>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</si>
  <si>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</si>
  <si>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 type="noConversion"/>
  </si>
  <si>
    <r>
      <rPr>
        <sz val="11"/>
        <color indexed="8"/>
        <rFont val="宋体"/>
        <family val="3"/>
        <charset val="134"/>
      </rPr>
      <t>土地价值</t>
    </r>
    <phoneticPr fontId="9" type="noConversion"/>
  </si>
  <si>
    <r>
      <rPr>
        <sz val="10"/>
        <color indexed="8"/>
        <rFont val="宋体"/>
        <family val="3"/>
        <charset val="134"/>
      </rPr>
      <t>土地价值</t>
    </r>
    <phoneticPr fontId="9" type="noConversion"/>
  </si>
  <si>
    <r>
      <rPr>
        <sz val="11"/>
        <color indexed="8"/>
        <rFont val="宋体"/>
        <family val="3"/>
        <charset val="134"/>
      </rPr>
      <t>建筑物价值</t>
    </r>
    <phoneticPr fontId="9" type="noConversion"/>
  </si>
  <si>
    <r>
      <rPr>
        <sz val="10"/>
        <color indexed="8"/>
        <rFont val="宋体"/>
        <family val="3"/>
        <charset val="134"/>
      </rPr>
      <t>建筑物价值</t>
    </r>
    <phoneticPr fontId="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</si>
  <si>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</si>
  <si>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</si>
  <si>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</si>
  <si>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</si>
  <si>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5" type="noConversion"/>
  </si>
  <si>
    <r>
      <rPr>
        <b/>
        <sz val="11"/>
        <color indexed="8"/>
        <rFont val="宋体"/>
        <family val="3"/>
        <charset val="134"/>
      </rPr>
      <t>补交地价款</t>
    </r>
    <phoneticPr fontId="9" type="noConversion"/>
  </si>
  <si>
    <r>
      <rPr>
        <sz val="11"/>
        <color rgb="FFFF0000"/>
        <rFont val="宋体"/>
        <family val="3"/>
        <charset val="134"/>
      </rPr>
      <t>税费</t>
    </r>
    <phoneticPr fontId="9"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</si>
  <si>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</si>
  <si>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</si>
  <si>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</si>
  <si>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</si>
  <si>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</si>
  <si>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</si>
  <si>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</si>
  <si>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</si>
  <si>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</si>
  <si>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</si>
  <si>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</si>
  <si>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</si>
  <si>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</si>
  <si>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</si>
  <si>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</si>
  <si>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</si>
  <si>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</si>
  <si>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</si>
  <si>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</si>
  <si>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</si>
  <si>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</si>
  <si>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</si>
  <si>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</si>
  <si>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</si>
  <si>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</si>
  <si>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</si>
  <si>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</si>
  <si>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</si>
  <si>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</si>
  <si>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</si>
  <si>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</si>
  <si>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</si>
  <si>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</si>
  <si>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</si>
  <si>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</si>
  <si>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</si>
  <si>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</si>
  <si>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</si>
  <si>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</si>
  <si>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</si>
  <si>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</si>
  <si>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</si>
  <si>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</si>
  <si>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</si>
  <si>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</si>
  <si>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</si>
  <si>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</si>
  <si>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</si>
  <si>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</si>
  <si>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</si>
  <si>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</si>
  <si>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</si>
  <si>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</si>
  <si>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</si>
  <si>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29" type="noConversion"/>
  </si>
  <si>
    <r>
      <rPr>
        <sz val="10"/>
        <color theme="1"/>
        <rFont val="宋体"/>
        <family val="3"/>
        <charset val="134"/>
      </rPr>
      <t>抵押净值单价</t>
    </r>
    <phoneticPr fontId="9" type="noConversion"/>
  </si>
  <si>
    <r>
      <rPr>
        <b/>
        <sz val="10"/>
        <rFont val="宋体"/>
        <family val="3"/>
        <charset val="134"/>
      </rPr>
      <t>项目</t>
    </r>
    <phoneticPr fontId="32" type="noConversion"/>
  </si>
  <si>
    <r>
      <rPr>
        <b/>
        <sz val="10"/>
        <rFont val="宋体"/>
        <family val="3"/>
        <charset val="134"/>
      </rPr>
      <t>系数</t>
    </r>
    <phoneticPr fontId="32" type="noConversion"/>
  </si>
  <si>
    <r>
      <rPr>
        <sz val="10"/>
        <color indexed="8"/>
        <rFont val="宋体"/>
        <family val="3"/>
        <charset val="134"/>
      </rPr>
      <t>备注</t>
    </r>
    <phoneticPr fontId="32" type="noConversion"/>
  </si>
  <si>
    <r>
      <rPr>
        <b/>
        <sz val="10"/>
        <rFont val="宋体"/>
        <family val="3"/>
        <charset val="134"/>
      </rPr>
      <t>销售额</t>
    </r>
    <phoneticPr fontId="29"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</si>
  <si>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</si>
  <si>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</si>
  <si>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2"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</si>
  <si>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</si>
  <si>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5" type="noConversion"/>
  </si>
  <si>
    <r>
      <rPr>
        <sz val="10"/>
        <rFont val="宋体"/>
        <family val="3"/>
        <charset val="134"/>
      </rPr>
      <t>价外费用</t>
    </r>
    <phoneticPr fontId="29"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</si>
  <si>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</si>
  <si>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2"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</si>
  <si>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</si>
  <si>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</si>
  <si>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5" type="noConversion"/>
  </si>
  <si>
    <r>
      <rPr>
        <b/>
        <sz val="10"/>
        <rFont val="宋体"/>
        <family val="3"/>
        <charset val="134"/>
      </rPr>
      <t>纳税基数</t>
    </r>
    <phoneticPr fontId="32" type="noConversion"/>
  </si>
  <si>
    <r>
      <rPr>
        <sz val="10"/>
        <color rgb="FF000000"/>
        <rFont val="宋体"/>
        <family val="3"/>
        <charset val="134"/>
      </rPr>
      <t>评估费</t>
    </r>
  </si>
  <si>
    <r>
      <rPr>
        <b/>
        <sz val="10"/>
        <rFont val="宋体"/>
        <family val="3"/>
        <charset val="134"/>
      </rPr>
      <t>纳税额</t>
    </r>
    <phoneticPr fontId="29"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</si>
  <si>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</si>
  <si>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</si>
  <si>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2" type="noConversion"/>
  </si>
  <si>
    <r>
      <rPr>
        <b/>
        <sz val="10"/>
        <rFont val="宋体"/>
        <family val="3"/>
        <charset val="134"/>
      </rPr>
      <t>转让收入</t>
    </r>
    <phoneticPr fontId="32" type="noConversion"/>
  </si>
  <si>
    <r>
      <rPr>
        <sz val="10"/>
        <color indexed="8"/>
        <rFont val="宋体"/>
        <family val="3"/>
        <charset val="134"/>
      </rPr>
      <t>应税收入，不含增值税</t>
    </r>
    <phoneticPr fontId="9" type="noConversion"/>
  </si>
  <si>
    <r>
      <rPr>
        <b/>
        <sz val="10"/>
        <color indexed="8"/>
        <rFont val="宋体"/>
        <family val="3"/>
        <charset val="134"/>
      </rPr>
      <t>扣除项合计</t>
    </r>
    <phoneticPr fontId="32" type="noConversion"/>
  </si>
  <si>
    <r>
      <rPr>
        <sz val="10"/>
        <rFont val="宋体"/>
        <family val="3"/>
        <charset val="134"/>
      </rPr>
      <t>原购房价及相关税费</t>
    </r>
    <phoneticPr fontId="32" type="noConversion"/>
  </si>
  <si>
    <r>
      <rPr>
        <sz val="10"/>
        <rFont val="宋体"/>
        <family val="3"/>
        <charset val="134"/>
      </rPr>
      <t>原购房价</t>
    </r>
    <phoneticPr fontId="32" type="noConversion"/>
  </si>
  <si>
    <r>
      <rPr>
        <sz val="11"/>
        <color indexed="8"/>
        <rFont val="宋体"/>
        <family val="3"/>
        <charset val="134"/>
      </rPr>
      <t>原购房价依据</t>
    </r>
    <phoneticPr fontId="29" type="noConversion"/>
  </si>
  <si>
    <r>
      <rPr>
        <sz val="11"/>
        <color indexed="8"/>
        <rFont val="宋体"/>
        <family val="3"/>
        <charset val="134"/>
      </rPr>
      <t>购房发票</t>
    </r>
  </si>
  <si>
    <r>
      <rPr>
        <sz val="11"/>
        <color indexed="8"/>
        <rFont val="宋体"/>
        <family val="3"/>
        <charset val="134"/>
      </rPr>
      <t>已购年限</t>
    </r>
    <phoneticPr fontId="29" type="noConversion"/>
  </si>
  <si>
    <r>
      <rPr>
        <sz val="10"/>
        <rFont val="宋体"/>
        <family val="3"/>
        <charset val="134"/>
      </rPr>
      <t>加计扣减项</t>
    </r>
    <phoneticPr fontId="29"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</si>
  <si>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2" type="noConversion"/>
  </si>
  <si>
    <r>
      <rPr>
        <sz val="10"/>
        <rFont val="宋体"/>
        <family val="3"/>
        <charset val="134"/>
      </rPr>
      <t>相关税费</t>
    </r>
    <phoneticPr fontId="32" type="noConversion"/>
  </si>
  <si>
    <r>
      <rPr>
        <sz val="10"/>
        <color indexed="8"/>
        <rFont val="宋体"/>
        <family val="3"/>
        <charset val="134"/>
      </rPr>
      <t>含契税及印花税</t>
    </r>
    <phoneticPr fontId="32"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</si>
  <si>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</si>
  <si>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2" type="noConversion"/>
  </si>
  <si>
    <r>
      <rPr>
        <sz val="10"/>
        <color indexed="8"/>
        <rFont val="宋体"/>
        <family val="3"/>
        <charset val="134"/>
      </rPr>
      <t>不含增值税，仅附加税</t>
    </r>
    <phoneticPr fontId="29" type="noConversion"/>
  </si>
  <si>
    <r>
      <rPr>
        <b/>
        <sz val="10"/>
        <rFont val="宋体"/>
        <family val="3"/>
        <charset val="134"/>
      </rPr>
      <t>增值额</t>
    </r>
    <phoneticPr fontId="32" type="noConversion"/>
  </si>
  <si>
    <r>
      <rPr>
        <b/>
        <sz val="10"/>
        <rFont val="宋体"/>
        <family val="3"/>
        <charset val="134"/>
      </rPr>
      <t>增值额与扣除项比率</t>
    </r>
    <phoneticPr fontId="32" type="noConversion"/>
  </si>
  <si>
    <r>
      <rPr>
        <b/>
        <sz val="10"/>
        <rFont val="宋体"/>
        <family val="3"/>
        <charset val="134"/>
      </rPr>
      <t>应纳增值税税额</t>
    </r>
    <phoneticPr fontId="32" type="noConversion"/>
  </si>
  <si>
    <r>
      <rPr>
        <b/>
        <sz val="10"/>
        <rFont val="宋体"/>
        <family val="3"/>
        <charset val="134"/>
      </rPr>
      <t>土地增值税（自行开发建设）</t>
    </r>
    <phoneticPr fontId="32" type="noConversion"/>
  </si>
  <si>
    <r>
      <rPr>
        <sz val="10"/>
        <rFont val="宋体"/>
        <family val="3"/>
        <charset val="134"/>
      </rPr>
      <t>土地取得成本</t>
    </r>
    <phoneticPr fontId="32" type="noConversion"/>
  </si>
  <si>
    <r>
      <rPr>
        <sz val="10"/>
        <rFont val="宋体"/>
        <family val="3"/>
        <charset val="134"/>
      </rPr>
      <t>土地取得费用</t>
    </r>
    <phoneticPr fontId="32" type="noConversion"/>
  </si>
  <si>
    <r>
      <rPr>
        <sz val="10"/>
        <color indexed="8"/>
        <rFont val="宋体"/>
        <family val="3"/>
        <charset val="134"/>
      </rPr>
      <t>依据出让合同</t>
    </r>
    <phoneticPr fontId="29" type="noConversion"/>
  </si>
  <si>
    <r>
      <rPr>
        <sz val="9"/>
        <color indexed="8"/>
        <rFont val="宋体"/>
        <family val="3"/>
        <charset val="134"/>
      </rPr>
      <t>出让价款内涵：</t>
    </r>
    <phoneticPr fontId="29" type="noConversion"/>
  </si>
  <si>
    <r>
      <rPr>
        <sz val="10"/>
        <color indexed="8"/>
        <rFont val="宋体"/>
        <family val="3"/>
        <charset val="134"/>
      </rPr>
      <t>契税及印花税</t>
    </r>
    <phoneticPr fontId="29" type="noConversion"/>
  </si>
  <si>
    <r>
      <rPr>
        <sz val="10"/>
        <rFont val="宋体"/>
        <family val="3"/>
        <charset val="134"/>
      </rPr>
      <t>土地开发费</t>
    </r>
    <phoneticPr fontId="32" type="noConversion"/>
  </si>
  <si>
    <r>
      <rPr>
        <sz val="10"/>
        <rFont val="宋体"/>
        <family val="3"/>
        <charset val="134"/>
      </rPr>
      <t>建造成本</t>
    </r>
    <phoneticPr fontId="32" type="noConversion"/>
  </si>
  <si>
    <r>
      <rPr>
        <sz val="10"/>
        <color indexed="8"/>
        <rFont val="宋体"/>
        <family val="3"/>
        <charset val="134"/>
      </rPr>
      <t>包括前期工程费、建筑安装工程费、基础设施费和公共配套费等</t>
    </r>
    <phoneticPr fontId="29" type="noConversion"/>
  </si>
  <si>
    <r>
      <rPr>
        <sz val="10"/>
        <color indexed="8"/>
        <rFont val="宋体"/>
        <family val="3"/>
        <charset val="134"/>
      </rPr>
      <t>企业提供（在右侧录入）</t>
    </r>
  </si>
  <si>
    <r>
      <rPr>
        <sz val="10"/>
        <rFont val="宋体"/>
        <family val="3"/>
        <charset val="134"/>
      </rPr>
      <t>开发费用扣除</t>
    </r>
    <phoneticPr fontId="32"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</si>
  <si>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9" type="noConversion"/>
  </si>
  <si>
    <r>
      <rPr>
        <sz val="10"/>
        <rFont val="宋体"/>
        <family val="3"/>
        <charset val="134"/>
      </rPr>
      <t>加计扣除金额</t>
    </r>
    <phoneticPr fontId="32"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</si>
  <si>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9"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</si>
  <si>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</si>
  <si>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</si>
  <si>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</si>
  <si>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</si>
  <si>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80"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</si>
  <si>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</si>
  <si>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</si>
  <si>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</si>
  <si>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5"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</si>
  <si>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</si>
  <si>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5"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</si>
  <si>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</si>
  <si>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5" type="noConversion"/>
  </si>
  <si>
    <r>
      <rPr>
        <b/>
        <sz val="14"/>
        <color rgb="FFFF0000"/>
        <rFont val="宋体"/>
        <family val="3"/>
        <charset val="134"/>
      </rPr>
      <t>估价结果（过程）</t>
    </r>
    <phoneticPr fontId="9" type="noConversion"/>
  </si>
  <si>
    <r>
      <rPr>
        <b/>
        <u/>
        <sz val="11"/>
        <color rgb="FFFF0000"/>
        <rFont val="宋体"/>
        <family val="3"/>
        <charset val="134"/>
      </rPr>
      <t>典型户型权重结果</t>
    </r>
    <phoneticPr fontId="92" type="noConversion"/>
  </si>
  <si>
    <r>
      <rPr>
        <sz val="10"/>
        <color indexed="8"/>
        <rFont val="宋体"/>
        <family val="3"/>
        <charset val="134"/>
      </rPr>
      <t>打分考虑因素</t>
    </r>
    <phoneticPr fontId="9" type="noConversion"/>
  </si>
  <si>
    <r>
      <rPr>
        <sz val="11"/>
        <color indexed="8"/>
        <rFont val="宋体"/>
        <family val="3"/>
        <charset val="134"/>
      </rPr>
      <t>标准价</t>
    </r>
  </si>
  <si>
    <r>
      <rPr>
        <sz val="11"/>
        <color rgb="FFFF0000"/>
        <rFont val="宋体"/>
        <family val="3"/>
        <charset val="134"/>
      </rPr>
      <t>合计</t>
    </r>
    <phoneticPr fontId="9" type="noConversion"/>
  </si>
  <si>
    <r>
      <rPr>
        <b/>
        <u/>
        <sz val="11"/>
        <color rgb="FFFF0000"/>
        <rFont val="宋体"/>
        <family val="3"/>
        <charset val="134"/>
      </rPr>
      <t>估价对象总值</t>
    </r>
    <phoneticPr fontId="92" type="noConversion"/>
  </si>
  <si>
    <r>
      <rPr>
        <b/>
        <sz val="11"/>
        <color indexed="8"/>
        <rFont val="宋体"/>
        <family val="3"/>
        <charset val="134"/>
      </rPr>
      <t>基准户型楼面单价</t>
    </r>
    <phoneticPr fontId="92"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</si>
  <si>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2" type="noConversion"/>
  </si>
  <si>
    <r>
      <rPr>
        <b/>
        <sz val="11"/>
        <color indexed="8"/>
        <rFont val="宋体"/>
        <family val="3"/>
        <charset val="134"/>
      </rPr>
      <t>房地产总值</t>
    </r>
    <phoneticPr fontId="92" type="noConversion"/>
  </si>
  <si>
    <r>
      <rPr>
        <b/>
        <sz val="11"/>
        <color indexed="8"/>
        <rFont val="宋体"/>
        <family val="3"/>
        <charset val="134"/>
      </rPr>
      <t>总价</t>
    </r>
    <phoneticPr fontId="92" type="noConversion"/>
  </si>
  <si>
    <r>
      <rPr>
        <b/>
        <sz val="11"/>
        <color indexed="8"/>
        <rFont val="宋体"/>
        <family val="3"/>
        <charset val="134"/>
      </rPr>
      <t>平均楼面单价</t>
    </r>
    <phoneticPr fontId="92"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</si>
  <si>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2" type="noConversion"/>
  </si>
  <si>
    <r>
      <rPr>
        <sz val="11"/>
        <color indexed="8"/>
        <rFont val="宋体"/>
        <family val="3"/>
        <charset val="134"/>
      </rPr>
      <t>土地价值</t>
    </r>
    <phoneticPr fontId="9" type="noConversion"/>
  </si>
  <si>
    <r>
      <rPr>
        <sz val="11"/>
        <color indexed="8"/>
        <rFont val="宋体"/>
        <family val="3"/>
        <charset val="134"/>
      </rPr>
      <t>建筑物价值</t>
    </r>
    <phoneticPr fontId="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</si>
  <si>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</si>
  <si>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</si>
  <si>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</si>
  <si>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</si>
  <si>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5"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</si>
  <si>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</si>
  <si>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</si>
  <si>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</si>
  <si>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</si>
  <si>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</si>
  <si>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</si>
  <si>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</si>
  <si>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9"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</si>
  <si>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</si>
  <si>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</si>
  <si>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</si>
  <si>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5" type="noConversion"/>
  </si>
  <si>
    <r>
      <rPr>
        <b/>
        <sz val="16"/>
        <color indexed="10"/>
        <rFont val="宋体"/>
        <family val="3"/>
        <charset val="134"/>
      </rPr>
      <t>成本法</t>
    </r>
    <phoneticPr fontId="15" type="noConversion"/>
  </si>
  <si>
    <r>
      <rPr>
        <b/>
        <sz val="12"/>
        <rFont val="宋体"/>
        <family val="3"/>
        <charset val="134"/>
      </rPr>
      <t>总价</t>
    </r>
    <phoneticPr fontId="16" type="noConversion"/>
  </si>
  <si>
    <r>
      <rPr>
        <b/>
        <sz val="12"/>
        <rFont val="宋体"/>
        <family val="3"/>
        <charset val="134"/>
      </rPr>
      <t>楼面单价</t>
    </r>
    <phoneticPr fontId="16" type="noConversion"/>
  </si>
  <si>
    <r>
      <rPr>
        <b/>
        <sz val="12"/>
        <rFont val="宋体"/>
        <family val="3"/>
        <charset val="134"/>
      </rPr>
      <t>元</t>
    </r>
    <r>
      <rPr>
        <b/>
        <sz val="12"/>
        <rFont val="Arial"/>
        <family val="2"/>
      </rPr>
      <t>/</t>
    </r>
    <r>
      <rPr>
        <b/>
        <sz val="12"/>
        <rFont val="宋体"/>
        <family val="3"/>
        <charset val="134"/>
      </rPr>
      <t>平方米</t>
    </r>
    <phoneticPr fontId="16" type="noConversion"/>
  </si>
  <si>
    <r>
      <t>1.</t>
    </r>
    <r>
      <rPr>
        <b/>
        <sz val="12"/>
        <rFont val="宋体"/>
        <family val="3"/>
        <charset val="134"/>
      </rPr>
      <t>土地价值</t>
    </r>
    <phoneticPr fontId="15" type="noConversion"/>
  </si>
  <si>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</si>
  <si>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土地取得成本</t>
    </r>
    <phoneticPr fontId="15" type="noConversion"/>
  </si>
  <si>
    <r>
      <rPr>
        <b/>
        <sz val="10"/>
        <rFont val="宋体"/>
        <family val="3"/>
        <charset val="134"/>
      </rPr>
      <t>面积</t>
    </r>
    <phoneticPr fontId="15" type="noConversion"/>
  </si>
  <si>
    <r>
      <rPr>
        <b/>
        <sz val="10"/>
        <rFont val="宋体"/>
        <family val="3"/>
        <charset val="134"/>
      </rPr>
      <t>单价</t>
    </r>
    <phoneticPr fontId="15" type="noConversion"/>
  </si>
  <si>
    <r>
      <rPr>
        <b/>
        <sz val="10"/>
        <rFont val="宋体"/>
        <family val="3"/>
        <charset val="134"/>
      </rPr>
      <t>系数</t>
    </r>
    <phoneticPr fontId="15" type="noConversion"/>
  </si>
  <si>
    <r>
      <t>1</t>
    </r>
    <r>
      <rPr>
        <sz val="10"/>
        <rFont val="宋体"/>
        <family val="3"/>
        <charset val="134"/>
      </rPr>
      <t>）</t>
    </r>
    <phoneticPr fontId="15" type="noConversion"/>
  </si>
  <si>
    <r>
      <rPr>
        <sz val="10"/>
        <rFont val="宋体"/>
        <family val="3"/>
        <charset val="134"/>
      </rPr>
      <t>土地购买价格</t>
    </r>
    <phoneticPr fontId="16"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</si>
  <si>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</si>
  <si>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</si>
  <si>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</si>
  <si>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5" type="noConversion"/>
  </si>
  <si>
    <r>
      <rPr>
        <i/>
        <sz val="10"/>
        <rFont val="宋体"/>
        <family val="3"/>
        <charset val="134"/>
      </rPr>
      <t>住宅</t>
    </r>
    <phoneticPr fontId="15" type="noConversion"/>
  </si>
  <si>
    <r>
      <rPr>
        <i/>
        <sz val="10"/>
        <rFont val="宋体"/>
        <family val="3"/>
        <charset val="134"/>
      </rPr>
      <t>非住宅</t>
    </r>
    <phoneticPr fontId="15" type="noConversion"/>
  </si>
  <si>
    <r>
      <rPr>
        <sz val="10"/>
        <rFont val="宋体"/>
        <family val="3"/>
        <charset val="134"/>
      </rPr>
      <t>土地使用权出让金</t>
    </r>
    <phoneticPr fontId="15" type="noConversion"/>
  </si>
  <si>
    <r>
      <rPr>
        <sz val="10"/>
        <rFont val="宋体"/>
        <family val="3"/>
        <charset val="134"/>
      </rPr>
      <t>相关税费</t>
    </r>
    <phoneticPr fontId="15" type="noConversion"/>
  </si>
  <si>
    <r>
      <rPr>
        <sz val="10"/>
        <rFont val="宋体"/>
        <family val="3"/>
        <charset val="134"/>
      </rPr>
      <t>征地补偿安置费及其相关税费</t>
    </r>
    <phoneticPr fontId="15" type="noConversion"/>
  </si>
  <si>
    <r>
      <rPr>
        <sz val="10"/>
        <rFont val="宋体"/>
        <family val="3"/>
        <charset val="134"/>
      </rPr>
      <t>以建筑面积为计算基数，按各区发文标准</t>
    </r>
    <phoneticPr fontId="15" type="noConversion"/>
  </si>
  <si>
    <r>
      <rPr>
        <sz val="10"/>
        <rFont val="宋体"/>
        <family val="3"/>
        <charset val="134"/>
      </rPr>
      <t>出让金</t>
    </r>
    <phoneticPr fontId="15" type="noConversion"/>
  </si>
  <si>
    <r>
      <rPr>
        <sz val="10"/>
        <rFont val="宋体"/>
        <family val="3"/>
        <charset val="134"/>
      </rPr>
      <t>采用比较法求取</t>
    </r>
    <phoneticPr fontId="15" type="noConversion"/>
  </si>
  <si>
    <r>
      <rPr>
        <sz val="10"/>
        <rFont val="宋体"/>
        <family val="3"/>
        <charset val="134"/>
      </rPr>
      <t>开发补偿费用</t>
    </r>
    <phoneticPr fontId="15" type="noConversion"/>
  </si>
  <si>
    <r>
      <rPr>
        <sz val="10"/>
        <rFont val="宋体"/>
        <family val="3"/>
        <charset val="134"/>
      </rPr>
      <t>契税及印花税</t>
    </r>
    <phoneticPr fontId="15" type="noConversion"/>
  </si>
  <si>
    <r>
      <rPr>
        <sz val="10"/>
        <rFont val="宋体"/>
        <family val="3"/>
        <charset val="134"/>
      </rPr>
      <t>以上述三项为基数计算</t>
    </r>
    <phoneticPr fontId="15" type="noConversion"/>
  </si>
  <si>
    <r>
      <rPr>
        <b/>
        <sz val="10"/>
        <rFont val="宋体"/>
        <family val="3"/>
        <charset val="134"/>
      </rPr>
      <t>（</t>
    </r>
    <r>
      <rPr>
        <b/>
        <sz val="10"/>
        <rFont val="Arial"/>
        <family val="2"/>
      </rPr>
      <t>2</t>
    </r>
    <r>
      <rPr>
        <b/>
        <sz val="10"/>
        <rFont val="宋体"/>
        <family val="3"/>
        <charset val="134"/>
      </rPr>
      <t>）</t>
    </r>
    <phoneticPr fontId="16" type="noConversion"/>
  </si>
  <si>
    <r>
      <rPr>
        <b/>
        <sz val="10"/>
        <rFont val="宋体"/>
        <family val="3"/>
        <charset val="134"/>
      </rPr>
      <t>土地开发费用</t>
    </r>
    <r>
      <rPr>
        <b/>
        <sz val="10"/>
        <rFont val="Arial"/>
        <family val="2"/>
      </rPr>
      <t>-</t>
    </r>
    <r>
      <rPr>
        <b/>
        <sz val="10"/>
        <rFont val="宋体"/>
        <family val="3"/>
        <charset val="134"/>
      </rPr>
      <t>红线外</t>
    </r>
    <phoneticPr fontId="15"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</si>
  <si>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</si>
  <si>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5"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</si>
  <si>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5"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</si>
  <si>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</si>
  <si>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5" type="noConversion"/>
  </si>
  <si>
    <r>
      <t>V</t>
    </r>
    <r>
      <rPr>
        <b/>
        <vertAlign val="subscript"/>
        <sz val="10"/>
        <rFont val="宋体"/>
        <family val="3"/>
        <charset val="134"/>
      </rPr>
      <t>土</t>
    </r>
    <phoneticPr fontId="15" type="noConversion"/>
  </si>
  <si>
    <r>
      <rPr>
        <b/>
        <sz val="10"/>
        <rFont val="宋体"/>
        <family val="3"/>
        <charset val="134"/>
      </rPr>
      <t>以土地价值为基数</t>
    </r>
    <phoneticPr fontId="15"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</si>
  <si>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</si>
  <si>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5" type="noConversion"/>
  </si>
  <si>
    <r>
      <t>1</t>
    </r>
    <r>
      <rPr>
        <sz val="10"/>
        <rFont val="宋体"/>
        <family val="3"/>
        <charset val="134"/>
      </rPr>
      <t>）</t>
    </r>
    <phoneticPr fontId="15" type="noConversion"/>
  </si>
  <si>
    <r>
      <rPr>
        <sz val="10"/>
        <rFont val="宋体"/>
        <family val="3"/>
        <charset val="134"/>
      </rPr>
      <t>（</t>
    </r>
    <r>
      <rPr>
        <sz val="10"/>
        <rFont val="Arial"/>
        <family val="2"/>
      </rPr>
      <t>1</t>
    </r>
    <r>
      <rPr>
        <sz val="10"/>
        <rFont val="宋体"/>
        <family val="3"/>
        <charset val="134"/>
      </rPr>
      <t>）项产生的利息</t>
    </r>
    <phoneticPr fontId="15" type="noConversion"/>
  </si>
  <si>
    <r>
      <rPr>
        <sz val="10"/>
        <rFont val="宋体"/>
        <family val="3"/>
        <charset val="134"/>
      </rPr>
      <t>计项目已运行全期</t>
    </r>
    <phoneticPr fontId="15" type="noConversion"/>
  </si>
  <si>
    <r>
      <rPr>
        <sz val="10"/>
        <rFont val="宋体"/>
        <family val="3"/>
        <charset val="134"/>
      </rPr>
      <t>（</t>
    </r>
    <r>
      <rPr>
        <sz val="10"/>
        <rFont val="Arial"/>
        <family val="2"/>
      </rPr>
      <t>2</t>
    </r>
    <r>
      <rPr>
        <sz val="10"/>
        <rFont val="宋体"/>
        <family val="3"/>
        <charset val="134"/>
      </rPr>
      <t>）项产生的利息</t>
    </r>
    <phoneticPr fontId="15" type="noConversion"/>
  </si>
  <si>
    <r>
      <rPr>
        <sz val="10"/>
        <rFont val="宋体"/>
        <family val="3"/>
        <charset val="134"/>
      </rPr>
      <t>土地开发期均匀投入、已建工期计全期</t>
    </r>
    <phoneticPr fontId="15" type="noConversion"/>
  </si>
  <si>
    <r>
      <rPr>
        <sz val="10"/>
        <rFont val="宋体"/>
        <family val="3"/>
        <charset val="134"/>
      </rPr>
      <t>（</t>
    </r>
    <r>
      <rPr>
        <sz val="10"/>
        <rFont val="Arial"/>
        <family val="2"/>
      </rPr>
      <t>3</t>
    </r>
    <r>
      <rPr>
        <sz val="10"/>
        <rFont val="宋体"/>
        <family val="3"/>
        <charset val="134"/>
      </rPr>
      <t>）项产生的利息</t>
    </r>
    <phoneticPr fontId="15" type="noConversion"/>
  </si>
  <si>
    <r>
      <rPr>
        <sz val="10"/>
        <rFont val="宋体"/>
        <family val="3"/>
        <charset val="134"/>
      </rPr>
      <t>管理费用及销售费用于项目已运行期内均匀投入</t>
    </r>
    <phoneticPr fontId="15"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</si>
  <si>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</si>
  <si>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5" type="noConversion"/>
  </si>
  <si>
    <r>
      <rPr>
        <b/>
        <sz val="10"/>
        <rFont val="宋体"/>
        <family val="3"/>
        <charset val="134"/>
      </rPr>
      <t>（</t>
    </r>
    <r>
      <rPr>
        <b/>
        <sz val="10"/>
        <rFont val="Arial"/>
        <family val="2"/>
      </rPr>
      <t>6</t>
    </r>
    <r>
      <rPr>
        <b/>
        <sz val="10"/>
        <rFont val="宋体"/>
        <family val="3"/>
        <charset val="134"/>
      </rPr>
      <t>）</t>
    </r>
    <phoneticPr fontId="16" type="noConversion"/>
  </si>
  <si>
    <r>
      <rPr>
        <b/>
        <sz val="10"/>
        <rFont val="宋体"/>
        <family val="3"/>
        <charset val="134"/>
      </rPr>
      <t>利润</t>
    </r>
    <phoneticPr fontId="15"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</si>
  <si>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5"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</si>
  <si>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5" type="noConversion"/>
  </si>
  <si>
    <r>
      <rPr>
        <sz val="10"/>
        <rFont val="宋体"/>
        <family val="3"/>
        <charset val="134"/>
      </rPr>
      <t>（</t>
    </r>
    <r>
      <rPr>
        <sz val="10"/>
        <rFont val="Arial"/>
        <family val="2"/>
      </rPr>
      <t>4</t>
    </r>
    <r>
      <rPr>
        <sz val="10"/>
        <rFont val="宋体"/>
        <family val="3"/>
        <charset val="134"/>
      </rPr>
      <t>）项产生的利润</t>
    </r>
    <phoneticPr fontId="15" type="noConversion"/>
  </si>
  <si>
    <r>
      <rPr>
        <b/>
        <sz val="10"/>
        <rFont val="宋体"/>
        <family val="3"/>
        <charset val="134"/>
      </rPr>
      <t>（</t>
    </r>
    <r>
      <rPr>
        <b/>
        <sz val="10"/>
        <rFont val="Arial"/>
        <family val="2"/>
      </rPr>
      <t>7</t>
    </r>
    <r>
      <rPr>
        <b/>
        <sz val="10"/>
        <rFont val="宋体"/>
        <family val="3"/>
        <charset val="134"/>
      </rPr>
      <t>）</t>
    </r>
    <phoneticPr fontId="16"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</si>
  <si>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</si>
  <si>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5"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</si>
  <si>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5" type="noConversion"/>
  </si>
  <si>
    <r>
      <rPr>
        <b/>
        <sz val="10"/>
        <rFont val="宋体"/>
        <family val="3"/>
        <charset val="134"/>
      </rPr>
      <t>前述</t>
    </r>
    <r>
      <rPr>
        <b/>
        <sz val="10"/>
        <rFont val="Arial"/>
        <family val="2"/>
      </rPr>
      <t>7</t>
    </r>
    <r>
      <rPr>
        <b/>
        <sz val="10"/>
        <rFont val="宋体"/>
        <family val="3"/>
        <charset val="134"/>
      </rPr>
      <t>项相加</t>
    </r>
    <phoneticPr fontId="15" type="noConversion"/>
  </si>
  <si>
    <r>
      <t>2.</t>
    </r>
    <r>
      <rPr>
        <b/>
        <sz val="12"/>
        <rFont val="宋体"/>
        <family val="3"/>
        <charset val="134"/>
      </rPr>
      <t>建筑物</t>
    </r>
    <r>
      <rPr>
        <b/>
        <sz val="12"/>
        <rFont val="Arial"/>
        <family val="2"/>
      </rPr>
      <t>/</t>
    </r>
    <r>
      <rPr>
        <b/>
        <sz val="12"/>
        <rFont val="宋体"/>
        <family val="3"/>
        <charset val="134"/>
      </rPr>
      <t>在建工程价值</t>
    </r>
    <phoneticPr fontId="15"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</si>
  <si>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</si>
  <si>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建筑物建造</t>
    </r>
    <r>
      <rPr>
        <b/>
        <sz val="10"/>
        <rFont val="Arial"/>
        <family val="2"/>
      </rPr>
      <t>/</t>
    </r>
    <r>
      <rPr>
        <b/>
        <sz val="10"/>
        <rFont val="宋体"/>
        <family val="3"/>
        <charset val="134"/>
      </rPr>
      <t>已建成本</t>
    </r>
    <phoneticPr fontId="15"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</si>
  <si>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</si>
  <si>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</si>
  <si>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5"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</si>
  <si>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</si>
  <si>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</si>
  <si>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5" type="noConversion"/>
  </si>
  <si>
    <r>
      <rPr>
        <sz val="10"/>
        <rFont val="宋体"/>
        <family val="3"/>
        <charset val="134"/>
      </rPr>
      <t>按工程进度计取或按实际情况计取</t>
    </r>
    <phoneticPr fontId="15"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</si>
  <si>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</si>
  <si>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</si>
  <si>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5" type="noConversion"/>
  </si>
  <si>
    <r>
      <t>V</t>
    </r>
    <r>
      <rPr>
        <b/>
        <vertAlign val="subscript"/>
        <sz val="10"/>
        <rFont val="宋体"/>
        <family val="3"/>
        <charset val="134"/>
      </rPr>
      <t>建</t>
    </r>
    <phoneticPr fontId="15" type="noConversion"/>
  </si>
  <si>
    <r>
      <rPr>
        <b/>
        <sz val="10"/>
        <rFont val="宋体"/>
        <family val="3"/>
        <charset val="134"/>
      </rPr>
      <t>以</t>
    </r>
    <r>
      <rPr>
        <b/>
        <sz val="10"/>
        <rFont val="Arial"/>
        <family val="2"/>
      </rPr>
      <t>V</t>
    </r>
    <r>
      <rPr>
        <b/>
        <sz val="10"/>
        <rFont val="宋体"/>
        <family val="3"/>
        <charset val="134"/>
      </rPr>
      <t>建为基数</t>
    </r>
    <phoneticPr fontId="15" type="noConversion"/>
  </si>
  <si>
    <r>
      <rPr>
        <sz val="10"/>
        <rFont val="宋体"/>
        <family val="3"/>
        <charset val="134"/>
      </rPr>
      <t>已建工期均匀投入</t>
    </r>
    <phoneticPr fontId="5"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</si>
  <si>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5"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</si>
  <si>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5" type="noConversion"/>
  </si>
  <si>
    <r>
      <rPr>
        <sz val="10"/>
        <rFont val="宋体"/>
        <family val="3"/>
        <charset val="134"/>
      </rPr>
      <t>（</t>
    </r>
    <r>
      <rPr>
        <sz val="10"/>
        <rFont val="Arial"/>
        <family val="2"/>
      </rPr>
      <t>3</t>
    </r>
    <r>
      <rPr>
        <sz val="10"/>
        <rFont val="宋体"/>
        <family val="3"/>
        <charset val="134"/>
      </rPr>
      <t>）项产生的利润</t>
    </r>
    <phoneticPr fontId="15" type="noConversion"/>
  </si>
  <si>
    <r>
      <rPr>
        <b/>
        <sz val="10"/>
        <rFont val="宋体"/>
        <family val="3"/>
        <charset val="134"/>
      </rPr>
      <t>销售税费</t>
    </r>
    <phoneticPr fontId="15" type="noConversion"/>
  </si>
  <si>
    <r>
      <rPr>
        <b/>
        <sz val="10"/>
        <rFont val="宋体"/>
        <family val="3"/>
        <charset val="134"/>
      </rPr>
      <t>以成本价值</t>
    </r>
    <r>
      <rPr>
        <b/>
        <sz val="10"/>
        <rFont val="Arial"/>
        <family val="2"/>
      </rPr>
      <t>/(1+5%)</t>
    </r>
    <r>
      <rPr>
        <b/>
        <sz val="10"/>
        <rFont val="宋体"/>
        <family val="3"/>
        <charset val="134"/>
      </rPr>
      <t>为基数</t>
    </r>
    <phoneticPr fontId="15"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</si>
  <si>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</si>
  <si>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5" type="noConversion"/>
  </si>
  <si>
    <r>
      <rPr>
        <b/>
        <sz val="10"/>
        <rFont val="宋体"/>
        <family val="3"/>
        <charset val="134"/>
      </rPr>
      <t>前述</t>
    </r>
    <r>
      <rPr>
        <b/>
        <sz val="10"/>
        <rFont val="Arial"/>
        <family val="2"/>
      </rPr>
      <t>6</t>
    </r>
    <r>
      <rPr>
        <b/>
        <sz val="10"/>
        <rFont val="宋体"/>
        <family val="3"/>
        <charset val="134"/>
      </rPr>
      <t>项相加</t>
    </r>
    <phoneticPr fontId="15"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</si>
  <si>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</si>
  <si>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5" type="noConversion"/>
  </si>
  <si>
    <r>
      <rPr>
        <b/>
        <sz val="10"/>
        <rFont val="宋体"/>
        <family val="3"/>
        <charset val="134"/>
      </rPr>
      <t>现房为成新率，在建依实际情况（停工）记取</t>
    </r>
    <phoneticPr fontId="16"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</si>
  <si>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</si>
  <si>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5" type="noConversion"/>
  </si>
  <si>
    <r>
      <rPr>
        <b/>
        <sz val="10"/>
        <rFont val="宋体"/>
        <family val="3"/>
        <charset val="134"/>
      </rPr>
      <t>重置价值</t>
    </r>
    <r>
      <rPr>
        <b/>
        <sz val="10"/>
        <rFont val="Arial"/>
        <family val="2"/>
      </rPr>
      <t>×</t>
    </r>
    <r>
      <rPr>
        <b/>
        <sz val="10"/>
        <rFont val="宋体"/>
        <family val="3"/>
        <charset val="134"/>
      </rPr>
      <t>成新率</t>
    </r>
    <phoneticPr fontId="15" type="noConversion"/>
  </si>
  <si>
    <r>
      <t>3.</t>
    </r>
    <r>
      <rPr>
        <b/>
        <sz val="12"/>
        <rFont val="宋体"/>
        <family val="3"/>
        <charset val="134"/>
      </rPr>
      <t>成本价值</t>
    </r>
    <phoneticPr fontId="15" type="noConversion"/>
  </si>
  <si>
    <r>
      <rPr>
        <b/>
        <sz val="10"/>
        <color indexed="10"/>
        <rFont val="宋体"/>
        <family val="3"/>
        <charset val="134"/>
      </rPr>
      <t>成本比率</t>
    </r>
    <phoneticPr fontId="5" type="noConversion"/>
  </si>
  <si>
    <r>
      <rPr>
        <sz val="10"/>
        <color indexed="8"/>
        <rFont val="宋体"/>
        <family val="3"/>
        <charset val="134"/>
      </rPr>
      <t>建筑物价值比率</t>
    </r>
    <phoneticPr fontId="5" type="noConversion"/>
  </si>
  <si>
    <r>
      <rPr>
        <sz val="10"/>
        <color indexed="8"/>
        <rFont val="宋体"/>
        <family val="3"/>
        <charset val="134"/>
      </rPr>
      <t>土地价值比率</t>
    </r>
    <phoneticPr fontId="5" type="noConversion"/>
  </si>
  <si>
    <r>
      <rPr>
        <b/>
        <sz val="16"/>
        <color indexed="10"/>
        <rFont val="宋体"/>
        <family val="3"/>
        <charset val="134"/>
      </rPr>
      <t>收益法</t>
    </r>
    <r>
      <rPr>
        <b/>
        <sz val="12"/>
        <rFont val="宋体"/>
        <family val="3"/>
        <charset val="134"/>
      </rPr>
      <t>（无租约及租期内）</t>
    </r>
    <phoneticPr fontId="5" type="noConversion"/>
  </si>
  <si>
    <r>
      <rPr>
        <sz val="12"/>
        <rFont val="宋体"/>
        <family val="3"/>
        <charset val="134"/>
      </rPr>
      <t>元</t>
    </r>
    <r>
      <rPr>
        <sz val="12"/>
        <rFont val="Arial"/>
        <family val="2"/>
      </rPr>
      <t>/</t>
    </r>
    <r>
      <rPr>
        <sz val="12"/>
        <rFont val="宋体"/>
        <family val="3"/>
        <charset val="134"/>
      </rPr>
      <t>平方米</t>
    </r>
    <phoneticPr fontId="5" type="noConversion"/>
  </si>
  <si>
    <r>
      <rPr>
        <b/>
        <sz val="16"/>
        <rFont val="宋体"/>
        <family val="3"/>
        <charset val="134"/>
      </rPr>
      <t>租约外</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</si>
  <si>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</si>
  <si>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</si>
  <si>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</si>
  <si>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</si>
  <si>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</si>
  <si>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</si>
  <si>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</si>
  <si>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</si>
  <si>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年租金收入（年经营收入）</t>
    </r>
    <phoneticPr fontId="5" type="noConversion"/>
  </si>
  <si>
    <r>
      <rPr>
        <sz val="10"/>
        <color indexed="8"/>
        <rFont val="宋体"/>
        <family val="3"/>
        <charset val="134"/>
      </rPr>
      <t>租金</t>
    </r>
    <phoneticPr fontId="5"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</si>
  <si>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5"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</si>
  <si>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5" type="noConversion"/>
  </si>
  <si>
    <r>
      <rPr>
        <sz val="10"/>
        <color indexed="8"/>
        <rFont val="宋体"/>
        <family val="3"/>
        <charset val="134"/>
      </rPr>
      <t>天</t>
    </r>
    <r>
      <rPr>
        <sz val="10"/>
        <color indexed="8"/>
        <rFont val="Arial"/>
        <family val="2"/>
      </rPr>
      <t>/</t>
    </r>
    <r>
      <rPr>
        <sz val="10"/>
        <color indexed="8"/>
        <rFont val="宋体"/>
        <family val="3"/>
        <charset val="134"/>
      </rPr>
      <t>月</t>
    </r>
    <phoneticPr fontId="5"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</si>
  <si>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</si>
  <si>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</si>
  <si>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押金利息收入</t>
    </r>
    <phoneticPr fontId="5" type="noConversion"/>
  </si>
  <si>
    <r>
      <rPr>
        <sz val="10"/>
        <color indexed="8"/>
        <rFont val="宋体"/>
        <family val="3"/>
        <charset val="134"/>
      </rPr>
      <t>押金方式</t>
    </r>
    <phoneticPr fontId="5" type="noConversion"/>
  </si>
  <si>
    <r>
      <rPr>
        <sz val="12"/>
        <rFont val="宋体"/>
        <family val="3"/>
        <charset val="134"/>
      </rPr>
      <t>押一</t>
    </r>
  </si>
  <si>
    <r>
      <rPr>
        <i/>
        <sz val="10"/>
        <color indexed="8"/>
        <rFont val="宋体"/>
        <family val="3"/>
        <charset val="134"/>
      </rPr>
      <t>（合同押金）</t>
    </r>
    <phoneticPr fontId="5" type="noConversion"/>
  </si>
  <si>
    <r>
      <rPr>
        <sz val="10"/>
        <color indexed="8"/>
        <rFont val="宋体"/>
        <family val="3"/>
        <charset val="134"/>
      </rPr>
      <t>一年期存款利率</t>
    </r>
    <phoneticPr fontId="5" type="noConversion"/>
  </si>
  <si>
    <r>
      <rPr>
        <i/>
        <sz val="10"/>
        <color indexed="8"/>
        <rFont val="宋体"/>
        <family val="3"/>
        <charset val="134"/>
      </rPr>
      <t>自定义押金</t>
    </r>
    <phoneticPr fontId="5" type="noConversion"/>
  </si>
  <si>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</si>
  <si>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r>
      <rPr>
        <sz val="10"/>
        <color indexed="8"/>
        <rFont val="宋体"/>
        <family val="3"/>
        <charset val="134"/>
      </rPr>
      <t>其他收入</t>
    </r>
    <phoneticPr fontId="5" type="noConversion"/>
  </si>
  <si>
    <r>
      <rPr>
        <b/>
        <sz val="10"/>
        <color indexed="8"/>
        <rFont val="宋体"/>
        <family val="3"/>
        <charset val="134"/>
      </rPr>
      <t>建筑物现值</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</si>
  <si>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</si>
  <si>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</si>
  <si>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t>1</t>
    </r>
    <r>
      <rPr>
        <sz val="10"/>
        <color indexed="8"/>
        <rFont val="宋体"/>
        <family val="3"/>
        <charset val="134"/>
      </rPr>
      <t>）</t>
    </r>
    <phoneticPr fontId="5"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</si>
  <si>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</si>
  <si>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</si>
  <si>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建筑物重置价值</t>
    </r>
    <phoneticPr fontId="5"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</si>
  <si>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</si>
  <si>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</si>
  <si>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</si>
  <si>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</si>
  <si>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</si>
  <si>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</si>
  <si>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</si>
  <si>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</si>
  <si>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</si>
  <si>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</si>
  <si>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</si>
  <si>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</si>
  <si>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</si>
  <si>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</si>
  <si>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</si>
  <si>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</si>
  <si>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</si>
  <si>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5"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</si>
  <si>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</si>
  <si>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</si>
  <si>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5" type="noConversion"/>
  </si>
  <si>
    <r>
      <rPr>
        <sz val="10"/>
        <color indexed="8"/>
        <rFont val="宋体"/>
        <family val="3"/>
        <charset val="134"/>
      </rPr>
      <t>两税两费</t>
    </r>
    <phoneticPr fontId="5"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</si>
  <si>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</si>
  <si>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5" type="noConversion"/>
  </si>
  <si>
    <r>
      <rPr>
        <sz val="10"/>
        <color indexed="8"/>
        <rFont val="宋体"/>
        <family val="3"/>
        <charset val="134"/>
      </rPr>
      <t>房产税</t>
    </r>
    <phoneticPr fontId="5"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</si>
  <si>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</si>
  <si>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</si>
  <si>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</si>
  <si>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</si>
  <si>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</si>
  <si>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</si>
  <si>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</si>
  <si>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</si>
  <si>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</si>
  <si>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5"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</si>
  <si>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</si>
  <si>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</si>
  <si>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</si>
  <si>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5" type="noConversion"/>
  </si>
  <si>
    <r>
      <rPr>
        <sz val="10"/>
        <color indexed="8"/>
        <rFont val="宋体"/>
        <family val="3"/>
        <charset val="134"/>
      </rPr>
      <t>维修费</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</si>
  <si>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</si>
  <si>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5" type="noConversion"/>
  </si>
  <si>
    <r>
      <rPr>
        <sz val="10"/>
        <color indexed="8"/>
        <rFont val="宋体"/>
        <family val="3"/>
        <charset val="134"/>
      </rPr>
      <t>建设周期（年）</t>
    </r>
    <phoneticPr fontId="5"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</si>
  <si>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</si>
  <si>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</si>
  <si>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</si>
  <si>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</si>
  <si>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销售费用产生的利息</t>
    </r>
    <phoneticPr fontId="5" type="noConversion"/>
  </si>
  <si>
    <r>
      <rPr>
        <sz val="10"/>
        <color indexed="8"/>
        <rFont val="宋体"/>
        <family val="3"/>
        <charset val="134"/>
      </rPr>
      <t>利息（</t>
    </r>
    <r>
      <rPr>
        <sz val="10"/>
        <color indexed="8"/>
        <rFont val="Arial"/>
        <family val="2"/>
      </rPr>
      <t>%</t>
    </r>
    <r>
      <rPr>
        <sz val="10"/>
        <color indexed="8"/>
        <rFont val="宋体"/>
        <family val="3"/>
        <charset val="134"/>
      </rPr>
      <t>）</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</si>
  <si>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</si>
  <si>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color indexed="8"/>
        <rFont val="宋体"/>
        <family val="3"/>
        <charset val="134"/>
      </rPr>
      <t>（</t>
    </r>
    <r>
      <rPr>
        <sz val="10"/>
        <color indexed="8"/>
        <rFont val="Arial"/>
        <family val="2"/>
      </rPr>
      <t>5</t>
    </r>
    <r>
      <rPr>
        <sz val="10"/>
        <color indexed="8"/>
        <rFont val="宋体"/>
        <family val="3"/>
        <charset val="134"/>
      </rPr>
      <t>）</t>
    </r>
    <phoneticPr fontId="5"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</si>
  <si>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</si>
  <si>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</si>
  <si>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</si>
  <si>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</si>
  <si>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5"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</si>
  <si>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5"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</si>
  <si>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5" type="noConversion"/>
  </si>
  <si>
    <r>
      <rPr>
        <b/>
        <sz val="10"/>
        <color indexed="8"/>
        <rFont val="宋体"/>
        <family val="3"/>
        <charset val="134"/>
      </rPr>
      <t>租约外房地产收益价值</t>
    </r>
    <phoneticPr fontId="5" type="noConversion"/>
  </si>
  <si>
    <r>
      <rPr>
        <sz val="10"/>
        <color indexed="8"/>
        <rFont val="宋体"/>
        <family val="3"/>
        <charset val="134"/>
      </rPr>
      <t>房地产未来第一年净收益</t>
    </r>
    <r>
      <rPr>
        <sz val="10"/>
        <color indexed="8"/>
        <rFont val="Arial"/>
        <family val="2"/>
      </rPr>
      <t>×</t>
    </r>
    <phoneticPr fontId="5"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</si>
  <si>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</si>
  <si>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</si>
  <si>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</si>
  <si>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</si>
  <si>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5" type="noConversion"/>
  </si>
  <si>
    <r>
      <rPr>
        <sz val="10"/>
        <color indexed="8"/>
        <rFont val="宋体"/>
        <family val="3"/>
        <charset val="134"/>
      </rPr>
      <t>收益年期</t>
    </r>
    <r>
      <rPr>
        <sz val="10"/>
        <color indexed="8"/>
        <rFont val="Arial"/>
        <family val="2"/>
      </rPr>
      <t>(n)</t>
    </r>
    <phoneticPr fontId="5" type="noConversion"/>
  </si>
  <si>
    <r>
      <rPr>
        <sz val="10"/>
        <color indexed="8"/>
        <rFont val="宋体"/>
        <family val="3"/>
        <charset val="134"/>
      </rPr>
      <t>（</t>
    </r>
    <r>
      <rPr>
        <sz val="10"/>
        <color indexed="8"/>
        <rFont val="Arial"/>
        <family val="2"/>
      </rPr>
      <t>6</t>
    </r>
    <r>
      <rPr>
        <sz val="10"/>
        <color indexed="8"/>
        <rFont val="宋体"/>
        <family val="3"/>
        <charset val="134"/>
      </rPr>
      <t>）</t>
    </r>
    <phoneticPr fontId="5"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</si>
  <si>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</si>
  <si>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</si>
  <si>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年增长比率</t>
    </r>
    <r>
      <rPr>
        <sz val="10"/>
        <color indexed="8"/>
        <rFont val="Arial"/>
        <family val="2"/>
      </rPr>
      <t>(g)</t>
    </r>
    <phoneticPr fontId="5" type="noConversion"/>
  </si>
  <si>
    <r>
      <rPr>
        <sz val="10"/>
        <color indexed="8"/>
        <rFont val="宋体"/>
        <family val="3"/>
        <charset val="134"/>
      </rPr>
      <t>（</t>
    </r>
    <r>
      <rPr>
        <sz val="10"/>
        <color indexed="8"/>
        <rFont val="Arial"/>
        <family val="2"/>
      </rPr>
      <t>7</t>
    </r>
    <r>
      <rPr>
        <sz val="10"/>
        <color indexed="8"/>
        <rFont val="宋体"/>
        <family val="3"/>
        <charset val="134"/>
      </rPr>
      <t>）</t>
    </r>
    <phoneticPr fontId="5"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</si>
  <si>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5" type="noConversion"/>
  </si>
  <si>
    <r>
      <rPr>
        <b/>
        <sz val="10"/>
        <color indexed="8"/>
        <rFont val="宋体"/>
        <family val="3"/>
        <charset val="134"/>
      </rPr>
      <t>折现价值</t>
    </r>
    <phoneticPr fontId="5"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</si>
  <si>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5" type="noConversion"/>
  </si>
  <si>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</si>
  <si>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</si>
  <si>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</si>
  <si>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18" type="noConversion"/>
  </si>
  <si>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</si>
  <si>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</si>
  <si>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5" type="noConversion"/>
  </si>
  <si>
    <r>
      <rPr>
        <sz val="10"/>
        <rFont val="宋体"/>
        <family val="3"/>
        <charset val="134"/>
      </rPr>
      <t>房屋年纯收益</t>
    </r>
    <phoneticPr fontId="5" type="noConversion"/>
  </si>
  <si>
    <r>
      <rPr>
        <sz val="10"/>
        <rFont val="宋体"/>
        <family val="3"/>
        <charset val="134"/>
      </rPr>
      <t>建筑物资本化率</t>
    </r>
    <phoneticPr fontId="5" type="noConversion"/>
  </si>
  <si>
    <r>
      <rPr>
        <sz val="10"/>
        <color indexed="8"/>
        <rFont val="宋体"/>
        <family val="3"/>
        <charset val="134"/>
      </rPr>
      <t>维修费</t>
    </r>
    <phoneticPr fontId="5"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</si>
  <si>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</si>
  <si>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b/>
        <sz val="10"/>
        <color indexed="8"/>
        <rFont val="宋体"/>
        <family val="3"/>
        <charset val="134"/>
      </rPr>
      <t>确定合理的建筑物与土地价值比例</t>
    </r>
    <phoneticPr fontId="5" type="noConversion"/>
  </si>
  <si>
    <r>
      <t>1.</t>
    </r>
    <r>
      <rPr>
        <b/>
        <sz val="10"/>
        <color indexed="10"/>
        <rFont val="宋体"/>
        <family val="3"/>
        <charset val="134"/>
      </rPr>
      <t>收益比率</t>
    </r>
    <phoneticPr fontId="5" type="noConversion"/>
  </si>
  <si>
    <r>
      <rPr>
        <sz val="10"/>
        <rFont val="宋体"/>
        <family val="3"/>
        <charset val="134"/>
      </rPr>
      <t>建筑物年收益比率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</si>
  <si>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</si>
  <si>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</si>
  <si>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rFont val="宋体"/>
        <family val="3"/>
        <charset val="134"/>
      </rPr>
      <t>土地年收益比率</t>
    </r>
    <phoneticPr fontId="5" type="noConversion"/>
  </si>
  <si>
    <r>
      <rPr>
        <b/>
        <sz val="10"/>
        <color indexed="8"/>
        <rFont val="宋体"/>
        <family val="3"/>
        <charset val="134"/>
      </rPr>
      <t>收益价值</t>
    </r>
    <phoneticPr fontId="5" type="noConversion"/>
  </si>
  <si>
    <r>
      <t>2.</t>
    </r>
    <r>
      <rPr>
        <b/>
        <sz val="10"/>
        <color indexed="10"/>
        <rFont val="宋体"/>
        <family val="3"/>
        <charset val="134"/>
      </rPr>
      <t>成本比率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</si>
  <si>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8"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</si>
  <si>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5"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</si>
  <si>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</si>
  <si>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建筑面积（㎡）</t>
    </r>
    <phoneticPr fontId="5" type="noConversion"/>
  </si>
  <si>
    <r>
      <rPr>
        <b/>
        <sz val="12"/>
        <color rgb="FFFF0000"/>
        <rFont val="宋体"/>
        <family val="3"/>
        <charset val="134"/>
      </rPr>
      <t>计算建筑物剩余价值折现</t>
    </r>
    <phoneticPr fontId="5"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</si>
  <si>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</si>
  <si>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</si>
  <si>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</si>
  <si>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</si>
  <si>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5"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</si>
  <si>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</si>
  <si>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5"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</si>
  <si>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</si>
  <si>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5" type="noConversion"/>
  </si>
  <si>
    <r>
      <rPr>
        <b/>
        <sz val="12"/>
        <color rgb="FFFF0000"/>
        <rFont val="宋体"/>
        <family val="3"/>
        <charset val="134"/>
      </rPr>
      <t>超出收益期的土地使用年限或建筑物价值折现计算</t>
    </r>
    <phoneticPr fontId="5" type="noConversion"/>
  </si>
  <si>
    <r>
      <rPr>
        <sz val="12"/>
        <color theme="1"/>
        <rFont val="宋体"/>
        <family val="3"/>
        <charset val="134"/>
      </rPr>
      <t>建筑物重置价值（元）</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</si>
  <si>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</si>
  <si>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</si>
  <si>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</si>
  <si>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</si>
  <si>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</si>
  <si>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sz val="12"/>
        <rFont val="宋体"/>
        <family val="3"/>
        <charset val="134"/>
      </rPr>
      <t>建筑物结构</t>
    </r>
    <phoneticPr fontId="5" type="noConversion"/>
  </si>
  <si>
    <r>
      <rPr>
        <sz val="12"/>
        <rFont val="宋体"/>
        <family val="3"/>
        <charset val="134"/>
      </rPr>
      <t>土地使用年限</t>
    </r>
    <phoneticPr fontId="5" type="noConversion"/>
  </si>
  <si>
    <r>
      <rPr>
        <sz val="12"/>
        <color theme="1"/>
        <rFont val="宋体"/>
        <family val="3"/>
        <charset val="134"/>
      </rPr>
      <t>成新率（</t>
    </r>
    <r>
      <rPr>
        <sz val="12"/>
        <color theme="1"/>
        <rFont val="Arial"/>
        <family val="2"/>
      </rPr>
      <t>%</t>
    </r>
    <r>
      <rPr>
        <sz val="12"/>
        <color theme="1"/>
        <rFont val="宋体"/>
        <family val="3"/>
        <charset val="134"/>
      </rPr>
      <t>）</t>
    </r>
    <phoneticPr fontId="5" type="noConversion"/>
  </si>
  <si>
    <r>
      <rPr>
        <b/>
        <sz val="10"/>
        <color indexed="8"/>
        <rFont val="宋体"/>
        <family val="3"/>
        <charset val="134"/>
      </rPr>
      <t>未来第一年年总收益</t>
    </r>
    <phoneticPr fontId="5" type="noConversion"/>
  </si>
  <si>
    <r>
      <rPr>
        <sz val="12"/>
        <rFont val="宋体"/>
        <family val="3"/>
        <charset val="134"/>
      </rPr>
      <t>建筑使用方向</t>
    </r>
    <phoneticPr fontId="5" type="noConversion"/>
  </si>
  <si>
    <r>
      <rPr>
        <sz val="12"/>
        <color theme="1"/>
        <rFont val="宋体"/>
        <family val="3"/>
        <charset val="134"/>
      </rPr>
      <t>剩余土地使用年限</t>
    </r>
    <phoneticPr fontId="5"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</si>
  <si>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5" type="noConversion"/>
  </si>
  <si>
    <r>
      <rPr>
        <sz val="10"/>
        <color indexed="8"/>
        <rFont val="宋体"/>
        <family val="3"/>
        <charset val="134"/>
      </rPr>
      <t>租金收入</t>
    </r>
    <phoneticPr fontId="5" type="noConversion"/>
  </si>
  <si>
    <r>
      <rPr>
        <sz val="11"/>
        <color indexed="8"/>
        <rFont val="宋体"/>
        <family val="3"/>
        <charset val="134"/>
      </rPr>
      <t>市场租金</t>
    </r>
    <phoneticPr fontId="5" type="noConversion"/>
  </si>
  <si>
    <r>
      <rPr>
        <sz val="12"/>
        <rFont val="宋体"/>
        <family val="3"/>
        <charset val="134"/>
      </rPr>
      <t>建成年代</t>
    </r>
    <phoneticPr fontId="5" type="noConversion"/>
  </si>
  <si>
    <r>
      <rPr>
        <sz val="11"/>
        <color theme="1"/>
        <rFont val="宋体"/>
        <family val="3"/>
        <charset val="134"/>
      </rPr>
      <t>比较法土地结果</t>
    </r>
    <phoneticPr fontId="5"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</si>
  <si>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</si>
  <si>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</si>
  <si>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5" type="noConversion"/>
  </si>
  <si>
    <r>
      <rPr>
        <sz val="11"/>
        <color theme="1"/>
        <rFont val="宋体"/>
        <family val="3"/>
        <charset val="134"/>
      </rPr>
      <t>基准地价土地结果</t>
    </r>
    <phoneticPr fontId="5" type="noConversion"/>
  </si>
  <si>
    <r>
      <rPr>
        <sz val="12"/>
        <rFont val="宋体"/>
        <family val="3"/>
        <charset val="134"/>
      </rPr>
      <t>建筑物剩余耐用年限</t>
    </r>
    <phoneticPr fontId="5" type="noConversion"/>
  </si>
  <si>
    <r>
      <rPr>
        <sz val="12"/>
        <rFont val="宋体"/>
        <family val="3"/>
        <charset val="134"/>
      </rPr>
      <t>收益还原法土地结果</t>
    </r>
    <phoneticPr fontId="5"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</si>
  <si>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5" type="noConversion"/>
  </si>
  <si>
    <r>
      <rPr>
        <sz val="12"/>
        <rFont val="宋体"/>
        <family val="3"/>
        <charset val="134"/>
      </rPr>
      <t>建筑物报酬率</t>
    </r>
    <phoneticPr fontId="5" type="noConversion"/>
  </si>
  <si>
    <r>
      <rPr>
        <sz val="12"/>
        <rFont val="宋体"/>
        <family val="3"/>
        <charset val="134"/>
      </rPr>
      <t>土地报酬率</t>
    </r>
    <phoneticPr fontId="5" type="noConversion"/>
  </si>
  <si>
    <r>
      <rPr>
        <sz val="12"/>
        <color theme="1"/>
        <rFont val="宋体"/>
        <family val="3"/>
        <charset val="134"/>
      </rPr>
      <t>剩余土地价值折现到价值时点的价值（元）</t>
    </r>
    <phoneticPr fontId="5"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</si>
  <si>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</si>
  <si>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5" type="noConversion"/>
  </si>
  <si>
    <r>
      <rPr>
        <b/>
        <sz val="12"/>
        <rFont val="宋体"/>
        <family val="3"/>
        <charset val="134"/>
      </rPr>
      <t>土地使用权计算</t>
    </r>
    <phoneticPr fontId="5"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</si>
  <si>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5" type="noConversion"/>
  </si>
  <si>
    <r>
      <rPr>
        <sz val="12"/>
        <rFont val="宋体"/>
        <family val="3"/>
        <charset val="134"/>
      </rPr>
      <t>是否约定土地使用期结束后无偿收回房地产（非住宅）</t>
    </r>
    <phoneticPr fontId="5" type="noConversion"/>
  </si>
  <si>
    <r>
      <rPr>
        <sz val="12"/>
        <rFont val="宋体"/>
        <family val="3"/>
        <charset val="134"/>
      </rPr>
      <t>建筑物耐用年限结束后剩余土地使用年限</t>
    </r>
    <phoneticPr fontId="5"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</si>
  <si>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5" type="noConversion"/>
  </si>
  <si>
    <r>
      <rPr>
        <sz val="12"/>
        <rFont val="宋体"/>
        <family val="3"/>
        <charset val="134"/>
      </rPr>
      <t>土地使用年限结束后建筑物耐用年期</t>
    </r>
    <phoneticPr fontId="5" type="noConversion"/>
  </si>
  <si>
    <r>
      <rPr>
        <sz val="12"/>
        <rFont val="宋体"/>
        <family val="3"/>
        <charset val="134"/>
      </rPr>
      <t>价值时点下的土地价值（土地购买价格）</t>
    </r>
    <phoneticPr fontId="5"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</si>
  <si>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</si>
  <si>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</si>
  <si>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5" type="noConversion"/>
  </si>
  <si>
    <r>
      <rPr>
        <sz val="12"/>
        <rFont val="宋体"/>
        <family val="3"/>
        <charset val="134"/>
      </rPr>
      <t>剩余土地使用年期下的土地年期修正系数</t>
    </r>
    <phoneticPr fontId="5"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</si>
  <si>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</si>
  <si>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5" type="noConversion"/>
  </si>
  <si>
    <r>
      <rPr>
        <b/>
        <sz val="12"/>
        <rFont val="宋体"/>
        <family val="3"/>
        <charset val="134"/>
      </rPr>
      <t>建筑物剩余价值折现值</t>
    </r>
    <phoneticPr fontId="5" type="noConversion"/>
  </si>
  <si>
    <r>
      <rPr>
        <b/>
        <sz val="12"/>
        <rFont val="宋体"/>
        <family val="3"/>
        <charset val="134"/>
      </rPr>
      <t>剩余土地价值折现值</t>
    </r>
    <phoneticPr fontId="5"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</si>
  <si>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5" type="noConversion"/>
  </si>
  <si>
    <r>
      <rPr>
        <sz val="10"/>
        <color indexed="8"/>
        <rFont val="宋体"/>
        <family val="3"/>
        <charset val="134"/>
      </rPr>
      <t>房产税</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</si>
  <si>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</si>
  <si>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</si>
  <si>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</si>
  <si>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</si>
  <si>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</si>
  <si>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</si>
  <si>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</si>
  <si>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5" type="noConversion"/>
  </si>
  <si>
    <r>
      <rPr>
        <sz val="10"/>
        <color indexed="8"/>
        <rFont val="宋体"/>
        <family val="3"/>
        <charset val="134"/>
      </rPr>
      <t>土地面积（㎡）</t>
    </r>
    <phoneticPr fontId="5" type="noConversion"/>
  </si>
  <si>
    <r>
      <rPr>
        <sz val="12"/>
        <rFont val="宋体"/>
        <family val="3"/>
        <charset val="134"/>
      </rPr>
      <t>钢</t>
    </r>
    <phoneticPr fontId="5" type="noConversion"/>
  </si>
  <si>
    <r>
      <rPr>
        <sz val="12"/>
        <rFont val="宋体"/>
        <family val="3"/>
        <charset val="134"/>
      </rPr>
      <t>钢混</t>
    </r>
    <phoneticPr fontId="5"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</si>
  <si>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5" type="noConversion"/>
  </si>
  <si>
    <r>
      <rPr>
        <sz val="12"/>
        <rFont val="宋体"/>
        <family val="3"/>
        <charset val="134"/>
      </rPr>
      <t>砖混</t>
    </r>
    <phoneticPr fontId="5"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</si>
  <si>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5" type="noConversion"/>
  </si>
  <si>
    <r>
      <rPr>
        <sz val="12"/>
        <color rgb="FF000000"/>
        <rFont val="宋体"/>
        <family val="3"/>
        <charset val="134"/>
      </rPr>
      <t>房地纯收益（元）</t>
    </r>
    <phoneticPr fontId="5" type="noConversion"/>
  </si>
  <si>
    <r>
      <rPr>
        <sz val="12"/>
        <color rgb="FF000000"/>
        <rFont val="宋体"/>
        <family val="3"/>
        <charset val="134"/>
      </rPr>
      <t>建筑物现值（元）</t>
    </r>
    <phoneticPr fontId="5"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</si>
  <si>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5" type="noConversion"/>
  </si>
  <si>
    <r>
      <rPr>
        <b/>
        <sz val="16"/>
        <color rgb="FFFF0000"/>
        <rFont val="宋体"/>
        <family val="3"/>
        <charset val="134"/>
      </rPr>
      <t>典型户型修正</t>
    </r>
    <phoneticPr fontId="5" type="noConversion"/>
  </si>
  <si>
    <r>
      <rPr>
        <b/>
        <sz val="12"/>
        <rFont val="宋体"/>
        <family val="3"/>
        <charset val="134"/>
      </rPr>
      <t>总价</t>
    </r>
    <phoneticPr fontId="16" type="noConversion"/>
  </si>
  <si>
    <r>
      <rPr>
        <b/>
        <sz val="12"/>
        <rFont val="宋体"/>
        <family val="3"/>
        <charset val="134"/>
      </rPr>
      <t>楼面单价</t>
    </r>
    <phoneticPr fontId="16"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</si>
  <si>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1" type="noConversion"/>
  </si>
  <si>
    <r>
      <rPr>
        <sz val="10"/>
        <color indexed="8"/>
        <rFont val="宋体"/>
        <family val="3"/>
        <charset val="134"/>
      </rPr>
      <t>修正项</t>
    </r>
    <phoneticPr fontId="21" type="noConversion"/>
  </si>
  <si>
    <r>
      <rPr>
        <sz val="10"/>
        <color indexed="8"/>
        <rFont val="宋体"/>
        <family val="3"/>
        <charset val="134"/>
      </rPr>
      <t>说明</t>
    </r>
    <phoneticPr fontId="21" type="noConversion"/>
  </si>
  <si>
    <r>
      <rPr>
        <sz val="10"/>
        <color indexed="8"/>
        <rFont val="宋体"/>
        <family val="3"/>
        <charset val="134"/>
      </rPr>
      <t>修正系数</t>
    </r>
    <phoneticPr fontId="21" type="noConversion"/>
  </si>
  <si>
    <r>
      <rPr>
        <sz val="10"/>
        <color indexed="8"/>
        <rFont val="宋体"/>
        <family val="3"/>
        <charset val="134"/>
      </rPr>
      <t>建筑面积</t>
    </r>
    <phoneticPr fontId="5" type="noConversion"/>
  </si>
  <si>
    <r>
      <rPr>
        <sz val="10"/>
        <color indexed="8"/>
        <rFont val="宋体"/>
        <family val="3"/>
        <charset val="134"/>
      </rPr>
      <t>修正项</t>
    </r>
    <r>
      <rPr>
        <sz val="10"/>
        <color indexed="8"/>
        <rFont val="Arial"/>
        <family val="2"/>
      </rPr>
      <t>2</t>
    </r>
    <phoneticPr fontId="21" type="noConversion"/>
  </si>
  <si>
    <r>
      <rPr>
        <sz val="10"/>
        <color indexed="8"/>
        <rFont val="宋体"/>
        <family val="3"/>
        <charset val="134"/>
      </rPr>
      <t>修正项</t>
    </r>
    <r>
      <rPr>
        <sz val="10"/>
        <color indexed="8"/>
        <rFont val="Arial"/>
        <family val="2"/>
      </rPr>
      <t>3</t>
    </r>
    <phoneticPr fontId="21" type="noConversion"/>
  </si>
  <si>
    <r>
      <rPr>
        <sz val="10"/>
        <color indexed="8"/>
        <rFont val="宋体"/>
        <family val="3"/>
        <charset val="134"/>
      </rPr>
      <t>修正项</t>
    </r>
    <r>
      <rPr>
        <sz val="10"/>
        <color indexed="8"/>
        <rFont val="Arial"/>
        <family val="2"/>
      </rPr>
      <t>4</t>
    </r>
    <phoneticPr fontId="21" type="noConversion"/>
  </si>
  <si>
    <r>
      <rPr>
        <sz val="10"/>
        <color indexed="8"/>
        <rFont val="宋体"/>
        <family val="3"/>
        <charset val="134"/>
      </rPr>
      <t>修正项</t>
    </r>
    <r>
      <rPr>
        <sz val="10"/>
        <color indexed="8"/>
        <rFont val="Arial"/>
        <family val="2"/>
      </rPr>
      <t>5</t>
    </r>
    <phoneticPr fontId="21" type="noConversion"/>
  </si>
  <si>
    <r>
      <rPr>
        <sz val="10"/>
        <color indexed="8"/>
        <rFont val="宋体"/>
        <family val="3"/>
        <charset val="134"/>
      </rPr>
      <t>修正项</t>
    </r>
    <r>
      <rPr>
        <sz val="10"/>
        <color indexed="8"/>
        <rFont val="Arial"/>
        <family val="2"/>
      </rPr>
      <t>6</t>
    </r>
    <phoneticPr fontId="21" type="noConversion"/>
  </si>
  <si>
    <r>
      <rPr>
        <sz val="10"/>
        <color indexed="8"/>
        <rFont val="宋体"/>
        <family val="3"/>
        <charset val="134"/>
      </rPr>
      <t>修正项</t>
    </r>
    <r>
      <rPr>
        <sz val="10"/>
        <color indexed="8"/>
        <rFont val="Arial"/>
        <family val="2"/>
      </rPr>
      <t>7</t>
    </r>
    <phoneticPr fontId="21" type="noConversion"/>
  </si>
  <si>
    <r>
      <rPr>
        <b/>
        <sz val="10"/>
        <color indexed="8"/>
        <rFont val="宋体"/>
        <family val="3"/>
        <charset val="134"/>
      </rPr>
      <t>修正系数</t>
    </r>
    <phoneticPr fontId="21" type="noConversion"/>
  </si>
  <si>
    <r>
      <rPr>
        <sz val="10"/>
        <color indexed="8"/>
        <rFont val="宋体"/>
        <family val="3"/>
        <charset val="134"/>
      </rPr>
      <t>楼层</t>
    </r>
    <phoneticPr fontId="21" type="noConversion"/>
  </si>
  <si>
    <r>
      <rPr>
        <b/>
        <sz val="10"/>
        <color indexed="8"/>
        <rFont val="宋体"/>
        <family val="3"/>
        <charset val="134"/>
      </rPr>
      <t>承租人权益</t>
    </r>
    <phoneticPr fontId="21" type="noConversion"/>
  </si>
  <si>
    <r>
      <rPr>
        <b/>
        <sz val="12"/>
        <rFont val="宋体"/>
        <family val="3"/>
        <charset val="134"/>
      </rPr>
      <t>总值</t>
    </r>
    <phoneticPr fontId="16" type="noConversion"/>
  </si>
  <si>
    <r>
      <rPr>
        <b/>
        <sz val="12"/>
        <color indexed="8"/>
        <rFont val="宋体"/>
        <family val="3"/>
        <charset val="134"/>
      </rPr>
      <t>单价</t>
    </r>
    <phoneticPr fontId="21" type="noConversion"/>
  </si>
  <si>
    <r>
      <rPr>
        <sz val="10"/>
        <color indexed="8"/>
        <rFont val="宋体"/>
        <family val="3"/>
        <charset val="134"/>
      </rPr>
      <t>以元计</t>
    </r>
    <phoneticPr fontId="21" type="noConversion"/>
  </si>
  <si>
    <r>
      <rPr>
        <sz val="10"/>
        <color indexed="8"/>
        <rFont val="宋体"/>
        <family val="3"/>
        <charset val="134"/>
      </rPr>
      <t>以万元计</t>
    </r>
    <phoneticPr fontId="21" type="noConversion"/>
  </si>
  <si>
    <r>
      <rPr>
        <sz val="10"/>
        <color theme="1"/>
        <rFont val="宋体"/>
        <family val="3"/>
        <charset val="134"/>
      </rPr>
      <t>土地价值</t>
    </r>
    <phoneticPr fontId="21" type="noConversion"/>
  </si>
  <si>
    <r>
      <rPr>
        <sz val="10"/>
        <color theme="1"/>
        <rFont val="宋体"/>
        <family val="3"/>
        <charset val="134"/>
      </rPr>
      <t>比例</t>
    </r>
    <phoneticPr fontId="21" type="noConversion"/>
  </si>
  <si>
    <r>
      <rPr>
        <sz val="10"/>
        <color theme="1"/>
        <rFont val="宋体"/>
        <family val="3"/>
        <charset val="134"/>
      </rPr>
      <t>建筑物价值</t>
    </r>
    <phoneticPr fontId="21" type="noConversion"/>
  </si>
  <si>
    <r>
      <rPr>
        <b/>
        <sz val="10"/>
        <color indexed="8"/>
        <rFont val="宋体"/>
        <family val="3"/>
        <charset val="134"/>
      </rPr>
      <t>合计</t>
    </r>
    <phoneticPr fontId="21"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</si>
  <si>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1" type="noConversion"/>
  </si>
  <si>
    <r>
      <rPr>
        <sz val="10"/>
        <color indexed="8"/>
        <rFont val="宋体"/>
        <family val="3"/>
        <charset val="134"/>
      </rPr>
      <t>建筑面积</t>
    </r>
    <phoneticPr fontId="21" type="noConversion"/>
  </si>
  <si>
    <r>
      <rPr>
        <sz val="10"/>
        <color indexed="8"/>
        <rFont val="宋体"/>
        <family val="3"/>
        <charset val="134"/>
      </rPr>
      <t>修正系数</t>
    </r>
    <phoneticPr fontId="21" type="noConversion"/>
  </si>
  <si>
    <r>
      <rPr>
        <sz val="10"/>
        <color indexed="8"/>
        <rFont val="宋体"/>
        <family val="3"/>
        <charset val="134"/>
      </rPr>
      <t>修正单价</t>
    </r>
    <phoneticPr fontId="21" type="noConversion"/>
  </si>
  <si>
    <r>
      <rPr>
        <sz val="10"/>
        <color indexed="8"/>
        <rFont val="宋体"/>
        <family val="3"/>
        <charset val="134"/>
      </rPr>
      <t>总价</t>
    </r>
    <phoneticPr fontId="21" type="noConversion"/>
  </si>
  <si>
    <r>
      <rPr>
        <sz val="10"/>
        <color theme="1"/>
        <rFont val="宋体"/>
        <family val="3"/>
        <charset val="134"/>
      </rPr>
      <t>总价（元）</t>
    </r>
    <phoneticPr fontId="21" type="noConversion"/>
  </si>
  <si>
    <r>
      <rPr>
        <sz val="10"/>
        <color theme="1"/>
        <rFont val="宋体"/>
        <family val="3"/>
        <charset val="134"/>
      </rPr>
      <t>总价（万元）</t>
    </r>
    <phoneticPr fontId="21" type="noConversion"/>
  </si>
  <si>
    <r>
      <rPr>
        <sz val="10"/>
        <color indexed="8"/>
        <rFont val="宋体"/>
        <family val="3"/>
        <charset val="134"/>
      </rPr>
      <t>单价</t>
    </r>
    <phoneticPr fontId="21" type="noConversion"/>
  </si>
  <si>
    <r>
      <rPr>
        <b/>
        <sz val="10"/>
        <color indexed="10"/>
        <rFont val="宋体"/>
        <family val="3"/>
        <charset val="134"/>
      </rPr>
      <t>基准户型</t>
    </r>
    <phoneticPr fontId="21" type="noConversion"/>
  </si>
  <si>
    <r>
      <rPr>
        <b/>
        <sz val="16"/>
        <color rgb="FFFF0000"/>
        <rFont val="宋体"/>
        <family val="3"/>
        <charset val="134"/>
      </rPr>
      <t>比较法</t>
    </r>
    <phoneticPr fontId="5" type="noConversion"/>
  </si>
  <si>
    <r>
      <rPr>
        <b/>
        <sz val="16"/>
        <rFont val="宋体"/>
        <family val="3"/>
        <charset val="134"/>
      </rPr>
      <t>住宅</t>
    </r>
    <phoneticPr fontId="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</si>
  <si>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1" type="noConversion"/>
  </si>
  <si>
    <r>
      <rPr>
        <b/>
        <sz val="12"/>
        <rFont val="宋体"/>
        <family val="3"/>
        <charset val="134"/>
      </rPr>
      <t>建筑面积</t>
    </r>
    <phoneticPr fontId="21"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</si>
  <si>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</si>
  <si>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</si>
  <si>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</si>
  <si>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</si>
  <si>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</si>
  <si>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</si>
  <si>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</si>
  <si>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theme="9" tint="-0.249977111117893"/>
        <rFont val="宋体"/>
        <family val="3"/>
        <charset val="134"/>
      </rPr>
      <t>估价对象名称</t>
    </r>
    <phoneticPr fontId="5"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</si>
  <si>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</si>
  <si>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</si>
  <si>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5" type="noConversion"/>
  </si>
  <si>
    <r>
      <rPr>
        <sz val="11"/>
        <color theme="9" tint="-0.249977111117893"/>
        <rFont val="宋体"/>
        <family val="3"/>
        <charset val="134"/>
      </rPr>
      <t>项目位置</t>
    </r>
    <phoneticPr fontId="5" type="noConversion"/>
  </si>
  <si>
    <r>
      <rPr>
        <sz val="11"/>
        <color indexed="8"/>
        <rFont val="宋体"/>
        <family val="3"/>
        <charset val="134"/>
      </rPr>
      <t>系数</t>
    </r>
    <r>
      <rPr>
        <sz val="11"/>
        <color indexed="8"/>
        <rFont val="Arial"/>
        <family val="2"/>
      </rPr>
      <t>%</t>
    </r>
    <phoneticPr fontId="5" type="noConversion"/>
  </si>
  <si>
    <r>
      <rPr>
        <b/>
        <sz val="11"/>
        <color indexed="8"/>
        <rFont val="宋体"/>
        <family val="3"/>
        <charset val="134"/>
      </rPr>
      <t>交易时间</t>
    </r>
    <phoneticPr fontId="5" type="noConversion"/>
  </si>
  <si>
    <r>
      <rPr>
        <sz val="11"/>
        <color indexed="8"/>
        <rFont val="宋体"/>
        <family val="3"/>
        <charset val="134"/>
      </rPr>
      <t>交易时间</t>
    </r>
    <phoneticPr fontId="5" type="noConversion"/>
  </si>
  <si>
    <r>
      <rPr>
        <b/>
        <sz val="11"/>
        <color indexed="8"/>
        <rFont val="宋体"/>
        <family val="3"/>
        <charset val="134"/>
      </rPr>
      <t>交易情况</t>
    </r>
    <phoneticPr fontId="5" type="noConversion"/>
  </si>
  <si>
    <r>
      <rPr>
        <sz val="11"/>
        <color indexed="8"/>
        <rFont val="宋体"/>
        <family val="3"/>
        <charset val="134"/>
      </rPr>
      <t>正常</t>
    </r>
    <phoneticPr fontId="21" type="noConversion"/>
  </si>
  <si>
    <r>
      <rPr>
        <sz val="11"/>
        <color indexed="8"/>
        <rFont val="宋体"/>
        <family val="3"/>
        <charset val="134"/>
      </rPr>
      <t>交易情况</t>
    </r>
    <phoneticPr fontId="5" type="noConversion"/>
  </si>
  <si>
    <r>
      <rPr>
        <b/>
        <sz val="11"/>
        <color indexed="8"/>
        <rFont val="宋体"/>
        <family val="3"/>
        <charset val="134"/>
      </rPr>
      <t>权益状况</t>
    </r>
    <phoneticPr fontId="5" type="noConversion"/>
  </si>
  <si>
    <r>
      <rPr>
        <sz val="11"/>
        <color indexed="8"/>
        <rFont val="宋体"/>
        <family val="3"/>
        <charset val="134"/>
      </rPr>
      <t>用途</t>
    </r>
    <phoneticPr fontId="5" type="noConversion"/>
  </si>
  <si>
    <r>
      <rPr>
        <sz val="11"/>
        <rFont val="宋体"/>
        <family val="3"/>
        <charset val="134"/>
      </rPr>
      <t>权益状况</t>
    </r>
    <phoneticPr fontId="5" type="noConversion"/>
  </si>
  <si>
    <r>
      <rPr>
        <sz val="11"/>
        <color indexed="8"/>
        <rFont val="宋体"/>
        <family val="3"/>
        <charset val="134"/>
      </rPr>
      <t>权益状况</t>
    </r>
    <phoneticPr fontId="5" type="noConversion"/>
  </si>
  <si>
    <r>
      <rPr>
        <sz val="11"/>
        <color indexed="8"/>
        <rFont val="宋体"/>
        <family val="3"/>
        <charset val="134"/>
      </rPr>
      <t>土地使用年限（年）</t>
    </r>
    <phoneticPr fontId="5" type="noConversion"/>
  </si>
  <si>
    <r>
      <rPr>
        <sz val="11"/>
        <color indexed="8"/>
        <rFont val="宋体"/>
        <family val="3"/>
        <charset val="134"/>
      </rPr>
      <t>容积率</t>
    </r>
    <phoneticPr fontId="5" type="noConversion"/>
  </si>
  <si>
    <r>
      <rPr>
        <b/>
        <sz val="11"/>
        <rFont val="宋体"/>
        <family val="3"/>
        <charset val="134"/>
      </rPr>
      <t>区位状况</t>
    </r>
    <phoneticPr fontId="5" type="noConversion"/>
  </si>
  <si>
    <r>
      <rPr>
        <sz val="11"/>
        <rFont val="宋体"/>
        <family val="3"/>
        <charset val="134"/>
      </rPr>
      <t>区位状况</t>
    </r>
    <phoneticPr fontId="5" type="noConversion"/>
  </si>
  <si>
    <r>
      <rPr>
        <sz val="11"/>
        <color indexed="8"/>
        <rFont val="宋体"/>
        <family val="3"/>
        <charset val="134"/>
      </rPr>
      <t>楼层</t>
    </r>
    <r>
      <rPr>
        <sz val="11"/>
        <color indexed="8"/>
        <rFont val="Arial"/>
        <family val="2"/>
      </rPr>
      <t>-1</t>
    </r>
    <phoneticPr fontId="21" type="noConversion"/>
  </si>
  <si>
    <r>
      <rPr>
        <sz val="11"/>
        <color indexed="8"/>
        <rFont val="宋体"/>
        <family val="3"/>
        <charset val="134"/>
      </rPr>
      <t>朝向</t>
    </r>
  </si>
  <si>
    <r>
      <rPr>
        <sz val="11"/>
        <color indexed="8"/>
        <rFont val="宋体"/>
        <family val="3"/>
        <charset val="134"/>
      </rPr>
      <t>道路级别</t>
    </r>
    <phoneticPr fontId="21" type="noConversion"/>
  </si>
  <si>
    <r>
      <rPr>
        <b/>
        <sz val="11"/>
        <rFont val="宋体"/>
        <family val="3"/>
        <charset val="134"/>
      </rPr>
      <t>实物状况</t>
    </r>
    <phoneticPr fontId="5" type="noConversion"/>
  </si>
  <si>
    <r>
      <rPr>
        <sz val="11"/>
        <color indexed="8"/>
        <rFont val="宋体"/>
        <family val="3"/>
        <charset val="134"/>
      </rPr>
      <t>建筑类型</t>
    </r>
  </si>
  <si>
    <r>
      <rPr>
        <sz val="11"/>
        <rFont val="宋体"/>
        <family val="3"/>
        <charset val="134"/>
      </rPr>
      <t>实物状况</t>
    </r>
    <phoneticPr fontId="5"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</si>
  <si>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</si>
  <si>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</si>
  <si>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</si>
  <si>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</si>
  <si>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</si>
  <si>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</si>
  <si>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1"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</si>
  <si>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</si>
  <si>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5"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</si>
  <si>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</si>
  <si>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</si>
  <si>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</si>
  <si>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</si>
  <si>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</si>
  <si>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</si>
  <si>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</si>
  <si>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</si>
  <si>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</si>
  <si>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</si>
  <si>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1" type="noConversion"/>
  </si>
  <si>
    <r>
      <rPr>
        <b/>
        <sz val="11"/>
        <color indexed="8"/>
        <rFont val="宋体"/>
        <family val="3"/>
        <charset val="134"/>
      </rPr>
      <t>交易情况</t>
    </r>
    <phoneticPr fontId="5" type="noConversion"/>
  </si>
  <si>
    <r>
      <rPr>
        <sz val="11"/>
        <color indexed="8"/>
        <rFont val="宋体"/>
        <family val="3"/>
        <charset val="134"/>
      </rPr>
      <t>正常</t>
    </r>
    <phoneticPr fontId="21" type="noConversion"/>
  </si>
  <si>
    <r>
      <rPr>
        <b/>
        <sz val="11"/>
        <rFont val="宋体"/>
        <family val="3"/>
        <charset val="134"/>
      </rPr>
      <t>权益状况</t>
    </r>
    <phoneticPr fontId="5" type="noConversion"/>
  </si>
  <si>
    <r>
      <t>60-70</t>
    </r>
    <r>
      <rPr>
        <sz val="11"/>
        <rFont val="宋体"/>
        <family val="3"/>
        <charset val="134"/>
      </rPr>
      <t>（含）</t>
    </r>
    <phoneticPr fontId="21" type="noConversion"/>
  </si>
  <si>
    <r>
      <t>50-60</t>
    </r>
    <r>
      <rPr>
        <sz val="11"/>
        <rFont val="宋体"/>
        <family val="3"/>
        <charset val="134"/>
      </rPr>
      <t>（含）</t>
    </r>
    <phoneticPr fontId="21" type="noConversion"/>
  </si>
  <si>
    <r>
      <t>40-50</t>
    </r>
    <r>
      <rPr>
        <sz val="11"/>
        <rFont val="宋体"/>
        <family val="3"/>
        <charset val="134"/>
      </rPr>
      <t>（含）</t>
    </r>
    <phoneticPr fontId="21" type="noConversion"/>
  </si>
  <si>
    <r>
      <t>30-40</t>
    </r>
    <r>
      <rPr>
        <sz val="11"/>
        <rFont val="宋体"/>
        <family val="3"/>
        <charset val="134"/>
      </rPr>
      <t>（含）</t>
    </r>
    <phoneticPr fontId="21" type="noConversion"/>
  </si>
  <si>
    <r>
      <t>20-30</t>
    </r>
    <r>
      <rPr>
        <sz val="11"/>
        <rFont val="宋体"/>
        <family val="3"/>
        <charset val="134"/>
      </rPr>
      <t>（含）</t>
    </r>
    <phoneticPr fontId="21" type="noConversion"/>
  </si>
  <si>
    <r>
      <t>10-20</t>
    </r>
    <r>
      <rPr>
        <sz val="11"/>
        <rFont val="宋体"/>
        <family val="3"/>
        <charset val="134"/>
      </rPr>
      <t>（含）</t>
    </r>
    <phoneticPr fontId="21" type="noConversion"/>
  </si>
  <si>
    <r>
      <t>0-10</t>
    </r>
    <r>
      <rPr>
        <sz val="11"/>
        <rFont val="宋体"/>
        <family val="3"/>
        <charset val="134"/>
      </rPr>
      <t>（含）</t>
    </r>
    <phoneticPr fontId="21" type="noConversion"/>
  </si>
  <si>
    <r>
      <rPr>
        <sz val="11"/>
        <color indexed="8"/>
        <rFont val="宋体"/>
        <family val="3"/>
        <charset val="134"/>
      </rPr>
      <t>居住社区成熟度</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</si>
  <si>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</si>
  <si>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</si>
  <si>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</si>
  <si>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</si>
  <si>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</si>
  <si>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sz val="11"/>
        <color indexed="8"/>
        <rFont val="宋体"/>
        <family val="3"/>
        <charset val="134"/>
      </rPr>
      <t>交通便捷度</t>
    </r>
    <phoneticPr fontId="5" type="noConversion"/>
  </si>
  <si>
    <r>
      <rPr>
        <sz val="11"/>
        <color indexed="8"/>
        <rFont val="宋体"/>
        <family val="3"/>
        <charset val="134"/>
      </rPr>
      <t>公共配套设施</t>
    </r>
    <phoneticPr fontId="5" type="noConversion"/>
  </si>
  <si>
    <r>
      <rPr>
        <sz val="11"/>
        <rFont val="宋体"/>
        <family val="3"/>
        <charset val="134"/>
      </rPr>
      <t>七通</t>
    </r>
    <phoneticPr fontId="5" type="noConversion"/>
  </si>
  <si>
    <r>
      <rPr>
        <sz val="11"/>
        <rFont val="宋体"/>
        <family val="3"/>
        <charset val="134"/>
      </rPr>
      <t>六通</t>
    </r>
    <phoneticPr fontId="5" type="noConversion"/>
  </si>
  <si>
    <r>
      <rPr>
        <sz val="11"/>
        <rFont val="宋体"/>
        <family val="3"/>
        <charset val="134"/>
      </rPr>
      <t>五通</t>
    </r>
    <phoneticPr fontId="5" type="noConversion"/>
  </si>
  <si>
    <r>
      <rPr>
        <sz val="11"/>
        <rFont val="宋体"/>
        <family val="3"/>
        <charset val="134"/>
      </rPr>
      <t>四通</t>
    </r>
    <phoneticPr fontId="5" type="noConversion"/>
  </si>
  <si>
    <r>
      <rPr>
        <sz val="11"/>
        <rFont val="宋体"/>
        <family val="3"/>
        <charset val="134"/>
      </rPr>
      <t>三通</t>
    </r>
    <phoneticPr fontId="5" type="noConversion"/>
  </si>
  <si>
    <r>
      <rPr>
        <sz val="11"/>
        <color indexed="8"/>
        <rFont val="宋体"/>
        <family val="3"/>
        <charset val="134"/>
      </rPr>
      <t>自然及人文环境</t>
    </r>
    <phoneticPr fontId="5" type="noConversion"/>
  </si>
  <si>
    <r>
      <rPr>
        <sz val="11"/>
        <color indexed="8"/>
        <rFont val="宋体"/>
        <family val="3"/>
        <charset val="134"/>
      </rPr>
      <t>楼层</t>
    </r>
    <r>
      <rPr>
        <sz val="11"/>
        <color indexed="8"/>
        <rFont val="Arial"/>
        <family val="2"/>
      </rPr>
      <t>-1</t>
    </r>
    <phoneticPr fontId="5" type="noConversion"/>
  </si>
  <si>
    <r>
      <rPr>
        <sz val="11"/>
        <color indexed="8"/>
        <rFont val="宋体"/>
        <family val="3"/>
        <charset val="134"/>
      </rPr>
      <t>朝向</t>
    </r>
    <phoneticPr fontId="5" type="noConversion"/>
  </si>
  <si>
    <r>
      <rPr>
        <sz val="11"/>
        <color indexed="8"/>
        <rFont val="宋体"/>
        <family val="3"/>
        <charset val="134"/>
      </rPr>
      <t>建筑类型</t>
    </r>
    <phoneticPr fontId="5" type="noConversion"/>
  </si>
  <si>
    <r>
      <rPr>
        <sz val="11"/>
        <color indexed="8"/>
        <rFont val="宋体"/>
        <family val="3"/>
        <charset val="134"/>
      </rPr>
      <t>项目建筑规模</t>
    </r>
    <phoneticPr fontId="5" type="noConversion"/>
  </si>
  <si>
    <r>
      <rPr>
        <sz val="11"/>
        <color indexed="8"/>
        <rFont val="宋体"/>
        <family val="3"/>
        <charset val="134"/>
      </rPr>
      <t>建筑结构</t>
    </r>
    <phoneticPr fontId="5" type="noConversion"/>
  </si>
  <si>
    <r>
      <rPr>
        <sz val="11"/>
        <color indexed="8"/>
        <rFont val="宋体"/>
        <family val="3"/>
        <charset val="134"/>
      </rPr>
      <t>建筑品质</t>
    </r>
    <phoneticPr fontId="5" type="noConversion"/>
  </si>
  <si>
    <r>
      <rPr>
        <sz val="11"/>
        <color indexed="8"/>
        <rFont val="宋体"/>
        <family val="3"/>
        <charset val="134"/>
      </rPr>
      <t>公共部分装修</t>
    </r>
    <phoneticPr fontId="5" type="noConversion"/>
  </si>
  <si>
    <r>
      <rPr>
        <sz val="11"/>
        <color indexed="8"/>
        <rFont val="宋体"/>
        <family val="3"/>
        <charset val="134"/>
      </rPr>
      <t>成新度</t>
    </r>
    <phoneticPr fontId="5" type="noConversion"/>
  </si>
  <si>
    <r>
      <rPr>
        <sz val="11"/>
        <color indexed="8"/>
        <rFont val="宋体"/>
        <family val="3"/>
        <charset val="134"/>
      </rPr>
      <t>物业管理</t>
    </r>
    <phoneticPr fontId="5" type="noConversion"/>
  </si>
  <si>
    <r>
      <rPr>
        <sz val="11"/>
        <color indexed="8"/>
        <rFont val="宋体"/>
        <family val="3"/>
        <charset val="134"/>
      </rPr>
      <t>市政基础设施</t>
    </r>
    <phoneticPr fontId="5" type="noConversion"/>
  </si>
  <si>
    <r>
      <rPr>
        <sz val="11"/>
        <color indexed="8"/>
        <rFont val="宋体"/>
        <family val="3"/>
        <charset val="134"/>
      </rPr>
      <t>房型</t>
    </r>
    <phoneticPr fontId="5" type="noConversion"/>
  </si>
  <si>
    <r>
      <rPr>
        <sz val="11"/>
        <color indexed="8"/>
        <rFont val="宋体"/>
        <family val="3"/>
        <charset val="134"/>
      </rPr>
      <t>内部装修</t>
    </r>
    <phoneticPr fontId="5" type="noConversion"/>
  </si>
  <si>
    <r>
      <rPr>
        <sz val="11"/>
        <color indexed="8"/>
        <rFont val="宋体"/>
        <family val="3"/>
        <charset val="134"/>
      </rPr>
      <t>内部装修维护情况</t>
    </r>
    <phoneticPr fontId="5"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</si>
  <si>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1" type="noConversion"/>
  </si>
  <si>
    <r>
      <rPr>
        <sz val="11"/>
        <color theme="1"/>
        <rFont val="宋体"/>
        <family val="3"/>
        <charset val="134"/>
      </rPr>
      <t>多层</t>
    </r>
    <phoneticPr fontId="89" type="noConversion"/>
  </si>
  <si>
    <r>
      <rPr>
        <sz val="11"/>
        <color theme="1"/>
        <rFont val="宋体"/>
        <family val="3"/>
        <charset val="134"/>
      </rPr>
      <t>高层</t>
    </r>
    <phoneticPr fontId="89" type="noConversion"/>
  </si>
  <si>
    <r>
      <rPr>
        <sz val="11"/>
        <color theme="1"/>
        <rFont val="宋体"/>
        <family val="3"/>
        <charset val="134"/>
      </rPr>
      <t>无电梯</t>
    </r>
    <phoneticPr fontId="89" type="noConversion"/>
  </si>
  <si>
    <r>
      <rPr>
        <sz val="11"/>
        <color theme="1"/>
        <rFont val="宋体"/>
        <family val="3"/>
        <charset val="134"/>
      </rPr>
      <t>增值项</t>
    </r>
    <phoneticPr fontId="89" type="noConversion"/>
  </si>
  <si>
    <r>
      <rPr>
        <sz val="11"/>
        <color theme="1"/>
        <rFont val="宋体"/>
        <family val="3"/>
        <charset val="134"/>
      </rPr>
      <t>系数</t>
    </r>
    <phoneticPr fontId="89" type="noConversion"/>
  </si>
  <si>
    <r>
      <rPr>
        <sz val="11"/>
        <color theme="1"/>
        <rFont val="宋体"/>
        <family val="3"/>
        <charset val="134"/>
      </rPr>
      <t>有电梯</t>
    </r>
    <phoneticPr fontId="89"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</si>
  <si>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9" type="noConversion"/>
  </si>
  <si>
    <r>
      <rPr>
        <sz val="11"/>
        <color theme="1"/>
        <rFont val="宋体"/>
        <family val="3"/>
        <charset val="134"/>
      </rPr>
      <t>层差</t>
    </r>
    <r>
      <rPr>
        <sz val="11"/>
        <color theme="1"/>
        <rFont val="Arial"/>
        <family val="2"/>
      </rPr>
      <t>/</t>
    </r>
    <r>
      <rPr>
        <sz val="11"/>
        <color theme="1"/>
        <rFont val="宋体"/>
        <family val="3"/>
        <charset val="134"/>
      </rPr>
      <t>系数</t>
    </r>
    <phoneticPr fontId="89" type="noConversion"/>
  </si>
  <si>
    <r>
      <rPr>
        <sz val="11"/>
        <color theme="1"/>
        <rFont val="宋体"/>
        <family val="3"/>
        <charset val="134"/>
      </rPr>
      <t>露台</t>
    </r>
    <phoneticPr fontId="89" type="noConversion"/>
  </si>
  <si>
    <r>
      <rPr>
        <sz val="11"/>
        <color theme="1"/>
        <rFont val="宋体"/>
        <family val="3"/>
        <charset val="134"/>
      </rPr>
      <t>总层数</t>
    </r>
    <phoneticPr fontId="89" type="noConversion"/>
  </si>
  <si>
    <r>
      <rPr>
        <sz val="11"/>
        <color theme="1"/>
        <rFont val="宋体"/>
        <family val="3"/>
        <charset val="134"/>
      </rPr>
      <t>中间层</t>
    </r>
    <phoneticPr fontId="89" type="noConversion"/>
  </si>
  <si>
    <r>
      <rPr>
        <sz val="11"/>
        <color theme="1"/>
        <rFont val="宋体"/>
        <family val="3"/>
        <charset val="134"/>
      </rPr>
      <t>首层</t>
    </r>
    <phoneticPr fontId="89" type="noConversion"/>
  </si>
  <si>
    <r>
      <rPr>
        <sz val="11"/>
        <color theme="1"/>
        <rFont val="宋体"/>
        <family val="3"/>
        <charset val="134"/>
      </rPr>
      <t>顶层</t>
    </r>
    <phoneticPr fontId="89" type="noConversion"/>
  </si>
  <si>
    <r>
      <rPr>
        <sz val="11"/>
        <color theme="1"/>
        <rFont val="宋体"/>
        <family val="3"/>
        <charset val="134"/>
      </rPr>
      <t>所在楼层</t>
    </r>
    <phoneticPr fontId="89" type="noConversion"/>
  </si>
  <si>
    <r>
      <rPr>
        <sz val="11"/>
        <color theme="1"/>
        <rFont val="宋体"/>
        <family val="3"/>
        <charset val="134"/>
      </rPr>
      <t>花园</t>
    </r>
    <phoneticPr fontId="89" type="noConversion"/>
  </si>
  <si>
    <r>
      <rPr>
        <sz val="11"/>
        <color theme="1"/>
        <rFont val="宋体"/>
        <family val="3"/>
        <charset val="134"/>
      </rPr>
      <t>最高最低差</t>
    </r>
    <phoneticPr fontId="89" type="noConversion"/>
  </si>
  <si>
    <r>
      <rPr>
        <sz val="12"/>
        <rFont val="宋体"/>
        <family val="3"/>
        <charset val="134"/>
      </rPr>
      <t>注意于无电梯多层的价值匹配</t>
    </r>
    <phoneticPr fontId="21" type="noConversion"/>
  </si>
  <si>
    <r>
      <rPr>
        <sz val="11"/>
        <color rgb="FFFF0000"/>
        <rFont val="宋体"/>
        <family val="3"/>
        <charset val="134"/>
      </rPr>
      <t>修正体系描述方式：</t>
    </r>
    <phoneticPr fontId="21"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</si>
  <si>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1" type="noConversion"/>
  </si>
  <si>
    <r>
      <rPr>
        <b/>
        <sz val="16"/>
        <rFont val="宋体"/>
        <family val="3"/>
        <charset val="134"/>
      </rPr>
      <t>商业</t>
    </r>
    <phoneticPr fontId="5" type="noConversion"/>
  </si>
  <si>
    <r>
      <rPr>
        <sz val="11"/>
        <color indexed="8"/>
        <rFont val="宋体"/>
        <family val="3"/>
        <charset val="134"/>
      </rPr>
      <t>商业繁华度</t>
    </r>
    <phoneticPr fontId="26"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</si>
  <si>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</si>
  <si>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</si>
  <si>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临街状况</t>
    </r>
    <phoneticPr fontId="26"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</si>
  <si>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6" type="noConversion"/>
  </si>
  <si>
    <r>
      <rPr>
        <sz val="11"/>
        <color indexed="8"/>
        <rFont val="宋体"/>
        <family val="3"/>
        <charset val="134"/>
      </rPr>
      <t>人流量</t>
    </r>
    <phoneticPr fontId="26" type="noConversion"/>
  </si>
  <si>
    <r>
      <rPr>
        <sz val="11"/>
        <color indexed="8"/>
        <rFont val="宋体"/>
        <family val="3"/>
        <charset val="134"/>
      </rPr>
      <t>楼层</t>
    </r>
    <phoneticPr fontId="26" type="noConversion"/>
  </si>
  <si>
    <r>
      <rPr>
        <sz val="11"/>
        <color indexed="8"/>
        <rFont val="宋体"/>
        <family val="3"/>
        <charset val="134"/>
      </rPr>
      <t>商业类型</t>
    </r>
    <phoneticPr fontId="26" type="noConversion"/>
  </si>
  <si>
    <r>
      <rPr>
        <sz val="11"/>
        <color indexed="8"/>
        <rFont val="宋体"/>
        <family val="3"/>
        <charset val="134"/>
      </rPr>
      <t>公共部分装修</t>
    </r>
    <phoneticPr fontId="26" type="noConversion"/>
  </si>
  <si>
    <r>
      <rPr>
        <sz val="11"/>
        <color indexed="8"/>
        <rFont val="宋体"/>
        <family val="3"/>
        <charset val="134"/>
      </rPr>
      <t>成新度</t>
    </r>
    <phoneticPr fontId="26" type="noConversion"/>
  </si>
  <si>
    <r>
      <rPr>
        <sz val="11"/>
        <color indexed="8"/>
        <rFont val="宋体"/>
        <family val="3"/>
        <charset val="134"/>
      </rPr>
      <t>市政基础设施</t>
    </r>
    <phoneticPr fontId="26" type="noConversion"/>
  </si>
  <si>
    <r>
      <rPr>
        <sz val="11"/>
        <color indexed="8"/>
        <rFont val="宋体"/>
        <family val="3"/>
        <charset val="134"/>
      </rPr>
      <t>业态</t>
    </r>
    <phoneticPr fontId="26" type="noConversion"/>
  </si>
  <si>
    <r>
      <rPr>
        <sz val="11"/>
        <color indexed="8"/>
        <rFont val="宋体"/>
        <family val="3"/>
        <charset val="134"/>
      </rPr>
      <t>层高</t>
    </r>
    <phoneticPr fontId="26" type="noConversion"/>
  </si>
  <si>
    <r>
      <rPr>
        <sz val="11"/>
        <color indexed="8"/>
        <rFont val="宋体"/>
        <family val="3"/>
        <charset val="134"/>
      </rPr>
      <t>单套建筑面积</t>
    </r>
    <phoneticPr fontId="26" type="noConversion"/>
  </si>
  <si>
    <r>
      <rPr>
        <sz val="11"/>
        <rFont val="宋体"/>
        <family val="3"/>
        <charset val="134"/>
      </rPr>
      <t>进深比</t>
    </r>
    <phoneticPr fontId="5" type="noConversion"/>
  </si>
  <si>
    <r>
      <rPr>
        <sz val="11"/>
        <color indexed="8"/>
        <rFont val="宋体"/>
        <family val="3"/>
        <charset val="134"/>
      </rPr>
      <t>内部装修</t>
    </r>
    <phoneticPr fontId="26"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</si>
  <si>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</si>
  <si>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</si>
  <si>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</si>
  <si>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</si>
  <si>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</si>
  <si>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</si>
  <si>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sz val="11"/>
        <color indexed="8"/>
        <rFont val="宋体"/>
        <family val="3"/>
        <charset val="134"/>
      </rPr>
      <t>临街状况</t>
    </r>
    <phoneticPr fontId="5" type="noConversion"/>
  </si>
  <si>
    <r>
      <rPr>
        <sz val="11"/>
        <color indexed="8"/>
        <rFont val="宋体"/>
        <family val="3"/>
        <charset val="134"/>
      </rPr>
      <t>商业类型</t>
    </r>
    <phoneticPr fontId="5" type="noConversion"/>
  </si>
  <si>
    <r>
      <rPr>
        <sz val="11"/>
        <color indexed="8"/>
        <rFont val="宋体"/>
        <family val="3"/>
        <charset val="134"/>
      </rPr>
      <t>业态</t>
    </r>
    <phoneticPr fontId="5" type="noConversion"/>
  </si>
  <si>
    <r>
      <rPr>
        <sz val="11"/>
        <color indexed="8"/>
        <rFont val="宋体"/>
        <family val="3"/>
        <charset val="134"/>
      </rPr>
      <t>层高</t>
    </r>
    <phoneticPr fontId="5" type="noConversion"/>
  </si>
  <si>
    <r>
      <rPr>
        <sz val="11"/>
        <color indexed="8"/>
        <rFont val="宋体"/>
        <family val="3"/>
        <charset val="134"/>
      </rPr>
      <t>单套建筑面积</t>
    </r>
    <phoneticPr fontId="5" type="noConversion"/>
  </si>
  <si>
    <r>
      <rPr>
        <sz val="11"/>
        <color indexed="8"/>
        <rFont val="宋体"/>
        <family val="3"/>
        <charset val="134"/>
      </rPr>
      <t>进深比</t>
    </r>
    <phoneticPr fontId="5" type="noConversion"/>
  </si>
  <si>
    <r>
      <rPr>
        <b/>
        <sz val="16"/>
        <rFont val="宋体"/>
        <family val="3"/>
        <charset val="134"/>
      </rPr>
      <t>办公</t>
    </r>
    <phoneticPr fontId="26" type="noConversion"/>
  </si>
  <si>
    <r>
      <rPr>
        <sz val="11"/>
        <color indexed="8"/>
        <rFont val="宋体"/>
        <family val="3"/>
        <charset val="134"/>
      </rPr>
      <t>办公集聚程度</t>
    </r>
    <phoneticPr fontId="26" type="noConversion"/>
  </si>
  <si>
    <r>
      <rPr>
        <sz val="11"/>
        <color indexed="8"/>
        <rFont val="宋体"/>
        <family val="3"/>
        <charset val="134"/>
      </rPr>
      <t>公共配套设施</t>
    </r>
    <phoneticPr fontId="27" type="noConversion"/>
  </si>
  <si>
    <r>
      <rPr>
        <sz val="11"/>
        <color indexed="8"/>
        <rFont val="宋体"/>
        <family val="3"/>
        <charset val="134"/>
      </rPr>
      <t>基础设施水平</t>
    </r>
    <phoneticPr fontId="27" type="noConversion"/>
  </si>
  <si>
    <r>
      <rPr>
        <sz val="11"/>
        <color indexed="8"/>
        <rFont val="宋体"/>
        <family val="3"/>
        <charset val="134"/>
      </rPr>
      <t>环境质量</t>
    </r>
    <phoneticPr fontId="27" type="noConversion"/>
  </si>
  <si>
    <r>
      <rPr>
        <sz val="11"/>
        <color indexed="8"/>
        <rFont val="宋体"/>
        <family val="3"/>
        <charset val="134"/>
      </rPr>
      <t>毗邻道路的类型与等级</t>
    </r>
    <phoneticPr fontId="26" type="noConversion"/>
  </si>
  <si>
    <r>
      <rPr>
        <sz val="11"/>
        <color indexed="8"/>
        <rFont val="宋体"/>
        <family val="3"/>
        <charset val="134"/>
      </rPr>
      <t>朝向</t>
    </r>
    <phoneticPr fontId="26" type="noConversion"/>
  </si>
  <si>
    <r>
      <rPr>
        <sz val="11"/>
        <color indexed="8"/>
        <rFont val="宋体"/>
        <family val="3"/>
        <charset val="134"/>
      </rPr>
      <t>建筑类型</t>
    </r>
    <phoneticPr fontId="26" type="noConversion"/>
  </si>
  <si>
    <r>
      <rPr>
        <sz val="11"/>
        <color indexed="8"/>
        <rFont val="宋体"/>
        <family val="3"/>
        <charset val="134"/>
      </rPr>
      <t>写字楼等级</t>
    </r>
    <phoneticPr fontId="26" type="noConversion"/>
  </si>
  <si>
    <r>
      <rPr>
        <sz val="11"/>
        <color indexed="8"/>
        <rFont val="宋体"/>
        <family val="3"/>
        <charset val="134"/>
      </rPr>
      <t>物业管理</t>
    </r>
    <phoneticPr fontId="26" type="noConversion"/>
  </si>
  <si>
    <r>
      <rPr>
        <sz val="11"/>
        <rFont val="宋体"/>
        <family val="3"/>
        <charset val="134"/>
      </rPr>
      <t>单套建筑面积</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</si>
  <si>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</si>
  <si>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sz val="11"/>
        <color indexed="8"/>
        <rFont val="宋体"/>
        <family val="3"/>
        <charset val="134"/>
      </rPr>
      <t>办公集聚程度</t>
    </r>
    <phoneticPr fontId="5" type="noConversion"/>
  </si>
  <si>
    <r>
      <rPr>
        <sz val="11"/>
        <color indexed="8"/>
        <rFont val="宋体"/>
        <family val="3"/>
        <charset val="134"/>
      </rPr>
      <t>环境质量</t>
    </r>
    <phoneticPr fontId="5" type="noConversion"/>
  </si>
  <si>
    <r>
      <rPr>
        <sz val="11"/>
        <color indexed="8"/>
        <rFont val="宋体"/>
        <family val="3"/>
        <charset val="134"/>
      </rPr>
      <t>毗邻道路的类型与等级</t>
    </r>
    <phoneticPr fontId="5" type="noConversion"/>
  </si>
  <si>
    <r>
      <rPr>
        <sz val="11"/>
        <color indexed="8"/>
        <rFont val="宋体"/>
        <family val="3"/>
        <charset val="134"/>
      </rPr>
      <t>写字楼等级</t>
    </r>
    <phoneticPr fontId="5" type="noConversion"/>
  </si>
  <si>
    <r>
      <rPr>
        <sz val="11"/>
        <rFont val="宋体"/>
        <family val="3"/>
        <charset val="134"/>
      </rPr>
      <t>层高</t>
    </r>
    <phoneticPr fontId="5" type="noConversion"/>
  </si>
  <si>
    <r>
      <rPr>
        <b/>
        <sz val="16"/>
        <rFont val="宋体"/>
        <family val="3"/>
        <charset val="134"/>
      </rPr>
      <t>工业</t>
    </r>
    <phoneticPr fontId="5" type="noConversion"/>
  </si>
  <si>
    <r>
      <rPr>
        <sz val="11"/>
        <color indexed="8"/>
        <rFont val="宋体"/>
        <family val="3"/>
        <charset val="134"/>
      </rPr>
      <t>产业集聚程度</t>
    </r>
    <phoneticPr fontId="26" type="noConversion"/>
  </si>
  <si>
    <r>
      <rPr>
        <sz val="11"/>
        <color indexed="8"/>
        <rFont val="宋体"/>
        <family val="3"/>
        <charset val="134"/>
      </rPr>
      <t>内部装修状况</t>
    </r>
    <phoneticPr fontId="26" type="noConversion"/>
  </si>
  <si>
    <r>
      <rPr>
        <sz val="11"/>
        <color indexed="8"/>
        <rFont val="宋体"/>
        <family val="3"/>
        <charset val="134"/>
      </rPr>
      <t>产业集聚程度</t>
    </r>
    <phoneticPr fontId="5" type="noConversion"/>
  </si>
  <si>
    <r>
      <rPr>
        <sz val="11"/>
        <rFont val="宋体"/>
        <family val="3"/>
        <charset val="134"/>
      </rPr>
      <t>内部装修维护状况</t>
    </r>
    <phoneticPr fontId="5" type="noConversion"/>
  </si>
  <si>
    <r>
      <rPr>
        <b/>
        <sz val="16"/>
        <color indexed="10"/>
        <rFont val="宋体"/>
        <family val="3"/>
        <charset val="134"/>
      </rPr>
      <t>比较法</t>
    </r>
    <phoneticPr fontId="5" type="noConversion"/>
  </si>
  <si>
    <r>
      <rPr>
        <b/>
        <sz val="12"/>
        <rFont val="宋体"/>
        <family val="3"/>
        <charset val="134"/>
      </rPr>
      <t>车位数</t>
    </r>
    <phoneticPr fontId="5" type="noConversion"/>
  </si>
  <si>
    <r>
      <rPr>
        <sz val="11"/>
        <color indexed="8"/>
        <rFont val="宋体"/>
        <family val="3"/>
        <charset val="134"/>
      </rPr>
      <t>交通便捷度</t>
    </r>
    <phoneticPr fontId="26" type="noConversion"/>
  </si>
  <si>
    <r>
      <rPr>
        <sz val="11"/>
        <color indexed="8"/>
        <rFont val="宋体"/>
        <family val="3"/>
        <charset val="134"/>
      </rPr>
      <t>自然及人文环境</t>
    </r>
    <phoneticPr fontId="27" type="noConversion"/>
  </si>
  <si>
    <r>
      <rPr>
        <sz val="11"/>
        <color indexed="8"/>
        <rFont val="宋体"/>
        <family val="3"/>
        <charset val="134"/>
      </rPr>
      <t>楼层</t>
    </r>
    <phoneticPr fontId="27" type="noConversion"/>
  </si>
  <si>
    <r>
      <rPr>
        <sz val="11"/>
        <color indexed="8"/>
        <rFont val="宋体"/>
        <family val="3"/>
        <charset val="134"/>
      </rPr>
      <t>配套类型</t>
    </r>
    <phoneticPr fontId="26" type="noConversion"/>
  </si>
  <si>
    <r>
      <rPr>
        <sz val="11"/>
        <color indexed="8"/>
        <rFont val="宋体"/>
        <family val="3"/>
        <charset val="134"/>
      </rPr>
      <t>项目停车位配比</t>
    </r>
    <phoneticPr fontId="27" type="noConversion"/>
  </si>
  <si>
    <r>
      <rPr>
        <sz val="11"/>
        <color indexed="8"/>
        <rFont val="宋体"/>
        <family val="3"/>
        <charset val="134"/>
      </rPr>
      <t>公共部分装修</t>
    </r>
    <phoneticPr fontId="27" type="noConversion"/>
  </si>
  <si>
    <r>
      <rPr>
        <sz val="11"/>
        <color indexed="8"/>
        <rFont val="宋体"/>
        <family val="3"/>
        <charset val="134"/>
      </rPr>
      <t>成新率</t>
    </r>
    <phoneticPr fontId="26" type="noConversion"/>
  </si>
  <si>
    <r>
      <rPr>
        <sz val="11"/>
        <color indexed="8"/>
        <rFont val="宋体"/>
        <family val="3"/>
        <charset val="134"/>
      </rPr>
      <t>物业等级</t>
    </r>
    <phoneticPr fontId="26" type="noConversion"/>
  </si>
  <si>
    <r>
      <rPr>
        <sz val="11"/>
        <color indexed="8"/>
        <rFont val="宋体"/>
        <family val="3"/>
        <charset val="134"/>
      </rPr>
      <t>停车位面积</t>
    </r>
    <phoneticPr fontId="26" type="noConversion"/>
  </si>
  <si>
    <r>
      <rPr>
        <sz val="11"/>
        <color indexed="8"/>
        <rFont val="宋体"/>
        <family val="3"/>
        <charset val="134"/>
      </rPr>
      <t>车位类型</t>
    </r>
    <phoneticPr fontId="26" type="noConversion"/>
  </si>
  <si>
    <r>
      <rPr>
        <sz val="11"/>
        <color indexed="8"/>
        <rFont val="宋体"/>
        <family val="3"/>
        <charset val="134"/>
      </rPr>
      <t>是否直接入户</t>
    </r>
    <phoneticPr fontId="26" type="noConversion"/>
  </si>
  <si>
    <r>
      <rPr>
        <b/>
        <sz val="11"/>
        <rFont val="宋体"/>
        <family val="3"/>
        <charset val="134"/>
      </rPr>
      <t>成交单价</t>
    </r>
    <phoneticPr fontId="5"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</si>
  <si>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</si>
  <si>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</si>
  <si>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</si>
  <si>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</si>
  <si>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</si>
  <si>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</si>
  <si>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</si>
  <si>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</si>
  <si>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sz val="11"/>
        <color indexed="8"/>
        <rFont val="宋体"/>
        <family val="3"/>
        <charset val="134"/>
      </rPr>
      <t>楼层</t>
    </r>
    <phoneticPr fontId="5" type="noConversion"/>
  </si>
  <si>
    <r>
      <rPr>
        <sz val="11"/>
        <color indexed="8"/>
        <rFont val="宋体"/>
        <family val="3"/>
        <charset val="134"/>
      </rPr>
      <t>配套类型（地上主用途）</t>
    </r>
    <phoneticPr fontId="5" type="noConversion"/>
  </si>
  <si>
    <r>
      <rPr>
        <sz val="11"/>
        <color indexed="8"/>
        <rFont val="宋体"/>
        <family val="3"/>
        <charset val="134"/>
      </rPr>
      <t>项目停车位配比</t>
    </r>
    <phoneticPr fontId="5" type="noConversion"/>
  </si>
  <si>
    <r>
      <rPr>
        <sz val="11"/>
        <color indexed="8"/>
        <rFont val="宋体"/>
        <family val="3"/>
        <charset val="134"/>
      </rPr>
      <t>成新率</t>
    </r>
    <phoneticPr fontId="5" type="noConversion"/>
  </si>
  <si>
    <r>
      <rPr>
        <sz val="11"/>
        <color indexed="8"/>
        <rFont val="宋体"/>
        <family val="3"/>
        <charset val="134"/>
      </rPr>
      <t>物业等级</t>
    </r>
    <phoneticPr fontId="27" type="noConversion"/>
  </si>
  <si>
    <r>
      <rPr>
        <sz val="11"/>
        <color indexed="8"/>
        <rFont val="宋体"/>
        <family val="3"/>
        <charset val="134"/>
      </rPr>
      <t>停车位面积</t>
    </r>
    <phoneticPr fontId="5" type="noConversion"/>
  </si>
  <si>
    <r>
      <rPr>
        <sz val="11"/>
        <color indexed="8"/>
        <rFont val="宋体"/>
        <family val="3"/>
        <charset val="134"/>
      </rPr>
      <t>车位类型</t>
    </r>
    <phoneticPr fontId="5" type="noConversion"/>
  </si>
  <si>
    <r>
      <rPr>
        <sz val="11"/>
        <color indexed="8"/>
        <rFont val="宋体"/>
        <family val="3"/>
        <charset val="134"/>
      </rPr>
      <t>是否直接入户</t>
    </r>
    <phoneticPr fontId="5" type="noConversion"/>
  </si>
  <si>
    <r>
      <rPr>
        <sz val="11"/>
        <color indexed="8"/>
        <rFont val="宋体"/>
        <family val="3"/>
        <charset val="134"/>
      </rPr>
      <t>有无电梯</t>
    </r>
    <phoneticPr fontId="26" type="noConversion"/>
  </si>
  <si>
    <r>
      <rPr>
        <sz val="11"/>
        <color indexed="8"/>
        <rFont val="宋体"/>
        <family val="3"/>
        <charset val="134"/>
      </rPr>
      <t>建筑面积</t>
    </r>
    <phoneticPr fontId="26" type="noConversion"/>
  </si>
  <si>
    <r>
      <rPr>
        <sz val="11"/>
        <color indexed="8"/>
        <rFont val="宋体"/>
        <family val="3"/>
        <charset val="134"/>
      </rPr>
      <t>是否封闭</t>
    </r>
    <phoneticPr fontId="26" type="noConversion"/>
  </si>
  <si>
    <r>
      <rPr>
        <sz val="11"/>
        <color indexed="8"/>
        <rFont val="宋体"/>
        <family val="3"/>
        <charset val="134"/>
      </rPr>
      <t>有无电梯</t>
    </r>
    <phoneticPr fontId="5" type="noConversion"/>
  </si>
  <si>
    <r>
      <rPr>
        <sz val="11"/>
        <color indexed="8"/>
        <rFont val="宋体"/>
        <family val="3"/>
        <charset val="134"/>
      </rPr>
      <t>建筑面积</t>
    </r>
    <phoneticPr fontId="27" type="noConversion"/>
  </si>
  <si>
    <r>
      <rPr>
        <sz val="11"/>
        <color indexed="8"/>
        <rFont val="宋体"/>
        <family val="3"/>
        <charset val="134"/>
      </rPr>
      <t>是否封闭</t>
    </r>
    <phoneticPr fontId="5" type="noConversion"/>
  </si>
  <si>
    <r>
      <rPr>
        <b/>
        <sz val="16"/>
        <color indexed="10"/>
        <rFont val="宋体"/>
        <family val="3"/>
        <charset val="134"/>
      </rPr>
      <t>套用比较法</t>
    </r>
    <phoneticPr fontId="5" type="noConversion"/>
  </si>
  <si>
    <r>
      <rPr>
        <b/>
        <sz val="16"/>
        <rFont val="宋体"/>
        <family val="3"/>
        <charset val="134"/>
      </rPr>
      <t>住宅、综合</t>
    </r>
    <phoneticPr fontId="26" type="noConversion"/>
  </si>
  <si>
    <r>
      <rPr>
        <b/>
        <sz val="12"/>
        <rFont val="宋体"/>
        <family val="3"/>
        <charset val="134"/>
      </rPr>
      <t>元</t>
    </r>
    <phoneticPr fontId="26" type="noConversion"/>
  </si>
  <si>
    <r>
      <rPr>
        <b/>
        <sz val="12"/>
        <rFont val="宋体"/>
        <family val="3"/>
        <charset val="134"/>
      </rPr>
      <t>元</t>
    </r>
    <r>
      <rPr>
        <b/>
        <sz val="12"/>
        <rFont val="Arial"/>
        <family val="2"/>
      </rPr>
      <t>/</t>
    </r>
    <r>
      <rPr>
        <b/>
        <sz val="12"/>
        <rFont val="宋体"/>
        <family val="3"/>
        <charset val="134"/>
      </rPr>
      <t>平方米</t>
    </r>
    <phoneticPr fontId="26" type="noConversion"/>
  </si>
  <si>
    <r>
      <rPr>
        <sz val="11"/>
        <color indexed="8"/>
        <rFont val="宋体"/>
        <family val="3"/>
        <charset val="134"/>
      </rPr>
      <t>正常</t>
    </r>
  </si>
  <si>
    <r>
      <rPr>
        <sz val="11"/>
        <color indexed="8"/>
        <rFont val="宋体"/>
        <family val="3"/>
        <charset val="134"/>
      </rPr>
      <t>配建</t>
    </r>
    <phoneticPr fontId="26" type="noConversion"/>
  </si>
  <si>
    <r>
      <rPr>
        <sz val="11"/>
        <color indexed="8"/>
        <rFont val="宋体"/>
        <family val="3"/>
        <charset val="134"/>
      </rPr>
      <t>区域土地利用方向</t>
    </r>
    <phoneticPr fontId="26" type="noConversion"/>
  </si>
  <si>
    <r>
      <rPr>
        <sz val="11"/>
        <color indexed="8"/>
        <rFont val="宋体"/>
        <family val="3"/>
        <charset val="134"/>
      </rPr>
      <t>自然及人文环境状况</t>
    </r>
    <phoneticPr fontId="26" type="noConversion"/>
  </si>
  <si>
    <r>
      <rPr>
        <sz val="11"/>
        <color indexed="8"/>
        <rFont val="宋体"/>
        <family val="3"/>
        <charset val="134"/>
      </rPr>
      <t>土地级别</t>
    </r>
    <phoneticPr fontId="26" type="noConversion"/>
  </si>
  <si>
    <r>
      <rPr>
        <sz val="11"/>
        <color indexed="8"/>
        <rFont val="宋体"/>
        <family val="3"/>
        <charset val="134"/>
      </rPr>
      <t>宗地面积</t>
    </r>
    <phoneticPr fontId="26" type="noConversion"/>
  </si>
  <si>
    <r>
      <rPr>
        <sz val="11"/>
        <color indexed="8"/>
        <rFont val="宋体"/>
        <family val="3"/>
        <charset val="134"/>
      </rPr>
      <t>宗地形状</t>
    </r>
    <phoneticPr fontId="26" type="noConversion"/>
  </si>
  <si>
    <r>
      <rPr>
        <sz val="11"/>
        <color indexed="8"/>
        <rFont val="宋体"/>
        <family val="3"/>
        <charset val="134"/>
      </rPr>
      <t>临街宽度及深度</t>
    </r>
    <phoneticPr fontId="26" type="noConversion"/>
  </si>
  <si>
    <r>
      <rPr>
        <sz val="11"/>
        <color indexed="8"/>
        <rFont val="宋体"/>
        <family val="3"/>
        <charset val="134"/>
      </rPr>
      <t>宗地开发程度</t>
    </r>
    <phoneticPr fontId="26" type="noConversion"/>
  </si>
  <si>
    <r>
      <rPr>
        <sz val="11"/>
        <color indexed="8"/>
        <rFont val="宋体"/>
        <family val="3"/>
        <charset val="134"/>
      </rPr>
      <t>工程地质条件</t>
    </r>
    <phoneticPr fontId="26"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</si>
  <si>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</si>
  <si>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6" type="noConversion"/>
  </si>
  <si>
    <r>
      <rPr>
        <sz val="11"/>
        <rFont val="宋体"/>
        <family val="3"/>
        <charset val="134"/>
      </rPr>
      <t>修正单价</t>
    </r>
    <phoneticPr fontId="26" type="noConversion"/>
  </si>
  <si>
    <r>
      <rPr>
        <sz val="11"/>
        <rFont val="宋体"/>
        <family val="3"/>
        <charset val="134"/>
      </rPr>
      <t>北京市系数</t>
    </r>
  </si>
  <si>
    <r>
      <rPr>
        <sz val="11"/>
        <rFont val="宋体"/>
        <family val="3"/>
        <charset val="134"/>
      </rPr>
      <t>政府土地出让收益比例</t>
    </r>
    <phoneticPr fontId="26" type="noConversion"/>
  </si>
  <si>
    <r>
      <rPr>
        <sz val="11"/>
        <rFont val="宋体"/>
        <family val="3"/>
        <charset val="134"/>
      </rPr>
      <t>建筑面积</t>
    </r>
    <phoneticPr fontId="26" type="noConversion"/>
  </si>
  <si>
    <r>
      <rPr>
        <sz val="11"/>
        <rFont val="宋体"/>
        <family val="3"/>
        <charset val="134"/>
      </rPr>
      <t>总价</t>
    </r>
    <phoneticPr fontId="26" type="noConversion"/>
  </si>
  <si>
    <r>
      <rPr>
        <sz val="11"/>
        <color theme="1"/>
        <rFont val="宋体"/>
        <family val="3"/>
        <charset val="134"/>
      </rPr>
      <t>北京市</t>
    </r>
    <phoneticPr fontId="26" type="noConversion"/>
  </si>
  <si>
    <r>
      <rPr>
        <sz val="11"/>
        <color rgb="FFFF0000"/>
        <rFont val="宋体"/>
        <family val="3"/>
        <charset val="134"/>
      </rPr>
      <t>外省市地下修正系数请自行录入</t>
    </r>
    <phoneticPr fontId="26" type="noConversion"/>
  </si>
  <si>
    <r>
      <rPr>
        <sz val="10"/>
        <rFont val="宋体"/>
        <family val="3"/>
        <charset val="134"/>
      </rPr>
      <t>地上</t>
    </r>
    <phoneticPr fontId="16" type="noConversion"/>
  </si>
  <si>
    <r>
      <rPr>
        <sz val="10"/>
        <rFont val="宋体"/>
        <family val="3"/>
        <charset val="134"/>
      </rPr>
      <t>地下商业（</t>
    </r>
    <r>
      <rPr>
        <sz val="10"/>
        <rFont val="Arial"/>
        <family val="2"/>
      </rPr>
      <t>-1</t>
    </r>
    <r>
      <rPr>
        <sz val="10"/>
        <rFont val="宋体"/>
        <family val="3"/>
        <charset val="134"/>
      </rPr>
      <t>）</t>
    </r>
    <phoneticPr fontId="15" type="noConversion"/>
  </si>
  <si>
    <r>
      <rPr>
        <sz val="10"/>
        <rFont val="宋体"/>
        <family val="3"/>
        <charset val="134"/>
      </rPr>
      <t>地下商业（</t>
    </r>
    <r>
      <rPr>
        <sz val="10"/>
        <rFont val="Arial"/>
        <family val="2"/>
      </rPr>
      <t>-2</t>
    </r>
    <r>
      <rPr>
        <sz val="10"/>
        <rFont val="宋体"/>
        <family val="3"/>
        <charset val="134"/>
      </rPr>
      <t>）</t>
    </r>
    <phoneticPr fontId="15" type="noConversion"/>
  </si>
  <si>
    <r>
      <rPr>
        <sz val="10"/>
        <rFont val="宋体"/>
        <family val="3"/>
        <charset val="134"/>
      </rPr>
      <t>地下商业（</t>
    </r>
    <r>
      <rPr>
        <sz val="10"/>
        <rFont val="Arial"/>
        <family val="2"/>
      </rPr>
      <t>-3</t>
    </r>
    <r>
      <rPr>
        <sz val="10"/>
        <rFont val="宋体"/>
        <family val="3"/>
        <charset val="134"/>
      </rPr>
      <t>）</t>
    </r>
    <phoneticPr fontId="15" type="noConversion"/>
  </si>
  <si>
    <r>
      <rPr>
        <sz val="10"/>
        <rFont val="宋体"/>
        <family val="3"/>
        <charset val="134"/>
      </rPr>
      <t>地下商业（</t>
    </r>
    <r>
      <rPr>
        <sz val="10"/>
        <rFont val="Arial"/>
        <family val="2"/>
      </rPr>
      <t>-4</t>
    </r>
    <r>
      <rPr>
        <sz val="10"/>
        <rFont val="宋体"/>
        <family val="3"/>
        <charset val="134"/>
      </rPr>
      <t>）</t>
    </r>
    <phoneticPr fontId="15" type="noConversion"/>
  </si>
  <si>
    <r>
      <rPr>
        <sz val="10"/>
        <rFont val="宋体"/>
        <family val="3"/>
        <charset val="134"/>
      </rPr>
      <t>地下办公</t>
    </r>
    <phoneticPr fontId="15" type="noConversion"/>
  </si>
  <si>
    <r>
      <rPr>
        <sz val="10"/>
        <rFont val="宋体"/>
        <family val="3"/>
        <charset val="134"/>
      </rPr>
      <t>地下仓储</t>
    </r>
    <phoneticPr fontId="15" type="noConversion"/>
  </si>
  <si>
    <r>
      <rPr>
        <sz val="10"/>
        <rFont val="宋体"/>
        <family val="3"/>
        <charset val="134"/>
      </rPr>
      <t>地下车库</t>
    </r>
    <phoneticPr fontId="15" type="noConversion"/>
  </si>
  <si>
    <r>
      <rPr>
        <sz val="10"/>
        <rFont val="宋体"/>
        <family val="3"/>
        <charset val="134"/>
      </rPr>
      <t>地下车库</t>
    </r>
    <r>
      <rPr>
        <sz val="10"/>
        <rFont val="Arial"/>
        <family val="2"/>
      </rPr>
      <t>-</t>
    </r>
    <r>
      <rPr>
        <sz val="10"/>
        <rFont val="宋体"/>
        <family val="3"/>
        <charset val="134"/>
      </rPr>
      <t>商业</t>
    </r>
    <phoneticPr fontId="15" type="noConversion"/>
  </si>
  <si>
    <r>
      <rPr>
        <sz val="10"/>
        <rFont val="宋体"/>
        <family val="3"/>
        <charset val="134"/>
      </rPr>
      <t>地下车库</t>
    </r>
    <r>
      <rPr>
        <sz val="10"/>
        <rFont val="Arial"/>
        <family val="2"/>
      </rPr>
      <t>-</t>
    </r>
    <r>
      <rPr>
        <sz val="10"/>
        <rFont val="宋体"/>
        <family val="3"/>
        <charset val="134"/>
      </rPr>
      <t>办公</t>
    </r>
    <phoneticPr fontId="15" type="noConversion"/>
  </si>
  <si>
    <r>
      <rPr>
        <b/>
        <sz val="10"/>
        <rFont val="宋体"/>
        <family val="3"/>
        <charset val="134"/>
      </rPr>
      <t>土地购买价格</t>
    </r>
    <phoneticPr fontId="15" type="noConversion"/>
  </si>
  <si>
    <r>
      <rPr>
        <b/>
        <sz val="11"/>
        <color indexed="8"/>
        <rFont val="宋体"/>
        <family val="3"/>
        <charset val="134"/>
      </rPr>
      <t>交易时间（按季度调整）</t>
    </r>
    <phoneticPr fontId="5" type="noConversion"/>
  </si>
  <si>
    <r>
      <rPr>
        <b/>
        <sz val="11"/>
        <color indexed="8"/>
        <rFont val="宋体"/>
        <family val="3"/>
        <charset val="134"/>
      </rPr>
      <t>商业</t>
    </r>
  </si>
  <si>
    <r>
      <rPr>
        <sz val="11"/>
        <color indexed="8"/>
        <rFont val="宋体"/>
        <family val="3"/>
        <charset val="134"/>
      </rPr>
      <t>商业繁华度</t>
    </r>
    <phoneticPr fontId="5" type="noConversion"/>
  </si>
  <si>
    <r>
      <rPr>
        <sz val="11"/>
        <color indexed="8"/>
        <rFont val="宋体"/>
        <family val="3"/>
        <charset val="134"/>
      </rPr>
      <t>区域土地利用方向</t>
    </r>
    <phoneticPr fontId="5" type="noConversion"/>
  </si>
  <si>
    <r>
      <rPr>
        <sz val="11"/>
        <color indexed="8"/>
        <rFont val="宋体"/>
        <family val="3"/>
        <charset val="134"/>
      </rPr>
      <t>自然及人文环境状况</t>
    </r>
    <phoneticPr fontId="5" type="noConversion"/>
  </si>
  <si>
    <r>
      <rPr>
        <sz val="11"/>
        <rFont val="宋体"/>
        <family val="3"/>
        <charset val="134"/>
      </rPr>
      <t>多面临街</t>
    </r>
    <phoneticPr fontId="26" type="noConversion"/>
  </si>
  <si>
    <r>
      <rPr>
        <sz val="11"/>
        <rFont val="宋体"/>
        <family val="3"/>
        <charset val="134"/>
      </rPr>
      <t>双面临街</t>
    </r>
    <phoneticPr fontId="26" type="noConversion"/>
  </si>
  <si>
    <r>
      <rPr>
        <sz val="11"/>
        <rFont val="宋体"/>
        <family val="3"/>
        <charset val="134"/>
      </rPr>
      <t>单面临街</t>
    </r>
    <phoneticPr fontId="26" type="noConversion"/>
  </si>
  <si>
    <r>
      <rPr>
        <sz val="11"/>
        <rFont val="宋体"/>
        <family val="3"/>
        <charset val="134"/>
      </rPr>
      <t>不临街</t>
    </r>
    <phoneticPr fontId="26" type="noConversion"/>
  </si>
  <si>
    <r>
      <rPr>
        <sz val="11"/>
        <color indexed="8"/>
        <rFont val="宋体"/>
        <family val="3"/>
        <charset val="134"/>
      </rPr>
      <t>宗地面积</t>
    </r>
    <phoneticPr fontId="5" type="noConversion"/>
  </si>
  <si>
    <r>
      <rPr>
        <sz val="11"/>
        <color indexed="8"/>
        <rFont val="宋体"/>
        <family val="3"/>
        <charset val="134"/>
      </rPr>
      <t>宗地形状</t>
    </r>
    <phoneticPr fontId="5" type="noConversion"/>
  </si>
  <si>
    <r>
      <rPr>
        <sz val="11"/>
        <color indexed="8"/>
        <rFont val="宋体"/>
        <family val="3"/>
        <charset val="134"/>
      </rPr>
      <t>临街宽度及深度</t>
    </r>
    <phoneticPr fontId="5" type="noConversion"/>
  </si>
  <si>
    <r>
      <rPr>
        <sz val="11"/>
        <color indexed="8"/>
        <rFont val="宋体"/>
        <family val="3"/>
        <charset val="134"/>
      </rPr>
      <t>宗地开发程度</t>
    </r>
    <phoneticPr fontId="5" type="noConversion"/>
  </si>
  <si>
    <r>
      <rPr>
        <sz val="11"/>
        <color indexed="8"/>
        <rFont val="宋体"/>
        <family val="3"/>
        <charset val="134"/>
      </rPr>
      <t>工程地质条件</t>
    </r>
    <phoneticPr fontId="5" type="noConversion"/>
  </si>
  <si>
    <r>
      <rPr>
        <b/>
        <sz val="16"/>
        <rFont val="宋体"/>
        <family val="3"/>
        <charset val="134"/>
      </rPr>
      <t>工业</t>
    </r>
    <phoneticPr fontId="26" type="noConversion"/>
  </si>
  <si>
    <r>
      <rPr>
        <sz val="11"/>
        <color indexed="8"/>
        <rFont val="宋体"/>
        <family val="3"/>
        <charset val="134"/>
      </rPr>
      <t>工业</t>
    </r>
  </si>
  <si>
    <r>
      <rPr>
        <sz val="11"/>
        <color indexed="8"/>
        <rFont val="宋体"/>
        <family val="3"/>
        <charset val="134"/>
      </rPr>
      <t>产业集聚程度</t>
    </r>
    <phoneticPr fontId="28" type="noConversion"/>
  </si>
  <si>
    <r>
      <rPr>
        <sz val="11"/>
        <color indexed="8"/>
        <rFont val="宋体"/>
        <family val="3"/>
        <charset val="134"/>
      </rPr>
      <t>环境状况</t>
    </r>
    <phoneticPr fontId="26" type="noConversion"/>
  </si>
  <si>
    <r>
      <rPr>
        <b/>
        <sz val="11"/>
        <rFont val="宋体"/>
        <family val="3"/>
        <charset val="134"/>
      </rPr>
      <t>楼面地价</t>
    </r>
  </si>
  <si>
    <r>
      <rPr>
        <sz val="11"/>
        <rFont val="宋体"/>
        <family val="3"/>
        <charset val="134"/>
      </rPr>
      <t>北京市</t>
    </r>
    <phoneticPr fontId="26" type="noConversion"/>
  </si>
  <si>
    <r>
      <rPr>
        <b/>
        <sz val="11"/>
        <color indexed="8"/>
        <rFont val="宋体"/>
        <family val="3"/>
        <charset val="134"/>
      </rPr>
      <t>工业</t>
    </r>
    <phoneticPr fontId="28" type="noConversion"/>
  </si>
  <si>
    <r>
      <rPr>
        <b/>
        <sz val="16"/>
        <color indexed="10"/>
        <rFont val="宋体"/>
        <family val="3"/>
        <charset val="134"/>
      </rPr>
      <t>基准地价系数修正法</t>
    </r>
    <phoneticPr fontId="5" type="noConversion"/>
  </si>
  <si>
    <r>
      <rPr>
        <b/>
        <sz val="12"/>
        <rFont val="宋体"/>
        <family val="3"/>
        <charset val="134"/>
      </rPr>
      <t>建筑面积</t>
    </r>
    <phoneticPr fontId="75" type="noConversion"/>
  </si>
  <si>
    <r>
      <rPr>
        <sz val="11"/>
        <color theme="1"/>
        <rFont val="宋体"/>
        <family val="3"/>
        <charset val="134"/>
      </rPr>
      <t>一级</t>
    </r>
  </si>
  <si>
    <r>
      <rPr>
        <sz val="12"/>
        <rFont val="宋体"/>
        <family val="3"/>
        <charset val="134"/>
      </rPr>
      <t>商业多楼层</t>
    </r>
    <phoneticPr fontId="5" type="noConversion"/>
  </si>
  <si>
    <r>
      <rPr>
        <sz val="12"/>
        <rFont val="宋体"/>
        <family val="3"/>
        <charset val="134"/>
      </rPr>
      <t>楼层修正系数</t>
    </r>
    <phoneticPr fontId="5" type="noConversion"/>
  </si>
  <si>
    <r>
      <rPr>
        <sz val="12"/>
        <rFont val="宋体"/>
        <family val="3"/>
        <charset val="134"/>
      </rPr>
      <t>楼面熟地单价</t>
    </r>
    <phoneticPr fontId="5" type="noConversion"/>
  </si>
  <si>
    <r>
      <rPr>
        <sz val="12"/>
        <rFont val="宋体"/>
        <family val="3"/>
        <charset val="134"/>
      </rPr>
      <t>层面积</t>
    </r>
    <phoneticPr fontId="5" type="noConversion"/>
  </si>
  <si>
    <r>
      <rPr>
        <sz val="12"/>
        <rFont val="宋体"/>
        <family val="3"/>
        <charset val="134"/>
      </rPr>
      <t>总额</t>
    </r>
    <phoneticPr fontId="5" type="noConversion"/>
  </si>
  <si>
    <r>
      <rPr>
        <b/>
        <sz val="12"/>
        <rFont val="宋体"/>
        <family val="3"/>
        <charset val="134"/>
      </rPr>
      <t>总价</t>
    </r>
    <phoneticPr fontId="5" type="noConversion"/>
  </si>
  <si>
    <r>
      <rPr>
        <b/>
        <sz val="12"/>
        <rFont val="宋体"/>
        <family val="3"/>
        <charset val="134"/>
      </rPr>
      <t>元</t>
    </r>
    <phoneticPr fontId="5" type="noConversion"/>
  </si>
  <si>
    <r>
      <rPr>
        <sz val="10"/>
        <rFont val="宋体"/>
        <family val="3"/>
        <charset val="134"/>
      </rPr>
      <t>用途</t>
    </r>
    <r>
      <rPr>
        <sz val="10"/>
        <rFont val="Arial"/>
        <family val="2"/>
      </rPr>
      <t>/</t>
    </r>
    <r>
      <rPr>
        <sz val="10"/>
        <rFont val="宋体"/>
        <family val="3"/>
        <charset val="134"/>
      </rPr>
      <t>地上主用途</t>
    </r>
    <phoneticPr fontId="5" type="noConversion"/>
  </si>
  <si>
    <r>
      <rPr>
        <sz val="10"/>
        <rFont val="宋体"/>
        <family val="3"/>
        <charset val="134"/>
      </rPr>
      <t>土地级别</t>
    </r>
    <phoneticPr fontId="5" type="noConversion"/>
  </si>
  <si>
    <r>
      <rPr>
        <sz val="10"/>
        <rFont val="宋体"/>
        <family val="3"/>
        <charset val="134"/>
      </rPr>
      <t>区片编号</t>
    </r>
    <phoneticPr fontId="5" type="noConversion"/>
  </si>
  <si>
    <r>
      <rPr>
        <sz val="11"/>
        <color theme="1"/>
        <rFont val="宋体"/>
        <family val="3"/>
        <charset val="134"/>
      </rPr>
      <t>二级</t>
    </r>
  </si>
  <si>
    <r>
      <rPr>
        <b/>
        <sz val="12"/>
        <rFont val="宋体"/>
        <family val="3"/>
        <charset val="134"/>
      </rPr>
      <t>楼面单价</t>
    </r>
    <phoneticPr fontId="5" type="noConversion"/>
  </si>
  <si>
    <r>
      <rPr>
        <b/>
        <sz val="12"/>
        <rFont val="宋体"/>
        <family val="3"/>
        <charset val="134"/>
      </rPr>
      <t>元</t>
    </r>
    <r>
      <rPr>
        <b/>
        <sz val="12"/>
        <rFont val="Arial"/>
        <family val="2"/>
      </rPr>
      <t>/</t>
    </r>
    <r>
      <rPr>
        <b/>
        <sz val="12"/>
        <rFont val="宋体"/>
        <family val="3"/>
        <charset val="134"/>
      </rPr>
      <t>平方米</t>
    </r>
    <phoneticPr fontId="5" type="noConversion"/>
  </si>
  <si>
    <r>
      <rPr>
        <sz val="10"/>
        <rFont val="宋体"/>
        <family val="3"/>
        <charset val="134"/>
      </rPr>
      <t>用途类别</t>
    </r>
    <phoneticPr fontId="5" type="noConversion"/>
  </si>
  <si>
    <r>
      <rPr>
        <sz val="10"/>
        <rFont val="宋体"/>
        <family val="3"/>
        <charset val="134"/>
      </rPr>
      <t>容积率</t>
    </r>
    <phoneticPr fontId="75" type="noConversion"/>
  </si>
  <si>
    <r>
      <rPr>
        <sz val="10"/>
        <rFont val="宋体"/>
        <family val="3"/>
        <charset val="134"/>
      </rPr>
      <t>楼层</t>
    </r>
    <phoneticPr fontId="5" type="noConversion"/>
  </si>
  <si>
    <r>
      <rPr>
        <sz val="10"/>
        <rFont val="宋体"/>
        <family val="3"/>
        <charset val="134"/>
      </rPr>
      <t>（地上）</t>
    </r>
    <phoneticPr fontId="5"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</si>
  <si>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</si>
  <si>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</si>
  <si>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5" type="noConversion"/>
  </si>
  <si>
    <r>
      <rPr>
        <b/>
        <sz val="11"/>
        <rFont val="宋体"/>
        <family val="3"/>
        <charset val="134"/>
      </rPr>
      <t>适用的楼面熟地价</t>
    </r>
    <phoneticPr fontId="5" type="noConversion"/>
  </si>
  <si>
    <r>
      <rPr>
        <sz val="11"/>
        <color theme="1"/>
        <rFont val="宋体"/>
        <family val="3"/>
        <charset val="134"/>
      </rPr>
      <t>五级</t>
    </r>
  </si>
  <si>
    <r>
      <rPr>
        <b/>
        <sz val="10"/>
        <rFont val="宋体"/>
        <family val="3"/>
        <charset val="134"/>
      </rPr>
      <t>适用的楼面熟地价</t>
    </r>
    <phoneticPr fontId="5" type="noConversion"/>
  </si>
  <si>
    <r>
      <rPr>
        <sz val="10"/>
        <color indexed="10"/>
        <rFont val="宋体"/>
        <family val="3"/>
        <charset val="134"/>
      </rPr>
      <t>依据《北京市区片基准地价表》，能否通过用途和级别筛选？</t>
    </r>
    <phoneticPr fontId="5" type="noConversion"/>
  </si>
  <si>
    <r>
      <rPr>
        <sz val="11"/>
        <color theme="1"/>
        <rFont val="宋体"/>
        <family val="3"/>
        <charset val="134"/>
      </rPr>
      <t>六级</t>
    </r>
  </si>
  <si>
    <r>
      <rPr>
        <b/>
        <sz val="10"/>
        <rFont val="宋体"/>
        <family val="3"/>
        <charset val="134"/>
      </rPr>
      <t>商业路线价修正（商业用途）</t>
    </r>
    <phoneticPr fontId="5" type="noConversion"/>
  </si>
  <si>
    <r>
      <rPr>
        <sz val="10"/>
        <rFont val="宋体"/>
        <family val="3"/>
        <charset val="134"/>
      </rPr>
      <t>宗地深度（米）</t>
    </r>
    <phoneticPr fontId="5" type="noConversion"/>
  </si>
  <si>
    <r>
      <rPr>
        <sz val="11"/>
        <color theme="1"/>
        <rFont val="宋体"/>
        <family val="3"/>
        <charset val="134"/>
      </rPr>
      <t>七级</t>
    </r>
  </si>
  <si>
    <r>
      <rPr>
        <sz val="10"/>
        <rFont val="宋体"/>
        <family val="3"/>
        <charset val="134"/>
      </rPr>
      <t>估价对象级别</t>
    </r>
    <phoneticPr fontId="5" type="noConversion"/>
  </si>
  <si>
    <r>
      <rPr>
        <sz val="10"/>
        <rFont val="宋体"/>
        <family val="3"/>
        <charset val="134"/>
      </rPr>
      <t>容积率</t>
    </r>
    <phoneticPr fontId="5" type="noConversion"/>
  </si>
  <si>
    <r>
      <rPr>
        <sz val="10"/>
        <rFont val="宋体"/>
        <family val="3"/>
        <charset val="134"/>
      </rPr>
      <t>所在商业街</t>
    </r>
    <phoneticPr fontId="5"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</si>
  <si>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5"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</si>
  <si>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</si>
  <si>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</si>
  <si>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</si>
  <si>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</si>
  <si>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</si>
  <si>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</si>
  <si>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</si>
  <si>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</si>
  <si>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</si>
  <si>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</si>
  <si>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</si>
  <si>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</si>
  <si>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</si>
  <si>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</si>
  <si>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rFont val="宋体"/>
        <family val="3"/>
        <charset val="134"/>
      </rPr>
      <t>加价幅度</t>
    </r>
    <phoneticPr fontId="5"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</si>
  <si>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5"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</si>
  <si>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</si>
  <si>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5" type="noConversion"/>
  </si>
  <si>
    <r>
      <t>7</t>
    </r>
    <r>
      <rPr>
        <sz val="10"/>
        <color theme="1"/>
        <rFont val="宋体"/>
        <family val="3"/>
        <charset val="134"/>
      </rPr>
      <t>层及以上</t>
    </r>
    <phoneticPr fontId="5" type="noConversion"/>
  </si>
  <si>
    <r>
      <rPr>
        <sz val="10"/>
        <rFont val="宋体"/>
        <family val="3"/>
        <charset val="134"/>
      </rPr>
      <t>标准深度（米）</t>
    </r>
    <phoneticPr fontId="5"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</si>
  <si>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5" type="noConversion"/>
  </si>
  <si>
    <r>
      <rPr>
        <sz val="11"/>
        <color theme="1"/>
        <rFont val="宋体"/>
        <family val="3"/>
        <charset val="134"/>
      </rPr>
      <t>十级</t>
    </r>
  </si>
  <si>
    <r>
      <t>1/4</t>
    </r>
    <r>
      <rPr>
        <sz val="10"/>
        <rFont val="宋体"/>
        <family val="3"/>
        <charset val="134"/>
      </rPr>
      <t>标准深度</t>
    </r>
    <phoneticPr fontId="5"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</si>
  <si>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5" type="noConversion"/>
  </si>
  <si>
    <r>
      <rPr>
        <sz val="11"/>
        <color theme="1"/>
        <rFont val="宋体"/>
        <family val="3"/>
        <charset val="134"/>
      </rPr>
      <t>十一级</t>
    </r>
  </si>
  <si>
    <r>
      <rPr>
        <sz val="10"/>
        <rFont val="宋体"/>
        <family val="3"/>
        <charset val="134"/>
      </rPr>
      <t>商业</t>
    </r>
    <r>
      <rPr>
        <sz val="10"/>
        <rFont val="Arial"/>
        <family val="2"/>
      </rPr>
      <t>R&lt;1</t>
    </r>
    <phoneticPr fontId="5" type="noConversion"/>
  </si>
  <si>
    <r>
      <rPr>
        <sz val="10"/>
        <rFont val="宋体"/>
        <family val="3"/>
        <charset val="134"/>
      </rPr>
      <t>容积率</t>
    </r>
    <phoneticPr fontId="5" type="noConversion"/>
  </si>
  <si>
    <r>
      <rPr>
        <b/>
        <sz val="10"/>
        <rFont val="宋体"/>
        <family val="3"/>
        <charset val="134"/>
      </rPr>
      <t>特殊情况修正（居住用途）</t>
    </r>
    <phoneticPr fontId="5" type="noConversion"/>
  </si>
  <si>
    <r>
      <rPr>
        <sz val="10"/>
        <rFont val="宋体"/>
        <family val="3"/>
        <charset val="134"/>
      </rPr>
      <t>需根据项目情况调整公式修正项</t>
    </r>
    <phoneticPr fontId="5"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</si>
  <si>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</si>
  <si>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</si>
  <si>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indexed="8"/>
        <rFont val="宋体"/>
        <family val="3"/>
        <charset val="134"/>
      </rPr>
      <t>特殊情况</t>
    </r>
    <phoneticPr fontId="5" type="noConversion"/>
  </si>
  <si>
    <r>
      <rPr>
        <sz val="10"/>
        <color indexed="8"/>
        <rFont val="宋体"/>
        <family val="3"/>
        <charset val="134"/>
      </rPr>
      <t>公园</t>
    </r>
    <phoneticPr fontId="5" type="noConversion"/>
  </si>
  <si>
    <r>
      <rPr>
        <sz val="10"/>
        <color indexed="8"/>
        <rFont val="宋体"/>
        <family val="3"/>
        <charset val="134"/>
      </rPr>
      <t>水系</t>
    </r>
    <phoneticPr fontId="5" type="noConversion"/>
  </si>
  <si>
    <r>
      <rPr>
        <sz val="10"/>
        <color indexed="8"/>
        <rFont val="宋体"/>
        <family val="3"/>
        <charset val="134"/>
      </rPr>
      <t>中小学名校</t>
    </r>
    <phoneticPr fontId="5" type="noConversion"/>
  </si>
  <si>
    <r>
      <rPr>
        <sz val="10"/>
        <color indexed="8"/>
        <rFont val="宋体"/>
        <family val="3"/>
        <charset val="134"/>
      </rPr>
      <t>轨道交通站点周边</t>
    </r>
    <phoneticPr fontId="5" type="noConversion"/>
  </si>
  <si>
    <r>
      <rPr>
        <sz val="10"/>
        <rFont val="宋体"/>
        <family val="3"/>
        <charset val="134"/>
      </rPr>
      <t>无</t>
    </r>
    <phoneticPr fontId="75" type="noConversion"/>
  </si>
  <si>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</si>
  <si>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5" type="noConversion"/>
  </si>
  <si>
    <r>
      <rPr>
        <sz val="10"/>
        <color indexed="8"/>
        <rFont val="宋体"/>
        <family val="3"/>
        <charset val="134"/>
      </rPr>
      <t>修正系数</t>
    </r>
    <phoneticPr fontId="5" type="noConversion"/>
  </si>
  <si>
    <r>
      <rPr>
        <sz val="10"/>
        <rFont val="宋体"/>
        <family val="3"/>
        <charset val="134"/>
      </rPr>
      <t>用途</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</si>
  <si>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</si>
  <si>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</si>
  <si>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</si>
  <si>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</si>
  <si>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r>
      <rPr>
        <b/>
        <sz val="10"/>
        <rFont val="宋体"/>
        <family val="3"/>
        <charset val="134"/>
      </rPr>
      <t>开发程度差异修正</t>
    </r>
    <phoneticPr fontId="5" type="noConversion"/>
  </si>
  <si>
    <r>
      <rPr>
        <sz val="10"/>
        <rFont val="宋体"/>
        <family val="3"/>
        <charset val="134"/>
      </rPr>
      <t>估价对象开发程度</t>
    </r>
    <phoneticPr fontId="5" type="noConversion"/>
  </si>
  <si>
    <r>
      <rPr>
        <sz val="10"/>
        <rFont val="宋体"/>
        <family val="3"/>
        <charset val="134"/>
      </rPr>
      <t>上浮比率</t>
    </r>
    <phoneticPr fontId="5" type="noConversion"/>
  </si>
  <si>
    <r>
      <rPr>
        <sz val="10"/>
        <rFont val="宋体"/>
        <family val="3"/>
        <charset val="134"/>
      </rPr>
      <t>级别平均容积率</t>
    </r>
    <phoneticPr fontId="5" type="noConversion"/>
  </si>
  <si>
    <r>
      <rPr>
        <sz val="10"/>
        <rFont val="宋体"/>
        <family val="3"/>
        <charset val="134"/>
      </rPr>
      <t>级别开发程度</t>
    </r>
    <phoneticPr fontId="5" type="noConversion"/>
  </si>
  <si>
    <r>
      <rPr>
        <sz val="10"/>
        <rFont val="宋体"/>
        <family val="3"/>
        <charset val="134"/>
      </rPr>
      <t>土地还原率</t>
    </r>
    <phoneticPr fontId="5" type="noConversion"/>
  </si>
  <si>
    <r>
      <rPr>
        <b/>
        <sz val="11"/>
        <rFont val="宋体"/>
        <family val="3"/>
        <charset val="134"/>
      </rPr>
      <t>二、</t>
    </r>
    <phoneticPr fontId="5" type="noConversion"/>
  </si>
  <si>
    <r>
      <rPr>
        <b/>
        <sz val="11"/>
        <rFont val="宋体"/>
        <family val="3"/>
        <charset val="134"/>
      </rPr>
      <t>用途修正系数</t>
    </r>
    <phoneticPr fontId="5" type="noConversion"/>
  </si>
  <si>
    <r>
      <rPr>
        <b/>
        <sz val="11"/>
        <rFont val="宋体"/>
        <family val="3"/>
        <charset val="134"/>
      </rPr>
      <t>三、</t>
    </r>
    <phoneticPr fontId="5" type="noConversion"/>
  </si>
  <si>
    <r>
      <rPr>
        <b/>
        <sz val="11"/>
        <rFont val="宋体"/>
        <family val="3"/>
        <charset val="134"/>
      </rPr>
      <t>期日修正指数</t>
    </r>
    <phoneticPr fontId="5" type="noConversion"/>
  </si>
  <si>
    <r>
      <rPr>
        <sz val="11"/>
        <rFont val="宋体"/>
        <family val="3"/>
        <charset val="134"/>
      </rPr>
      <t>基准期日</t>
    </r>
    <phoneticPr fontId="5" type="noConversion"/>
  </si>
  <si>
    <r>
      <rPr>
        <sz val="11"/>
        <rFont val="宋体"/>
        <family val="3"/>
        <charset val="134"/>
      </rPr>
      <t>估价期日</t>
    </r>
    <phoneticPr fontId="5" type="noConversion"/>
  </si>
  <si>
    <r>
      <rPr>
        <sz val="11"/>
        <rFont val="宋体"/>
        <family val="3"/>
        <charset val="134"/>
      </rPr>
      <t>基准日地价指数</t>
    </r>
    <phoneticPr fontId="5" type="noConversion"/>
  </si>
  <si>
    <r>
      <rPr>
        <sz val="10"/>
        <rFont val="宋体"/>
        <family val="3"/>
        <charset val="134"/>
      </rPr>
      <t>相差季度数</t>
    </r>
    <phoneticPr fontId="75" type="noConversion"/>
  </si>
  <si>
    <r>
      <rPr>
        <b/>
        <sz val="11"/>
        <rFont val="宋体"/>
        <family val="3"/>
        <charset val="134"/>
      </rPr>
      <t>四、</t>
    </r>
    <phoneticPr fontId="5" type="noConversion"/>
  </si>
  <si>
    <r>
      <rPr>
        <b/>
        <sz val="11"/>
        <rFont val="宋体"/>
        <family val="3"/>
        <charset val="134"/>
      </rPr>
      <t>年期修正系数</t>
    </r>
    <phoneticPr fontId="5" type="noConversion"/>
  </si>
  <si>
    <r>
      <rPr>
        <sz val="10"/>
        <rFont val="宋体"/>
        <family val="3"/>
        <charset val="134"/>
      </rPr>
      <t>现行一年期贷款利率</t>
    </r>
    <phoneticPr fontId="5" type="noConversion"/>
  </si>
  <si>
    <r>
      <rPr>
        <sz val="10"/>
        <rFont val="宋体"/>
        <family val="3"/>
        <charset val="134"/>
      </rPr>
      <t>剩余使用年限</t>
    </r>
    <phoneticPr fontId="5" type="noConversion"/>
  </si>
  <si>
    <r>
      <rPr>
        <sz val="11"/>
        <rFont val="宋体"/>
        <family val="3"/>
        <charset val="134"/>
      </rPr>
      <t>所在季度地价指数</t>
    </r>
    <phoneticPr fontId="5" type="noConversion"/>
  </si>
  <si>
    <r>
      <rPr>
        <sz val="11"/>
        <rFont val="宋体"/>
        <family val="3"/>
        <charset val="134"/>
      </rPr>
      <t>季度增幅</t>
    </r>
    <phoneticPr fontId="5" type="noConversion"/>
  </si>
  <si>
    <r>
      <rPr>
        <sz val="11"/>
        <rFont val="宋体"/>
        <family val="3"/>
        <charset val="134"/>
      </rPr>
      <t>自定义涨幅</t>
    </r>
    <phoneticPr fontId="5" type="noConversion"/>
  </si>
  <si>
    <r>
      <rPr>
        <sz val="11"/>
        <rFont val="宋体"/>
        <family val="3"/>
        <charset val="134"/>
      </rPr>
      <t>平均季度涨幅（公示）</t>
    </r>
    <phoneticPr fontId="5" type="noConversion"/>
  </si>
  <si>
    <r>
      <rPr>
        <b/>
        <sz val="11"/>
        <rFont val="宋体"/>
        <family val="3"/>
        <charset val="134"/>
      </rPr>
      <t>五、</t>
    </r>
    <phoneticPr fontId="5" type="noConversion"/>
  </si>
  <si>
    <r>
      <rPr>
        <sz val="11"/>
        <rFont val="宋体"/>
        <family val="3"/>
        <charset val="134"/>
      </rPr>
      <t>商业</t>
    </r>
    <phoneticPr fontId="5" type="noConversion"/>
  </si>
  <si>
    <r>
      <rPr>
        <sz val="11"/>
        <rFont val="宋体"/>
        <family val="3"/>
        <charset val="134"/>
      </rPr>
      <t>容积率修正系数</t>
    </r>
    <phoneticPr fontId="5" type="noConversion"/>
  </si>
  <si>
    <r>
      <t>R</t>
    </r>
    <r>
      <rPr>
        <sz val="11"/>
        <rFont val="宋体"/>
        <family val="3"/>
        <charset val="134"/>
      </rPr>
      <t>≤</t>
    </r>
    <r>
      <rPr>
        <sz val="11"/>
        <rFont val="Arial"/>
        <family val="2"/>
      </rPr>
      <t>10</t>
    </r>
    <phoneticPr fontId="5" type="noConversion"/>
  </si>
  <si>
    <r>
      <rPr>
        <sz val="11"/>
        <rFont val="宋体"/>
        <family val="3"/>
        <charset val="134"/>
      </rPr>
      <t>办公</t>
    </r>
    <phoneticPr fontId="5" type="noConversion"/>
  </si>
  <si>
    <r>
      <rPr>
        <sz val="11"/>
        <rFont val="宋体"/>
        <family val="3"/>
        <charset val="134"/>
      </rPr>
      <t>楼层修正系数（商业）</t>
    </r>
    <phoneticPr fontId="5" type="noConversion"/>
  </si>
  <si>
    <r>
      <rPr>
        <sz val="11"/>
        <rFont val="宋体"/>
        <family val="3"/>
        <charset val="134"/>
      </rPr>
      <t>住宅</t>
    </r>
  </si>
  <si>
    <r>
      <rPr>
        <b/>
        <sz val="11"/>
        <rFont val="宋体"/>
        <family val="3"/>
        <charset val="134"/>
      </rPr>
      <t>六、</t>
    </r>
    <phoneticPr fontId="5" type="noConversion"/>
  </si>
  <si>
    <r>
      <rPr>
        <b/>
        <sz val="11"/>
        <rFont val="宋体"/>
        <family val="3"/>
        <charset val="134"/>
      </rPr>
      <t>因素修正系数</t>
    </r>
    <phoneticPr fontId="5" type="noConversion"/>
  </si>
  <si>
    <r>
      <rPr>
        <sz val="11"/>
        <rFont val="宋体"/>
        <family val="3"/>
        <charset val="134"/>
      </rPr>
      <t>工业</t>
    </r>
  </si>
  <si>
    <r>
      <rPr>
        <b/>
        <sz val="11"/>
        <rFont val="宋体"/>
        <family val="3"/>
        <charset val="134"/>
      </rPr>
      <t>七、</t>
    </r>
    <phoneticPr fontId="5" type="noConversion"/>
  </si>
  <si>
    <r>
      <rPr>
        <b/>
        <sz val="11"/>
        <rFont val="宋体"/>
        <family val="3"/>
        <charset val="134"/>
      </rPr>
      <t>估算结果</t>
    </r>
    <phoneticPr fontId="5" type="noConversion"/>
  </si>
  <si>
    <r>
      <rPr>
        <sz val="11"/>
        <rFont val="宋体"/>
        <family val="3"/>
        <charset val="134"/>
      </rPr>
      <t>综合</t>
    </r>
    <phoneticPr fontId="5" type="noConversion"/>
  </si>
  <si>
    <r>
      <rPr>
        <sz val="11"/>
        <rFont val="宋体"/>
        <family val="3"/>
        <charset val="134"/>
      </rPr>
      <t>熟地价</t>
    </r>
    <phoneticPr fontId="75" type="noConversion"/>
  </si>
  <si>
    <r>
      <rPr>
        <sz val="11"/>
        <rFont val="宋体"/>
        <family val="3"/>
        <charset val="134"/>
      </rPr>
      <t>政府土地出让收益</t>
    </r>
    <phoneticPr fontId="75" type="noConversion"/>
  </si>
  <si>
    <r>
      <rPr>
        <b/>
        <sz val="10"/>
        <rFont val="宋体"/>
        <family val="3"/>
        <charset val="134"/>
      </rPr>
      <t>地上部分</t>
    </r>
    <phoneticPr fontId="5" type="noConversion"/>
  </si>
  <si>
    <r>
      <rPr>
        <b/>
        <sz val="11"/>
        <rFont val="宋体"/>
        <family val="3"/>
        <charset val="134"/>
      </rPr>
      <t>单价</t>
    </r>
    <phoneticPr fontId="5" type="noConversion"/>
  </si>
  <si>
    <r>
      <rPr>
        <b/>
        <sz val="11"/>
        <rFont val="宋体"/>
        <family val="3"/>
        <charset val="134"/>
      </rPr>
      <t>建筑面积</t>
    </r>
    <phoneticPr fontId="5" type="noConversion"/>
  </si>
  <si>
    <r>
      <rPr>
        <b/>
        <sz val="11"/>
        <rFont val="宋体"/>
        <family val="3"/>
        <charset val="134"/>
      </rPr>
      <t>总额</t>
    </r>
    <phoneticPr fontId="5" type="noConversion"/>
  </si>
  <si>
    <r>
      <rPr>
        <sz val="10"/>
        <rFont val="宋体"/>
        <family val="3"/>
        <charset val="134"/>
      </rPr>
      <t>地上部分</t>
    </r>
    <r>
      <rPr>
        <sz val="10"/>
        <rFont val="Arial"/>
        <family val="2"/>
      </rPr>
      <t>——</t>
    </r>
    <r>
      <rPr>
        <sz val="10"/>
        <rFont val="宋体"/>
        <family val="3"/>
        <charset val="134"/>
      </rPr>
      <t>楼面熟地价</t>
    </r>
    <phoneticPr fontId="5"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</si>
  <si>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5" type="noConversion"/>
  </si>
  <si>
    <r>
      <rPr>
        <sz val="10"/>
        <rFont val="宋体"/>
        <family val="3"/>
        <charset val="134"/>
      </rPr>
      <t>地上部分</t>
    </r>
    <r>
      <rPr>
        <sz val="10"/>
        <rFont val="Arial"/>
        <family val="2"/>
      </rPr>
      <t>——</t>
    </r>
    <r>
      <rPr>
        <sz val="10"/>
        <rFont val="宋体"/>
        <family val="3"/>
        <charset val="134"/>
      </rPr>
      <t>政府土地出让收益</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</si>
  <si>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5" type="noConversion"/>
  </si>
  <si>
    <r>
      <rPr>
        <b/>
        <sz val="10"/>
        <rFont val="宋体"/>
        <family val="3"/>
        <charset val="134"/>
      </rPr>
      <t>地下部分</t>
    </r>
    <phoneticPr fontId="5"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</si>
  <si>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</si>
  <si>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5" type="noConversion"/>
  </si>
  <si>
    <r>
      <rPr>
        <sz val="10"/>
        <rFont val="宋体"/>
        <family val="3"/>
        <charset val="134"/>
      </rPr>
      <t>相应用途地下空间修正系数</t>
    </r>
  </si>
  <si>
    <r>
      <rPr>
        <b/>
        <sz val="10"/>
        <color rgb="FFFF0000"/>
        <rFont val="宋体"/>
        <family val="3"/>
        <charset val="134"/>
      </rPr>
      <t>地下商业不考虑路线价修正</t>
    </r>
    <phoneticPr fontId="5"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</si>
  <si>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</si>
  <si>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</si>
  <si>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</si>
  <si>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5" type="noConversion"/>
  </si>
  <si>
    <r>
      <rPr>
        <sz val="10"/>
        <color theme="1"/>
        <rFont val="宋体"/>
        <family val="3"/>
        <charset val="134"/>
      </rPr>
      <t>地下办公</t>
    </r>
    <phoneticPr fontId="5" type="noConversion"/>
  </si>
  <si>
    <r>
      <rPr>
        <sz val="10"/>
        <rFont val="宋体"/>
        <family val="3"/>
        <charset val="134"/>
      </rPr>
      <t>政府土地出让收益比例</t>
    </r>
    <phoneticPr fontId="75" type="noConversion"/>
  </si>
  <si>
    <r>
      <rPr>
        <sz val="10"/>
        <color theme="1"/>
        <rFont val="宋体"/>
        <family val="3"/>
        <charset val="134"/>
      </rPr>
      <t>地下仓储</t>
    </r>
    <phoneticPr fontId="5"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</si>
  <si>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5" type="noConversion"/>
  </si>
  <si>
    <r>
      <rPr>
        <sz val="10"/>
        <color theme="1"/>
        <rFont val="宋体"/>
        <family val="3"/>
        <charset val="134"/>
      </rPr>
      <t>地下车库</t>
    </r>
    <phoneticPr fontId="5" type="noConversion"/>
  </si>
  <si>
    <r>
      <rPr>
        <b/>
        <sz val="11"/>
        <color rgb="FFFF0000"/>
        <rFont val="宋体"/>
        <family val="3"/>
        <charset val="134"/>
      </rPr>
      <t>结果不可超过《北京市区片基准地价因素总修正幅度表》所列修正幅度；依据估价对象用途调整链接</t>
    </r>
    <phoneticPr fontId="5" type="noConversion"/>
  </si>
  <si>
    <r>
      <rPr>
        <b/>
        <sz val="11"/>
        <color rgb="FFFF0000"/>
        <rFont val="宋体"/>
        <family val="3"/>
        <charset val="134"/>
      </rPr>
      <t>商业</t>
    </r>
    <phoneticPr fontId="5" type="noConversion"/>
  </si>
  <si>
    <r>
      <rPr>
        <sz val="10"/>
        <color theme="1"/>
        <rFont val="宋体"/>
        <family val="3"/>
        <charset val="134"/>
      </rPr>
      <t>影响因素</t>
    </r>
    <phoneticPr fontId="5" type="noConversion"/>
  </si>
  <si>
    <r>
      <rPr>
        <sz val="10"/>
        <color theme="1"/>
        <rFont val="宋体"/>
        <family val="3"/>
        <charset val="134"/>
      </rPr>
      <t>情况说明</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</si>
  <si>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</si>
  <si>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</si>
  <si>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</si>
  <si>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rFont val="宋体"/>
        <family val="3"/>
        <charset val="134"/>
      </rPr>
      <t>幅度控制</t>
    </r>
    <r>
      <rPr>
        <sz val="10"/>
        <rFont val="Arial"/>
        <family val="2"/>
      </rPr>
      <t>(±)</t>
    </r>
    <phoneticPr fontId="5" type="noConversion"/>
  </si>
  <si>
    <r>
      <rPr>
        <sz val="10"/>
        <color indexed="8"/>
        <rFont val="宋体"/>
        <family val="3"/>
        <charset val="134"/>
      </rPr>
      <t>修正系数</t>
    </r>
    <phoneticPr fontId="75" type="noConversion"/>
  </si>
  <si>
    <r>
      <rPr>
        <sz val="10"/>
        <color rgb="FFFF0000"/>
        <rFont val="宋体"/>
        <family val="3"/>
        <charset val="134"/>
      </rPr>
      <t>各因素幅度控制</t>
    </r>
    <r>
      <rPr>
        <sz val="10"/>
        <color rgb="FFFF0000"/>
        <rFont val="Arial"/>
        <family val="2"/>
      </rPr>
      <t>(±)</t>
    </r>
    <phoneticPr fontId="5" type="noConversion"/>
  </si>
  <si>
    <r>
      <rPr>
        <sz val="10"/>
        <color indexed="8"/>
        <rFont val="宋体"/>
        <family val="3"/>
        <charset val="134"/>
      </rPr>
      <t>权重</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</si>
  <si>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</si>
  <si>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</si>
  <si>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</si>
  <si>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</si>
  <si>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</si>
  <si>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t xml:space="preserve"> </t>
    </r>
    <r>
      <rPr>
        <sz val="10"/>
        <color theme="1"/>
        <rFont val="宋体"/>
        <family val="3"/>
        <charset val="134"/>
      </rPr>
      <t>商业繁华程度</t>
    </r>
    <phoneticPr fontId="5" type="noConversion"/>
  </si>
  <si>
    <r>
      <rPr>
        <sz val="10"/>
        <color theme="1"/>
        <rFont val="宋体"/>
        <family val="3"/>
        <charset val="134"/>
      </rPr>
      <t>交通便捷度</t>
    </r>
    <phoneticPr fontId="5" type="noConversion"/>
  </si>
  <si>
    <r>
      <rPr>
        <sz val="10"/>
        <color theme="1"/>
        <rFont val="宋体"/>
        <family val="3"/>
        <charset val="134"/>
      </rPr>
      <t>区域土地利用方向</t>
    </r>
    <phoneticPr fontId="5" type="noConversion"/>
  </si>
  <si>
    <r>
      <rPr>
        <sz val="10"/>
        <color theme="1"/>
        <rFont val="宋体"/>
        <family val="3"/>
        <charset val="134"/>
      </rPr>
      <t>临街宽度和深度</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</si>
  <si>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5"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</si>
  <si>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</si>
  <si>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</si>
  <si>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9" tint="-0.249977111117893"/>
        <rFont val="宋体"/>
        <family val="3"/>
        <charset val="134"/>
      </rPr>
      <t>宗地形状？，但对宗地利用影响？</t>
    </r>
    <phoneticPr fontId="5"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</si>
  <si>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</si>
  <si>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</si>
  <si>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</si>
  <si>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b/>
        <sz val="11"/>
        <color rgb="FFFF0000"/>
        <rFont val="宋体"/>
        <family val="3"/>
        <charset val="134"/>
      </rPr>
      <t>办公</t>
    </r>
    <phoneticPr fontId="5" type="noConversion"/>
  </si>
  <si>
    <r>
      <rPr>
        <sz val="10"/>
        <color indexed="8"/>
        <rFont val="宋体"/>
        <family val="3"/>
        <charset val="134"/>
      </rPr>
      <t>修正系数</t>
    </r>
    <phoneticPr fontId="75" type="noConversion"/>
  </si>
  <si>
    <r>
      <rPr>
        <sz val="10"/>
        <color rgb="FFFF0000"/>
        <rFont val="宋体"/>
        <family val="3"/>
        <charset val="134"/>
      </rPr>
      <t>各因素幅度控制</t>
    </r>
    <r>
      <rPr>
        <sz val="10"/>
        <color rgb="FFFF0000"/>
        <rFont val="Arial"/>
        <family val="2"/>
      </rPr>
      <t>(±)</t>
    </r>
    <phoneticPr fontId="5" type="noConversion"/>
  </si>
  <si>
    <r>
      <rPr>
        <sz val="10"/>
        <color indexed="8"/>
        <rFont val="宋体"/>
        <family val="3"/>
        <charset val="134"/>
      </rPr>
      <t>权重</t>
    </r>
    <phoneticPr fontId="5" type="noConversion"/>
  </si>
  <si>
    <r>
      <rPr>
        <sz val="10"/>
        <color theme="1"/>
        <rFont val="宋体"/>
        <family val="3"/>
        <charset val="134"/>
      </rPr>
      <t>办公集聚程度</t>
    </r>
    <phoneticPr fontId="5" type="noConversion"/>
  </si>
  <si>
    <r>
      <rPr>
        <b/>
        <sz val="11"/>
        <color rgb="FFFF0000"/>
        <rFont val="宋体"/>
        <family val="3"/>
        <charset val="134"/>
      </rPr>
      <t>住宅</t>
    </r>
    <phoneticPr fontId="5" type="noConversion"/>
  </si>
  <si>
    <r>
      <rPr>
        <sz val="10"/>
        <color theme="1"/>
        <rFont val="宋体"/>
        <family val="3"/>
        <charset val="134"/>
      </rPr>
      <t>居住社区成熟度</t>
    </r>
    <phoneticPr fontId="5" type="noConversion"/>
  </si>
  <si>
    <r>
      <rPr>
        <sz val="10"/>
        <color theme="1"/>
        <rFont val="宋体"/>
        <family val="3"/>
        <charset val="134"/>
      </rPr>
      <t>临路状况</t>
    </r>
    <phoneticPr fontId="5" type="noConversion"/>
  </si>
  <si>
    <r>
      <rPr>
        <sz val="10"/>
        <color theme="1"/>
        <rFont val="宋体"/>
        <family val="3"/>
        <charset val="134"/>
      </rPr>
      <t>与区域中心的接近程度</t>
    </r>
    <phoneticPr fontId="5" type="noConversion"/>
  </si>
  <si>
    <r>
      <rPr>
        <b/>
        <sz val="11"/>
        <color rgb="FFFF0000"/>
        <rFont val="宋体"/>
        <family val="3"/>
        <charset val="134"/>
      </rPr>
      <t>工业</t>
    </r>
    <phoneticPr fontId="5" type="noConversion"/>
  </si>
  <si>
    <r>
      <rPr>
        <sz val="10"/>
        <color theme="1"/>
        <rFont val="宋体"/>
        <family val="3"/>
        <charset val="134"/>
      </rPr>
      <t>产业集聚程度</t>
    </r>
    <phoneticPr fontId="5" type="noConversion"/>
  </si>
  <si>
    <r>
      <rPr>
        <sz val="10"/>
        <color theme="1"/>
        <rFont val="宋体"/>
        <family val="3"/>
        <charset val="134"/>
      </rPr>
      <t>环境状况</t>
    </r>
    <phoneticPr fontId="5" type="noConversion"/>
  </si>
  <si>
    <r>
      <rPr>
        <b/>
        <sz val="10"/>
        <color theme="1"/>
        <rFont val="宋体"/>
        <family val="3"/>
        <charset val="134"/>
      </rPr>
      <t>北京市基准地价商业用途楼层修正系数表</t>
    </r>
    <phoneticPr fontId="5" type="noConversion"/>
  </si>
  <si>
    <r>
      <rPr>
        <sz val="10"/>
        <color theme="1"/>
        <rFont val="宋体"/>
        <family val="3"/>
        <charset val="134"/>
      </rPr>
      <t>用途</t>
    </r>
    <phoneticPr fontId="5" type="noConversion"/>
  </si>
  <si>
    <r>
      <rPr>
        <sz val="10"/>
        <color theme="1"/>
        <rFont val="宋体"/>
        <family val="3"/>
        <charset val="134"/>
      </rPr>
      <t>所在楼层</t>
    </r>
    <phoneticPr fontId="5" type="noConversion"/>
  </si>
  <si>
    <r>
      <rPr>
        <sz val="10"/>
        <color theme="1"/>
        <rFont val="宋体"/>
        <family val="3"/>
        <charset val="134"/>
      </rPr>
      <t>楼层修正系数</t>
    </r>
    <phoneticPr fontId="5"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</si>
  <si>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5" type="noConversion"/>
  </si>
  <si>
    <r>
      <rPr>
        <sz val="10"/>
        <color theme="1"/>
        <rFont val="宋体"/>
        <family val="3"/>
        <charset val="134"/>
      </rPr>
      <t>商业</t>
    </r>
    <r>
      <rPr>
        <sz val="10"/>
        <color theme="1"/>
        <rFont val="Arial"/>
        <family val="2"/>
      </rPr>
      <t>R</t>
    </r>
    <r>
      <rPr>
        <sz val="10"/>
        <color indexed="8"/>
        <rFont val="Arial"/>
        <family val="2"/>
      </rPr>
      <t>&lt;1</t>
    </r>
    <phoneticPr fontId="5" type="noConversion"/>
  </si>
  <si>
    <r>
      <rPr>
        <sz val="10"/>
        <color theme="1"/>
        <rFont val="宋体"/>
        <family val="3"/>
        <charset val="134"/>
      </rPr>
      <t>容积率</t>
    </r>
    <phoneticPr fontId="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</si>
  <si>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</si>
  <si>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5" type="noConversion"/>
  </si>
  <si>
    <r>
      <rPr>
        <sz val="10"/>
        <rFont val="宋体"/>
        <family val="3"/>
        <charset val="134"/>
      </rPr>
      <t>宗地容积率</t>
    </r>
    <r>
      <rPr>
        <sz val="10"/>
        <rFont val="Arial"/>
        <family val="2"/>
      </rPr>
      <t>R</t>
    </r>
    <phoneticPr fontId="5" type="noConversion"/>
  </si>
  <si>
    <r>
      <rPr>
        <sz val="10"/>
        <rFont val="宋体"/>
        <family val="3"/>
        <charset val="134"/>
      </rPr>
      <t>修正系数</t>
    </r>
    <phoneticPr fontId="5" type="noConversion"/>
  </si>
  <si>
    <r>
      <rPr>
        <sz val="10"/>
        <rFont val="宋体"/>
        <family val="3"/>
        <charset val="134"/>
      </rPr>
      <t>一级</t>
    </r>
    <phoneticPr fontId="5" type="noConversion"/>
  </si>
  <si>
    <r>
      <rPr>
        <sz val="10"/>
        <rFont val="宋体"/>
        <family val="3"/>
        <charset val="134"/>
      </rPr>
      <t>二级</t>
    </r>
    <phoneticPr fontId="5" type="noConversion"/>
  </si>
  <si>
    <r>
      <rPr>
        <sz val="10"/>
        <rFont val="宋体"/>
        <family val="3"/>
        <charset val="134"/>
      </rPr>
      <t>三级</t>
    </r>
    <phoneticPr fontId="5" type="noConversion"/>
  </si>
  <si>
    <r>
      <rPr>
        <sz val="10"/>
        <rFont val="宋体"/>
        <family val="3"/>
        <charset val="134"/>
      </rPr>
      <t>四级</t>
    </r>
    <phoneticPr fontId="5" type="noConversion"/>
  </si>
  <si>
    <r>
      <rPr>
        <sz val="10"/>
        <rFont val="宋体"/>
        <family val="3"/>
        <charset val="134"/>
      </rPr>
      <t>五级</t>
    </r>
    <phoneticPr fontId="5" type="noConversion"/>
  </si>
  <si>
    <r>
      <rPr>
        <sz val="10"/>
        <rFont val="宋体"/>
        <family val="3"/>
        <charset val="134"/>
      </rPr>
      <t>六级</t>
    </r>
    <phoneticPr fontId="5" type="noConversion"/>
  </si>
  <si>
    <r>
      <rPr>
        <sz val="10"/>
        <rFont val="宋体"/>
        <family val="3"/>
        <charset val="134"/>
      </rPr>
      <t>七级</t>
    </r>
    <phoneticPr fontId="5" type="noConversion"/>
  </si>
  <si>
    <r>
      <rPr>
        <sz val="10"/>
        <rFont val="宋体"/>
        <family val="3"/>
        <charset val="134"/>
      </rPr>
      <t>八级</t>
    </r>
    <phoneticPr fontId="5" type="noConversion"/>
  </si>
  <si>
    <r>
      <rPr>
        <sz val="10"/>
        <rFont val="宋体"/>
        <family val="3"/>
        <charset val="134"/>
      </rPr>
      <t>九级</t>
    </r>
    <phoneticPr fontId="5" type="noConversion"/>
  </si>
  <si>
    <r>
      <rPr>
        <sz val="10"/>
        <rFont val="宋体"/>
        <family val="3"/>
        <charset val="134"/>
      </rPr>
      <t>十级</t>
    </r>
    <phoneticPr fontId="5" type="noConversion"/>
  </si>
  <si>
    <r>
      <rPr>
        <sz val="10"/>
        <rFont val="宋体"/>
        <family val="3"/>
        <charset val="134"/>
      </rPr>
      <t>十一级</t>
    </r>
    <phoneticPr fontId="5" type="noConversion"/>
  </si>
  <si>
    <r>
      <rPr>
        <sz val="10"/>
        <rFont val="宋体"/>
        <family val="3"/>
        <charset val="134"/>
      </rPr>
      <t>十二级</t>
    </r>
    <phoneticPr fontId="5"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</si>
  <si>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5"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</si>
  <si>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</si>
  <si>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</si>
  <si>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2017-3</t>
    <phoneticPr fontId="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</si>
  <si>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7" type="noConversion"/>
  </si>
  <si>
    <t>本行不参与计算</t>
    <phoneticPr fontId="147" type="noConversion"/>
  </si>
  <si>
    <t>2017-4</t>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</si>
  <si>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</si>
  <si>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</si>
  <si>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2018-1</t>
    <phoneticPr fontId="5"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</si>
  <si>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</si>
  <si>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5" type="noConversion"/>
  </si>
  <si>
    <t>2018-2</t>
    <phoneticPr fontId="5" type="noConversion"/>
  </si>
  <si>
    <t>2018-3</t>
    <phoneticPr fontId="5" type="noConversion"/>
  </si>
  <si>
    <t>苏海</t>
    <phoneticPr fontId="5" type="noConversion"/>
  </si>
  <si>
    <r>
      <rPr>
        <sz val="10"/>
        <rFont val="宋体"/>
        <family val="3"/>
        <charset val="134"/>
      </rPr>
      <t>土地还原率</t>
    </r>
    <phoneticPr fontId="5" type="noConversion"/>
  </si>
  <si>
    <r>
      <rPr>
        <sz val="10"/>
        <rFont val="宋体"/>
        <family val="3"/>
        <charset val="134"/>
      </rPr>
      <t>剩余使用年限</t>
    </r>
    <phoneticPr fontId="5" type="noConversion"/>
  </si>
  <si>
    <t>地下车库及仓储年期修正</t>
    <phoneticPr fontId="5" type="noConversion"/>
  </si>
  <si>
    <t>2018-4</t>
    <phoneticPr fontId="5" type="noConversion"/>
  </si>
  <si>
    <t>级别开发程度</t>
    <phoneticPr fontId="5" type="noConversion"/>
  </si>
  <si>
    <t>2019-2</t>
    <phoneticPr fontId="5" type="noConversion"/>
  </si>
  <si>
    <t>2019-1</t>
    <phoneticPr fontId="5" type="noConversion"/>
  </si>
  <si>
    <t>按公示增长率计算</t>
  </si>
  <si>
    <t>（1）-（3）项合</t>
    <phoneticPr fontId="5"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</si>
  <si>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</si>
  <si>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5" type="noConversion"/>
  </si>
  <si>
    <t>2019-3</t>
    <phoneticPr fontId="5" type="noConversion"/>
  </si>
  <si>
    <t>2019A-027</t>
    <phoneticPr fontId="5" type="noConversion"/>
  </si>
  <si>
    <t>刘俊财</t>
    <phoneticPr fontId="5" type="noConversion"/>
  </si>
  <si>
    <t>2019-4</t>
    <phoneticPr fontId="5"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</si>
  <si>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5" type="noConversion"/>
  </si>
  <si>
    <t>2020-1</t>
    <phoneticPr fontId="5" type="noConversion"/>
  </si>
  <si>
    <t>土地征用及拆迁补偿费</t>
    <phoneticPr fontId="9" type="noConversion"/>
  </si>
  <si>
    <t>土地征用及拆迁补偿费</t>
    <phoneticPr fontId="92" type="noConversion"/>
  </si>
  <si>
    <t>2020-2</t>
    <phoneticPr fontId="5"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</si>
  <si>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7"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</si>
  <si>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5" type="noConversion"/>
  </si>
  <si>
    <t>个人住宅</t>
  </si>
  <si>
    <t>个人其他（无凭证）</t>
  </si>
  <si>
    <t>普宅标准：</t>
    <phoneticPr fontId="9"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</si>
  <si>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9"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</si>
  <si>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9" type="noConversion"/>
  </si>
  <si>
    <t>简单平均</t>
  </si>
  <si>
    <t>售价</t>
  </si>
  <si>
    <t>估价对象基本情况</t>
  </si>
  <si>
    <t>估价对象</t>
  </si>
  <si>
    <t>价值时点</t>
  </si>
  <si>
    <t>评估总值</t>
    <phoneticPr fontId="9" type="noConversion"/>
  </si>
  <si>
    <t>处置时需缴纳的相关税费</t>
  </si>
  <si>
    <t>序号</t>
  </si>
  <si>
    <t>税（费）种</t>
  </si>
  <si>
    <t>金额（元）</t>
  </si>
  <si>
    <t>计算方法</t>
  </si>
  <si>
    <t>税（费）率</t>
  </si>
  <si>
    <t>增值税及附加</t>
    <phoneticPr fontId="9" type="noConversion"/>
  </si>
  <si>
    <t>印花税</t>
    <phoneticPr fontId="9" type="noConversion"/>
  </si>
  <si>
    <t>土地增值税</t>
    <phoneticPr fontId="9" type="noConversion"/>
  </si>
  <si>
    <t>合计</t>
    <phoneticPr fontId="9" type="noConversion"/>
  </si>
  <si>
    <t>小写</t>
  </si>
  <si>
    <t>大写</t>
  </si>
  <si>
    <t>抵押净值</t>
    <phoneticPr fontId="9" type="noConversion"/>
  </si>
  <si>
    <t>抵押净值单价</t>
    <phoneticPr fontId="9" type="noConversion"/>
  </si>
  <si>
    <t>其他处置费用</t>
  </si>
  <si>
    <t>律师费</t>
  </si>
  <si>
    <t>诉讼费</t>
  </si>
  <si>
    <t>最低50元</t>
    <phoneticPr fontId="5" type="noConversion"/>
  </si>
  <si>
    <t>执行费</t>
  </si>
  <si>
    <t>诉讼保全费</t>
  </si>
  <si>
    <t>最高5000元</t>
    <phoneticPr fontId="5" type="noConversion"/>
  </si>
  <si>
    <t>评估费</t>
  </si>
  <si>
    <t>拍卖费</t>
  </si>
  <si>
    <r>
      <rPr>
        <sz val="10"/>
        <color theme="1"/>
        <rFont val="宋体"/>
        <family val="3"/>
        <charset val="134"/>
      </rPr>
      <t>测算结果（典型户型）</t>
    </r>
    <phoneticPr fontId="92"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</si>
  <si>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</si>
  <si>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theme="1"/>
        <rFont val="宋体"/>
        <family val="3"/>
        <charset val="134"/>
      </rPr>
      <t>评估价值（典型户型）</t>
    </r>
    <phoneticPr fontId="92" type="noConversion"/>
  </si>
  <si>
    <r>
      <rPr>
        <sz val="10"/>
        <color theme="1"/>
        <rFont val="宋体"/>
        <family val="3"/>
        <charset val="134"/>
      </rPr>
      <t>评估总值</t>
    </r>
    <phoneticPr fontId="92"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</si>
  <si>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</si>
  <si>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rPr>
        <b/>
        <sz val="10"/>
        <color indexed="8"/>
        <rFont val="宋体"/>
        <family val="3"/>
        <charset val="134"/>
      </rPr>
      <t>抵押物名称</t>
    </r>
    <phoneticPr fontId="9" type="noConversion"/>
  </si>
  <si>
    <r>
      <rPr>
        <b/>
        <sz val="10"/>
        <color indexed="8"/>
        <rFont val="宋体"/>
        <family val="3"/>
        <charset val="134"/>
      </rPr>
      <t>建筑面积（平方米）</t>
    </r>
    <phoneticPr fontId="9" type="noConversion"/>
  </si>
  <si>
    <r>
      <t>1.</t>
    </r>
    <r>
      <rPr>
        <b/>
        <sz val="10"/>
        <color indexed="8"/>
        <rFont val="宋体"/>
        <family val="3"/>
        <charset val="134"/>
      </rPr>
      <t>房地产价值</t>
    </r>
    <phoneticPr fontId="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</si>
  <si>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</si>
  <si>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</si>
  <si>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9"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</si>
  <si>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9"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</si>
  <si>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9"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</si>
  <si>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9" type="noConversion"/>
  </si>
  <si>
    <r>
      <t>1</t>
    </r>
    <r>
      <rPr>
        <b/>
        <sz val="10"/>
        <color indexed="8"/>
        <rFont val="宋体"/>
        <family val="3"/>
        <charset val="134"/>
      </rPr>
      <t>房地产价值</t>
    </r>
    <phoneticPr fontId="80"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</si>
  <si>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</si>
  <si>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9"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</si>
  <si>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9"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</si>
  <si>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9" type="noConversion"/>
  </si>
  <si>
    <r>
      <rPr>
        <sz val="10"/>
        <color indexed="8"/>
        <rFont val="宋体"/>
        <family val="3"/>
        <charset val="134"/>
      </rPr>
      <t>抵押物名称</t>
    </r>
  </si>
  <si>
    <r>
      <rPr>
        <sz val="10"/>
        <color indexed="8"/>
        <rFont val="宋体"/>
        <family val="3"/>
        <charset val="134"/>
      </rPr>
      <t>建筑面积</t>
    </r>
    <phoneticPr fontId="9"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</si>
  <si>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</si>
  <si>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</si>
  <si>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</si>
  <si>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</si>
  <si>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</si>
  <si>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9" type="noConversion"/>
  </si>
  <si>
    <r>
      <rPr>
        <sz val="10"/>
        <color indexed="8"/>
        <rFont val="宋体"/>
        <family val="3"/>
        <charset val="134"/>
      </rPr>
      <t>建筑物价值</t>
    </r>
    <phoneticPr fontId="9" type="noConversion"/>
  </si>
  <si>
    <r>
      <rPr>
        <sz val="10"/>
        <color indexed="8"/>
        <rFont val="宋体"/>
        <family val="3"/>
        <charset val="134"/>
      </rPr>
      <t>楼面单价</t>
    </r>
    <phoneticPr fontId="9" type="noConversion"/>
  </si>
  <si>
    <r>
      <rPr>
        <sz val="10"/>
        <color indexed="8"/>
        <rFont val="宋体"/>
        <family val="3"/>
        <charset val="134"/>
      </rPr>
      <t>建筑面积</t>
    </r>
    <phoneticPr fontId="9"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</si>
  <si>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9" type="noConversion"/>
  </si>
  <si>
    <r>
      <rPr>
        <sz val="10"/>
        <color indexed="8"/>
        <rFont val="宋体"/>
        <family val="3"/>
        <charset val="134"/>
      </rPr>
      <t>建筑物价值</t>
    </r>
    <phoneticPr fontId="9" type="noConversion"/>
  </si>
  <si>
    <r>
      <t>1.</t>
    </r>
    <r>
      <rPr>
        <b/>
        <sz val="10"/>
        <color indexed="8"/>
        <rFont val="宋体"/>
        <family val="3"/>
        <charset val="134"/>
      </rPr>
      <t>房地产价值</t>
    </r>
    <phoneticPr fontId="80"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</si>
  <si>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</si>
  <si>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9" type="noConversion"/>
  </si>
  <si>
    <r>
      <t>1.</t>
    </r>
    <r>
      <rPr>
        <b/>
        <sz val="10"/>
        <color indexed="8"/>
        <rFont val="宋体"/>
        <family val="3"/>
        <charset val="134"/>
      </rPr>
      <t>房地产价值</t>
    </r>
    <phoneticPr fontId="9"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</si>
  <si>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</si>
  <si>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</si>
  <si>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</si>
  <si>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</si>
  <si>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theme="1"/>
        <rFont val="宋体"/>
        <family val="3"/>
        <charset val="134"/>
      </rPr>
      <t>评估价值</t>
    </r>
  </si>
  <si>
    <t>属于免缴时请录入免缴类别</t>
    <phoneticPr fontId="9" type="noConversion"/>
  </si>
  <si>
    <t xml:space="preserve"> </t>
    <phoneticPr fontId="5" type="noConversion"/>
  </si>
  <si>
    <t>★净值计算中税收公式按照北京市现行政策设置，如为外省项目需核实当地税收政策★</t>
    <phoneticPr fontId="9" type="noConversion"/>
  </si>
  <si>
    <t>★此处仍为计算过程，权重结果非最终结果，总价和单价分别为各自权重值，无直接关联★</t>
    <phoneticPr fontId="9" type="noConversion"/>
  </si>
  <si>
    <t>★取得土地使用权所支付的金额，是指纳税人为取得土地使用权所支付的地价款和按国家统一规定交纳的有关费用★</t>
    <phoneticPr fontId="9" type="noConversion"/>
  </si>
  <si>
    <t>★土地征用及拆迁补偿费，包括土地征用费、耕地占用税、劳动力安置费及有关地上、地下附着物拆迁补偿的净支出、安置动迁用房支出等★</t>
    <phoneticPr fontId="9"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</si>
  <si>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9" type="noConversion"/>
  </si>
  <si>
    <t>★合计部分请自行录入公式，很重要，与C32结果相关★</t>
    <phoneticPr fontId="9" type="noConversion"/>
  </si>
  <si>
    <t>★此线以下显示的为最终结果★</t>
    <phoneticPr fontId="9" type="noConversion"/>
  </si>
  <si>
    <t>北京普宅标准：</t>
    <phoneticPr fontId="9" type="noConversion"/>
  </si>
  <si>
    <t>非个人房产</t>
  </si>
  <si>
    <t>北京标准</t>
    <phoneticPr fontId="9" type="noConversion"/>
  </si>
  <si>
    <t>北京标准</t>
    <phoneticPr fontId="92" type="noConversion"/>
  </si>
  <si>
    <t>★此线以上为必填项（致函链接）★</t>
    <phoneticPr fontId="8" type="noConversion"/>
  </si>
  <si>
    <r>
      <t>面积</t>
    </r>
    <r>
      <rPr>
        <sz val="8"/>
        <color rgb="FFFF0000"/>
        <rFont val="宋体"/>
        <family val="3"/>
        <charset val="134"/>
      </rPr>
      <t>（★估价对象为多套时，此处录入估价对象的全部面积★）</t>
    </r>
    <phoneticPr fontId="8" type="noConversion"/>
  </si>
  <si>
    <r>
      <rPr>
        <sz val="10"/>
        <color indexed="8"/>
        <rFont val="宋体"/>
        <family val="3"/>
        <charset val="134"/>
      </rPr>
      <t>设定用途</t>
    </r>
    <phoneticPr fontId="8" type="noConversion"/>
  </si>
  <si>
    <t>刘俊财</t>
    <phoneticPr fontId="82" type="noConversion"/>
  </si>
  <si>
    <t>备案等级：一级</t>
    <phoneticPr fontId="5" type="noConversion"/>
  </si>
  <si>
    <t>建房估备字[2013第]081号</t>
    <phoneticPr fontId="5" type="noConversion"/>
  </si>
  <si>
    <t>延期至2020年底</t>
    <phoneticPr fontId="82" type="noConversion"/>
  </si>
  <si>
    <t>赵雯</t>
    <phoneticPr fontId="82"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</si>
  <si>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</si>
  <si>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</si>
  <si>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5" type="noConversion"/>
  </si>
  <si>
    <t>备注/参考值</t>
    <phoneticPr fontId="5" type="noConversion"/>
  </si>
  <si>
    <r>
      <rPr>
        <sz val="10"/>
        <color indexed="8"/>
        <rFont val="宋体"/>
        <family val="3"/>
        <charset val="134"/>
      </rPr>
      <t>参考值</t>
    </r>
    <r>
      <rPr>
        <sz val="10"/>
        <color indexed="8"/>
        <rFont val="Arial"/>
        <family val="2"/>
      </rPr>
      <t>4%-5%</t>
    </r>
    <phoneticPr fontId="5" type="noConversion"/>
  </si>
  <si>
    <r>
      <rPr>
        <sz val="10"/>
        <color indexed="8"/>
        <rFont val="宋体"/>
        <family val="3"/>
        <charset val="134"/>
      </rPr>
      <t>参考值</t>
    </r>
    <r>
      <rPr>
        <sz val="10"/>
        <color indexed="8"/>
        <rFont val="Arial"/>
        <family val="2"/>
      </rPr>
      <t>5%-6%</t>
    </r>
    <phoneticPr fontId="5" type="noConversion"/>
  </si>
  <si>
    <r>
      <rPr>
        <sz val="10"/>
        <color indexed="8"/>
        <rFont val="宋体"/>
        <family val="3"/>
        <charset val="134"/>
      </rPr>
      <t>参考值</t>
    </r>
    <r>
      <rPr>
        <sz val="10"/>
        <color indexed="8"/>
        <rFont val="Arial"/>
        <family val="2"/>
      </rPr>
      <t>7%-8%</t>
    </r>
    <phoneticPr fontId="5" type="noConversion"/>
  </si>
  <si>
    <r>
      <rPr>
        <sz val="10"/>
        <color indexed="8"/>
        <rFont val="宋体"/>
        <family val="3"/>
        <charset val="134"/>
      </rPr>
      <t>取值范围</t>
    </r>
    <r>
      <rPr>
        <sz val="10"/>
        <color indexed="8"/>
        <rFont val="Arial"/>
        <family val="2"/>
      </rPr>
      <t>0.15%-0.3%</t>
    </r>
    <phoneticPr fontId="5" type="noConversion"/>
  </si>
  <si>
    <r>
      <rPr>
        <sz val="10"/>
        <color indexed="8"/>
        <rFont val="宋体"/>
        <family val="3"/>
        <charset val="134"/>
      </rPr>
      <t>取值范围</t>
    </r>
    <r>
      <rPr>
        <sz val="10"/>
        <color indexed="8"/>
        <rFont val="Arial"/>
        <family val="2"/>
      </rPr>
      <t>1-3%</t>
    </r>
    <phoneticPr fontId="5" type="noConversion"/>
  </si>
  <si>
    <r>
      <rPr>
        <sz val="10"/>
        <color indexed="8"/>
        <rFont val="宋体"/>
        <family val="3"/>
        <charset val="134"/>
      </rPr>
      <t>取值范围</t>
    </r>
    <r>
      <rPr>
        <sz val="10"/>
        <color indexed="8"/>
        <rFont val="Arial"/>
        <family val="2"/>
      </rPr>
      <t>1.5%-2.5%</t>
    </r>
    <phoneticPr fontId="5" type="noConversion"/>
  </si>
  <si>
    <r>
      <rPr>
        <sz val="10"/>
        <color theme="1"/>
        <rFont val="宋体"/>
        <family val="3"/>
        <charset val="134"/>
      </rPr>
      <t>取值范围</t>
    </r>
    <r>
      <rPr>
        <sz val="10"/>
        <color theme="1"/>
        <rFont val="Arial"/>
        <family val="2"/>
      </rPr>
      <t>0-10%</t>
    </r>
    <phoneticPr fontId="5" type="noConversion"/>
  </si>
  <si>
    <r>
      <rPr>
        <sz val="10"/>
        <color theme="1"/>
        <rFont val="宋体"/>
        <family val="3"/>
        <charset val="134"/>
      </rPr>
      <t>取值范围</t>
    </r>
    <r>
      <rPr>
        <sz val="10"/>
        <color theme="1"/>
        <rFont val="Arial"/>
        <family val="2"/>
      </rPr>
      <t>1%-3%</t>
    </r>
    <phoneticPr fontId="5" type="noConversion"/>
  </si>
  <si>
    <r>
      <rPr>
        <sz val="10"/>
        <color theme="1"/>
        <rFont val="宋体"/>
        <family val="3"/>
        <charset val="134"/>
      </rPr>
      <t>取值范围</t>
    </r>
    <r>
      <rPr>
        <sz val="10"/>
        <color theme="1"/>
        <rFont val="Arial"/>
        <family val="2"/>
      </rPr>
      <t>3%-5%</t>
    </r>
    <phoneticPr fontId="5" type="noConversion"/>
  </si>
  <si>
    <r>
      <rPr>
        <sz val="10"/>
        <color theme="1"/>
        <rFont val="宋体"/>
        <family val="3"/>
        <charset val="134"/>
      </rPr>
      <t>取值范围</t>
    </r>
    <r>
      <rPr>
        <sz val="10"/>
        <color theme="1"/>
        <rFont val="Arial"/>
        <family val="2"/>
      </rPr>
      <t>1.5%</t>
    </r>
    <phoneticPr fontId="5" type="noConversion"/>
  </si>
  <si>
    <r>
      <rPr>
        <b/>
        <sz val="10"/>
        <color indexed="8"/>
        <rFont val="宋体"/>
        <family val="3"/>
        <charset val="134"/>
      </rPr>
      <t>住宅、办公及商业</t>
    </r>
    <phoneticPr fontId="24" type="noConversion"/>
  </si>
  <si>
    <r>
      <rPr>
        <b/>
        <sz val="10"/>
        <color indexed="8"/>
        <rFont val="宋体"/>
        <family val="3"/>
        <charset val="134"/>
      </rPr>
      <t>工业</t>
    </r>
    <phoneticPr fontId="24" type="noConversion"/>
  </si>
  <si>
    <r>
      <rPr>
        <b/>
        <sz val="10"/>
        <color indexed="8"/>
        <rFont val="宋体"/>
        <family val="3"/>
        <charset val="134"/>
      </rPr>
      <t>区位状况</t>
    </r>
    <phoneticPr fontId="21" type="noConversion"/>
  </si>
  <si>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</si>
  <si>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</si>
  <si>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5" type="noConversion"/>
  </si>
  <si>
    <r>
      <rPr>
        <sz val="10"/>
        <color indexed="8"/>
        <rFont val="宋体"/>
        <family val="3"/>
        <charset val="134"/>
      </rPr>
      <t>商业繁华度</t>
    </r>
    <phoneticPr fontId="25" type="noConversion"/>
  </si>
  <si>
    <r>
      <rPr>
        <sz val="10"/>
        <color indexed="8"/>
        <rFont val="宋体"/>
        <family val="3"/>
        <charset val="134"/>
      </rPr>
      <t>交通便捷度</t>
    </r>
    <phoneticPr fontId="25" type="noConversion"/>
  </si>
  <si>
    <r>
      <rPr>
        <sz val="10"/>
        <color theme="9" tint="-0.249977111117893"/>
        <rFont val="宋体"/>
        <family val="3"/>
        <charset val="134"/>
      </rPr>
      <t>估价对象周边道路状况、公共交通通达情况、停车便捷程度，综合评价交通便捷度较好</t>
    </r>
    <phoneticPr fontId="36" type="noConversion"/>
  </si>
  <si>
    <r>
      <rPr>
        <sz val="10"/>
        <color indexed="8"/>
        <rFont val="宋体"/>
        <family val="3"/>
        <charset val="134"/>
      </rPr>
      <t>办公集聚程度</t>
    </r>
    <phoneticPr fontId="25" type="noConversion"/>
  </si>
  <si>
    <r>
      <rPr>
        <sz val="10"/>
        <color indexed="8"/>
        <rFont val="宋体"/>
        <family val="3"/>
        <charset val="134"/>
      </rPr>
      <t>公共配套设施</t>
    </r>
    <phoneticPr fontId="21" type="noConversion"/>
  </si>
  <si>
    <r>
      <rPr>
        <sz val="10"/>
        <color theme="9" tint="-0.249977111117893"/>
        <rFont val="宋体"/>
        <family val="3"/>
        <charset val="134"/>
      </rPr>
      <t>估价对象所在区域公共配套设施齐备情况</t>
    </r>
    <phoneticPr fontId="36" type="noConversion"/>
  </si>
  <si>
    <r>
      <rPr>
        <sz val="10"/>
        <color indexed="8"/>
        <rFont val="宋体"/>
        <family val="3"/>
        <charset val="134"/>
      </rPr>
      <t>交通便捷度</t>
    </r>
  </si>
  <si>
    <r>
      <rPr>
        <sz val="10"/>
        <color indexed="8"/>
        <rFont val="宋体"/>
        <family val="3"/>
        <charset val="134"/>
      </rPr>
      <t>基础设施水平</t>
    </r>
    <phoneticPr fontId="21" type="noConversion"/>
  </si>
  <si>
    <r>
      <rPr>
        <sz val="10"/>
        <color theme="9" tint="-0.249977111117893"/>
        <rFont val="宋体"/>
        <family val="3"/>
        <charset val="134"/>
      </rPr>
      <t>估价对象所在区域基础设施水平</t>
    </r>
    <phoneticPr fontId="21" type="noConversion"/>
  </si>
  <si>
    <r>
      <rPr>
        <sz val="10"/>
        <color indexed="8"/>
        <rFont val="宋体"/>
        <family val="3"/>
        <charset val="134"/>
      </rPr>
      <t>环境状况</t>
    </r>
    <phoneticPr fontId="25" type="noConversion"/>
  </si>
  <si>
    <r>
      <rPr>
        <sz val="10"/>
        <color theme="9" tint="-0.249977111117893"/>
        <rFont val="宋体"/>
        <family val="3"/>
        <charset val="134"/>
      </rPr>
      <t>该园区内是否有污染型企业，绿化情况，卫生条件，整体环境状况判断</t>
    </r>
    <phoneticPr fontId="5" type="noConversion"/>
  </si>
  <si>
    <r>
      <rPr>
        <sz val="10"/>
        <color indexed="8"/>
        <rFont val="宋体"/>
        <family val="3"/>
        <charset val="134"/>
      </rPr>
      <t>自然及人文环境</t>
    </r>
  </si>
  <si>
    <r>
      <rPr>
        <sz val="10"/>
        <color indexed="8"/>
        <rFont val="宋体"/>
        <family val="3"/>
        <charset val="134"/>
      </rPr>
      <t>毗邻道路的类型与等级</t>
    </r>
    <phoneticPr fontId="25" type="noConversion"/>
  </si>
  <si>
    <r>
      <rPr>
        <b/>
        <sz val="10"/>
        <color indexed="8"/>
        <rFont val="宋体"/>
        <family val="3"/>
        <charset val="134"/>
      </rPr>
      <t>住宅、办公及商业</t>
    </r>
    <phoneticPr fontId="24" type="noConversion"/>
  </si>
  <si>
    <r>
      <rPr>
        <b/>
        <sz val="10"/>
        <color indexed="8"/>
        <rFont val="宋体"/>
        <family val="3"/>
        <charset val="134"/>
      </rPr>
      <t>工业</t>
    </r>
    <phoneticPr fontId="24" type="noConversion"/>
  </si>
  <si>
    <r>
      <rPr>
        <b/>
        <sz val="10"/>
        <color indexed="8"/>
        <rFont val="宋体"/>
        <family val="3"/>
        <charset val="134"/>
      </rPr>
      <t>区位状况</t>
    </r>
    <phoneticPr fontId="25" type="noConversion"/>
  </si>
  <si>
    <r>
      <rPr>
        <b/>
        <sz val="10"/>
        <color indexed="8"/>
        <rFont val="宋体"/>
        <family val="3"/>
        <charset val="134"/>
      </rPr>
      <t>区位状况</t>
    </r>
    <phoneticPr fontId="21" type="noConversion"/>
  </si>
  <si>
    <r>
      <rPr>
        <sz val="10"/>
        <color indexed="8"/>
        <rFont val="宋体"/>
        <family val="3"/>
        <charset val="134"/>
      </rPr>
      <t>产业集聚程度</t>
    </r>
    <phoneticPr fontId="25" type="noConversion"/>
  </si>
  <si>
    <r>
      <rPr>
        <sz val="10"/>
        <color indexed="8"/>
        <rFont val="宋体"/>
        <family val="3"/>
        <charset val="134"/>
      </rPr>
      <t>区域土地利用方向</t>
    </r>
    <phoneticPr fontId="25"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</si>
  <si>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</si>
  <si>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</si>
  <si>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</si>
  <si>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5" type="noConversion"/>
  </si>
  <si>
    <r>
      <rPr>
        <sz val="10"/>
        <color indexed="8"/>
        <rFont val="宋体"/>
        <family val="3"/>
        <charset val="134"/>
      </rPr>
      <t>毗邻道路的类型与等级</t>
    </r>
  </si>
  <si>
    <t>正常</t>
  </si>
  <si>
    <t>2020-3</t>
    <phoneticPr fontId="5" type="noConversion"/>
  </si>
  <si>
    <t>2020-4</t>
    <phoneticPr fontId="5" type="noConversion"/>
  </si>
  <si>
    <t>LPR</t>
    <phoneticPr fontId="147" type="noConversion"/>
  </si>
  <si>
    <t>住宅</t>
  </si>
  <si>
    <t>按租金收入计税</t>
  </si>
  <si>
    <t>2021-1</t>
    <phoneticPr fontId="5" type="noConversion"/>
  </si>
  <si>
    <t>2021-2</t>
    <phoneticPr fontId="147" type="noConversion"/>
  </si>
  <si>
    <t>房地产市场价值</t>
  </si>
  <si>
    <t>核定资产</t>
  </si>
  <si>
    <t>北京市</t>
  </si>
  <si>
    <t>元</t>
  </si>
  <si>
    <t>楼面单价</t>
  </si>
  <si>
    <t>无租约</t>
  </si>
  <si>
    <t>单位：元</t>
    <phoneticPr fontId="5" type="noConversion"/>
  </si>
  <si>
    <t>容积率修正</t>
  </si>
  <si>
    <t>不临58条商业街</t>
  </si>
  <si>
    <t>未包含在土地购买价格中</t>
  </si>
  <si>
    <t>已包含在土地取得成本中</t>
  </si>
  <si>
    <t>钢混</t>
  </si>
  <si>
    <t>非生产用房</t>
  </si>
  <si>
    <t>精装修</t>
  </si>
  <si>
    <t>精装修</t>
    <phoneticPr fontId="27" type="noConversion"/>
  </si>
  <si>
    <t>普通装修</t>
  </si>
  <si>
    <t>普通装修</t>
    <phoneticPr fontId="27" type="noConversion"/>
  </si>
  <si>
    <t>简单装修</t>
    <phoneticPr fontId="27" type="noConversion"/>
  </si>
  <si>
    <t>毛坯</t>
    <phoneticPr fontId="27" type="noConversion"/>
  </si>
  <si>
    <t>南北</t>
    <phoneticPr fontId="27" type="noConversion"/>
  </si>
  <si>
    <t>南</t>
    <phoneticPr fontId="27" type="noConversion"/>
  </si>
  <si>
    <t>东</t>
    <phoneticPr fontId="27" type="noConversion"/>
  </si>
  <si>
    <t>西</t>
    <phoneticPr fontId="27" type="noConversion"/>
  </si>
  <si>
    <t>北</t>
    <phoneticPr fontId="27" type="noConversion"/>
  </si>
  <si>
    <t>%</t>
    <phoneticPr fontId="27" type="noConversion"/>
  </si>
  <si>
    <t>车库</t>
  </si>
  <si>
    <t>成本法</t>
  </si>
  <si>
    <t>人济山庄</t>
    <phoneticPr fontId="5" type="noConversion"/>
  </si>
  <si>
    <t>人济山庄</t>
    <phoneticPr fontId="5" type="noConversion"/>
  </si>
  <si>
    <t>车位</t>
  </si>
  <si>
    <t>车位</t>
    <phoneticPr fontId="27" type="noConversion"/>
  </si>
  <si>
    <t>20-30（含）</t>
  </si>
  <si>
    <t>精装修</t>
    <phoneticPr fontId="27" type="noConversion"/>
  </si>
  <si>
    <t>专业物业管理</t>
  </si>
  <si>
    <t>专业物业管理</t>
    <phoneticPr fontId="27" type="noConversion"/>
  </si>
  <si>
    <t>平面车位</t>
  </si>
  <si>
    <t>平面车位</t>
    <phoneticPr fontId="27" type="noConversion"/>
  </si>
  <si>
    <t>是</t>
    <phoneticPr fontId="27" type="noConversion"/>
  </si>
  <si>
    <t>否</t>
  </si>
  <si>
    <t>否</t>
    <phoneticPr fontId="27" type="noConversion"/>
  </si>
  <si>
    <t>七通</t>
  </si>
  <si>
    <t>住宅</t>
    <phoneticPr fontId="27" type="noConversion"/>
  </si>
  <si>
    <t>离出入口距离</t>
    <phoneticPr fontId="27" type="noConversion"/>
  </si>
  <si>
    <t>较远</t>
    <phoneticPr fontId="27" type="noConversion"/>
  </si>
  <si>
    <t>较近</t>
    <phoneticPr fontId="27" type="noConversion"/>
  </si>
  <si>
    <t>较近</t>
    <phoneticPr fontId="27" type="noConversion"/>
  </si>
  <si>
    <t>估价对象1（结果表）</t>
  </si>
  <si>
    <t>收益法</t>
  </si>
  <si>
    <t>办公</t>
  </si>
  <si>
    <t>商业</t>
  </si>
  <si>
    <t>通路</t>
  </si>
  <si>
    <t>通电</t>
  </si>
  <si>
    <t>通讯</t>
  </si>
  <si>
    <t>通上水</t>
  </si>
  <si>
    <t>通下水</t>
  </si>
  <si>
    <t>平整</t>
  </si>
  <si>
    <t>与级别开发程度不一致</t>
  </si>
  <si>
    <t>无</t>
  </si>
  <si>
    <t>利息：取LPR</t>
  </si>
  <si>
    <t>收益法</t>
    <phoneticPr fontId="5" type="noConversion"/>
  </si>
  <si>
    <t>直线法成新度</t>
    <phoneticPr fontId="5" type="noConversion"/>
  </si>
  <si>
    <t>结构残值率（%）</t>
    <phoneticPr fontId="5" type="noConversion"/>
  </si>
  <si>
    <t>项目</t>
    <phoneticPr fontId="5" type="noConversion"/>
  </si>
  <si>
    <t>数额（元）</t>
    <phoneticPr fontId="5" type="noConversion"/>
  </si>
  <si>
    <t>计算公式</t>
    <phoneticPr fontId="5" type="noConversion"/>
  </si>
  <si>
    <t>已经使用年限（年）</t>
    <phoneticPr fontId="5" type="noConversion"/>
  </si>
  <si>
    <t>一</t>
    <phoneticPr fontId="5" type="noConversion"/>
  </si>
  <si>
    <t>房地产价值</t>
    <phoneticPr fontId="5" type="noConversion"/>
  </si>
  <si>
    <t>依据市场比较法得出</t>
    <phoneticPr fontId="5" type="noConversion"/>
  </si>
  <si>
    <t>建筑面积（㎡）</t>
    <phoneticPr fontId="5" type="noConversion"/>
  </si>
  <si>
    <t>经济耐用年限（年）</t>
    <phoneticPr fontId="5" type="noConversion"/>
  </si>
  <si>
    <t>60</t>
    <phoneticPr fontId="5" type="noConversion"/>
  </si>
  <si>
    <t>二</t>
    <phoneticPr fontId="5" type="noConversion"/>
  </si>
  <si>
    <t>房地产未来第一年净收益</t>
    <phoneticPr fontId="5"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</si>
  <si>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5" type="noConversion"/>
  </si>
  <si>
    <t>资本化率（Y）</t>
    <phoneticPr fontId="5" type="noConversion"/>
  </si>
  <si>
    <t>收益年期(n)</t>
    <phoneticPr fontId="5" type="noConversion"/>
  </si>
  <si>
    <t>权重</t>
    <phoneticPr fontId="5" type="noConversion"/>
  </si>
  <si>
    <t>年增长比率(g)</t>
    <phoneticPr fontId="5" type="noConversion"/>
  </si>
  <si>
    <t>综合观察法成新度</t>
    <phoneticPr fontId="5" type="noConversion"/>
  </si>
  <si>
    <t>项目名称</t>
    <phoneticPr fontId="5" type="noConversion"/>
  </si>
  <si>
    <t>标准分</t>
    <phoneticPr fontId="5" type="noConversion"/>
  </si>
  <si>
    <t>基本情况</t>
    <phoneticPr fontId="5" type="noConversion"/>
  </si>
  <si>
    <t>评分</t>
  </si>
  <si>
    <t>权重</t>
  </si>
  <si>
    <t>三</t>
    <phoneticPr fontId="5" type="noConversion"/>
  </si>
  <si>
    <t>建筑物现值</t>
    <phoneticPr fontId="5" type="noConversion"/>
  </si>
  <si>
    <t>V×成新度</t>
    <phoneticPr fontId="5" type="noConversion"/>
  </si>
  <si>
    <t>成新度（%）</t>
    <phoneticPr fontId="5" type="noConversion"/>
  </si>
  <si>
    <t>基础工程</t>
  </si>
  <si>
    <t>完好</t>
    <phoneticPr fontId="5" type="noConversion"/>
  </si>
  <si>
    <t>1.1</t>
    <phoneticPr fontId="5" type="noConversion"/>
  </si>
  <si>
    <t>建安费用</t>
  </si>
  <si>
    <t>建安单价×面积指标</t>
    <phoneticPr fontId="5" type="noConversion"/>
  </si>
  <si>
    <t>建安单价（元/建筑㎡）</t>
    <phoneticPr fontId="5" type="noConversion"/>
  </si>
  <si>
    <t>结构工程</t>
  </si>
  <si>
    <t>1.2</t>
    <phoneticPr fontId="5" type="noConversion"/>
  </si>
  <si>
    <t>勘察设计和前期工程费</t>
    <phoneticPr fontId="5" type="noConversion"/>
  </si>
  <si>
    <t>1.1×费率</t>
    <phoneticPr fontId="5" type="noConversion"/>
  </si>
  <si>
    <t>设备及装饰</t>
    <phoneticPr fontId="5" type="noConversion"/>
  </si>
  <si>
    <t>1.3</t>
    <phoneticPr fontId="5" type="noConversion"/>
  </si>
  <si>
    <t>公共配套设施建设费</t>
    <phoneticPr fontId="5" type="noConversion"/>
  </si>
  <si>
    <t>1.4</t>
    <phoneticPr fontId="5" type="noConversion"/>
  </si>
  <si>
    <t>基础设施建设费</t>
    <phoneticPr fontId="5" type="noConversion"/>
  </si>
  <si>
    <t>面积指标×取费标准</t>
    <phoneticPr fontId="5" type="noConversion"/>
  </si>
  <si>
    <t>取费标准（元/建筑㎡）</t>
    <phoneticPr fontId="5" type="noConversion"/>
  </si>
  <si>
    <t>1.5</t>
    <phoneticPr fontId="5" type="noConversion"/>
  </si>
  <si>
    <t>相关税费</t>
    <phoneticPr fontId="5" type="noConversion"/>
  </si>
  <si>
    <t>按建安费用3%-5%计取</t>
    <phoneticPr fontId="5" type="noConversion"/>
  </si>
  <si>
    <t>建造成本</t>
  </si>
  <si>
    <t>1.1～1.5项之和</t>
    <phoneticPr fontId="5" type="noConversion"/>
  </si>
  <si>
    <t>按建安费用的0%-10%计取</t>
  </si>
  <si>
    <t>2</t>
    <phoneticPr fontId="5" type="noConversion"/>
  </si>
  <si>
    <t>管理费用</t>
    <phoneticPr fontId="5" type="noConversion"/>
  </si>
  <si>
    <t>1×费率</t>
    <phoneticPr fontId="5" type="noConversion"/>
  </si>
  <si>
    <t>销售费用</t>
    <phoneticPr fontId="5" type="noConversion"/>
  </si>
  <si>
    <t>V×费率</t>
    <phoneticPr fontId="5" type="noConversion"/>
  </si>
  <si>
    <t>贷款利息</t>
  </si>
  <si>
    <t>+</t>
    <phoneticPr fontId="5" type="noConversion"/>
  </si>
  <si>
    <t>（1+2+3）×利率×（建设周期÷2）</t>
    <phoneticPr fontId="5" type="noConversion"/>
  </si>
  <si>
    <t>4.1</t>
    <phoneticPr fontId="5" type="noConversion"/>
  </si>
  <si>
    <t>1-2项产生的利息</t>
    <phoneticPr fontId="5" type="noConversion"/>
  </si>
  <si>
    <t>（1+2)×利率×（建设周期÷2）</t>
    <phoneticPr fontId="5" type="noConversion"/>
  </si>
  <si>
    <t>建设周期（年）</t>
    <phoneticPr fontId="5" type="noConversion"/>
  </si>
  <si>
    <t>按建造成本的1%-3%计取</t>
    <phoneticPr fontId="5" type="noConversion"/>
  </si>
  <si>
    <t>4.2</t>
    <phoneticPr fontId="5" type="noConversion"/>
  </si>
  <si>
    <t>销售费用产生的利息</t>
    <phoneticPr fontId="5" type="noConversion"/>
  </si>
  <si>
    <t>V</t>
    <phoneticPr fontId="5" type="noConversion"/>
  </si>
  <si>
    <t>V×3×利率×（建设周期÷2）</t>
    <phoneticPr fontId="5" type="noConversion"/>
  </si>
  <si>
    <t>利息（1-3年期）</t>
    <phoneticPr fontId="5" type="noConversion"/>
  </si>
  <si>
    <t>按在建建筑物或建筑物价值的1%-3%</t>
    <phoneticPr fontId="5" type="noConversion"/>
  </si>
  <si>
    <t>利润</t>
  </si>
  <si>
    <t>（1+2+3）×投资利润率</t>
    <phoneticPr fontId="5" type="noConversion"/>
  </si>
  <si>
    <t>5.1</t>
    <phoneticPr fontId="5" type="noConversion"/>
  </si>
  <si>
    <t>1-2项产生的利润</t>
    <phoneticPr fontId="5" type="noConversion"/>
  </si>
  <si>
    <t>（1+2)×利润率</t>
    <phoneticPr fontId="5" type="noConversion"/>
  </si>
  <si>
    <t>投资利润率（%）</t>
    <phoneticPr fontId="5" type="noConversion"/>
  </si>
  <si>
    <t>（1+2）×年利率×建设期÷2</t>
    <phoneticPr fontId="5" type="noConversion"/>
  </si>
  <si>
    <t>销售费用产生的利润</t>
    <phoneticPr fontId="5" type="noConversion"/>
  </si>
  <si>
    <t>3×利润率</t>
    <phoneticPr fontId="5" type="noConversion"/>
  </si>
  <si>
    <t>销售税费</t>
    <phoneticPr fontId="5" type="noConversion"/>
  </si>
  <si>
    <t>V×费率÷（1+5%）</t>
    <phoneticPr fontId="5" type="noConversion"/>
  </si>
  <si>
    <t>7</t>
    <phoneticPr fontId="5" type="noConversion"/>
  </si>
  <si>
    <t>房屋重置价格（V）</t>
    <phoneticPr fontId="5" type="noConversion"/>
  </si>
  <si>
    <t>1-6项之和</t>
    <phoneticPr fontId="5" type="noConversion"/>
  </si>
  <si>
    <t>四</t>
    <phoneticPr fontId="5" type="noConversion"/>
  </si>
  <si>
    <t>年经营费用</t>
    <phoneticPr fontId="5" type="noConversion"/>
  </si>
  <si>
    <t>+X×</t>
    <phoneticPr fontId="5" type="noConversion"/>
  </si>
  <si>
    <t>税费+维修费+保险费+管理费</t>
    <phoneticPr fontId="5" type="noConversion"/>
  </si>
  <si>
    <t>税  费</t>
  </si>
  <si>
    <t>X×</t>
    <phoneticPr fontId="5" type="noConversion"/>
  </si>
  <si>
    <t>年总收益×税率</t>
    <phoneticPr fontId="5" type="noConversion"/>
  </si>
  <si>
    <t>V×维修费率</t>
    <phoneticPr fontId="5" type="noConversion"/>
  </si>
  <si>
    <t>保险费</t>
  </si>
  <si>
    <t>建筑物现值×保险费率</t>
    <phoneticPr fontId="5" type="noConversion"/>
  </si>
  <si>
    <t>管理费用</t>
  </si>
  <si>
    <t>年总收益×费率</t>
    <phoneticPr fontId="5" type="noConversion"/>
  </si>
  <si>
    <t>五</t>
    <phoneticPr fontId="5" type="noConversion"/>
  </si>
  <si>
    <t>未来第一年年总收益(X)</t>
    <phoneticPr fontId="5" type="noConversion"/>
  </si>
  <si>
    <t>房地产未来第一年净收益+年经营费用</t>
    <phoneticPr fontId="5" type="noConversion"/>
  </si>
  <si>
    <t>0.2%-0.3%</t>
    <phoneticPr fontId="5" type="noConversion"/>
  </si>
  <si>
    <t>六</t>
    <phoneticPr fontId="5" type="noConversion"/>
  </si>
  <si>
    <r>
      <t>市场租金（元/</t>
    </r>
    <r>
      <rPr>
        <sz val="10"/>
        <color indexed="10"/>
        <rFont val="仿宋_GB2312"/>
        <family val="3"/>
        <charset val="134"/>
      </rPr>
      <t>建筑</t>
    </r>
    <r>
      <rPr>
        <sz val="10"/>
        <color indexed="8"/>
        <rFont val="仿宋_GB2312"/>
        <family val="3"/>
        <charset val="134"/>
      </rPr>
      <t>㎡·天）</t>
    </r>
    <phoneticPr fontId="5" type="noConversion"/>
  </si>
  <si>
    <t>未来第一年年总收益租金÷天数÷面积指标÷出租率</t>
    <phoneticPr fontId="5" type="noConversion"/>
  </si>
  <si>
    <t>天数（天）</t>
    <phoneticPr fontId="5" type="noConversion"/>
  </si>
  <si>
    <t>出租率（%）</t>
    <phoneticPr fontId="5" type="noConversion"/>
  </si>
  <si>
    <r>
      <t>估价对象</t>
    </r>
    <r>
      <rPr>
        <b/>
        <sz val="9"/>
        <color indexed="10"/>
        <rFont val="宋体"/>
        <family val="3"/>
        <charset val="134"/>
      </rPr>
      <t>1层商业用房</t>
    </r>
    <r>
      <rPr>
        <b/>
        <sz val="9"/>
        <rFont val="宋体"/>
        <family val="3"/>
        <charset val="134"/>
      </rPr>
      <t>结果一览表</t>
    </r>
    <phoneticPr fontId="5" type="noConversion"/>
  </si>
  <si>
    <t>估价方法</t>
  </si>
  <si>
    <t>租金（元/㎡·天）</t>
    <phoneticPr fontId="5" type="noConversion"/>
  </si>
  <si>
    <t>比较法</t>
    <phoneticPr fontId="5" type="noConversion"/>
  </si>
  <si>
    <t>权重单价</t>
    <phoneticPr fontId="5" type="noConversion"/>
  </si>
  <si>
    <t>市场租金水平</t>
    <phoneticPr fontId="5" type="noConversion"/>
  </si>
  <si>
    <t>~</t>
    <phoneticPr fontId="5" type="noConversion"/>
  </si>
  <si>
    <t>拟签净租金</t>
    <phoneticPr fontId="5" type="noConversion"/>
  </si>
  <si>
    <t>包含物业费的租金</t>
    <phoneticPr fontId="5" type="noConversion"/>
  </si>
  <si>
    <t>物业费</t>
    <phoneticPr fontId="5" type="noConversion"/>
  </si>
  <si>
    <t>交接面积及租金明细表</t>
    <phoneticPr fontId="5" type="noConversion"/>
  </si>
  <si>
    <t>楼层</t>
    <phoneticPr fontId="5" type="noConversion"/>
  </si>
  <si>
    <t>交接日期</t>
    <phoneticPr fontId="5" type="noConversion"/>
  </si>
  <si>
    <t>核定后移交总建筑面积（平米）</t>
    <phoneticPr fontId="5" type="noConversion"/>
  </si>
  <si>
    <t>核定后移交的产权建筑面积（平米）及租金</t>
    <phoneticPr fontId="5" type="noConversion"/>
  </si>
  <si>
    <t>核定后移交的loft建筑面积（平米）</t>
    <phoneticPr fontId="5" type="noConversion"/>
  </si>
  <si>
    <t>产权建筑面积（平米）</t>
    <phoneticPr fontId="5" type="noConversion"/>
  </si>
  <si>
    <r>
      <t>2014.3.1-201</t>
    </r>
    <r>
      <rPr>
        <sz val="9"/>
        <rFont val="宋体"/>
        <family val="3"/>
        <charset val="134"/>
      </rPr>
      <t>7</t>
    </r>
    <r>
      <rPr>
        <sz val="9"/>
        <rFont val="宋体"/>
        <family val="3"/>
        <charset val="134"/>
      </rPr>
      <t>.2.28租金</t>
    </r>
    <phoneticPr fontId="5" type="noConversion"/>
  </si>
  <si>
    <r>
      <t>2017.3.1-2020</t>
    </r>
    <r>
      <rPr>
        <sz val="9"/>
        <rFont val="宋体"/>
        <family val="3"/>
        <charset val="134"/>
      </rPr>
      <t>.2.28租金</t>
    </r>
    <phoneticPr fontId="5" type="noConversion"/>
  </si>
  <si>
    <t>loft建筑面积（平米）</t>
    <phoneticPr fontId="5" type="noConversion"/>
  </si>
  <si>
    <t>单价(元/平米*天)</t>
    <phoneticPr fontId="5" type="noConversion"/>
  </si>
  <si>
    <t>B1层</t>
    <phoneticPr fontId="5" type="noConversion"/>
  </si>
  <si>
    <t>2014.3.1</t>
    <phoneticPr fontId="5" type="noConversion"/>
  </si>
  <si>
    <t>一层</t>
    <phoneticPr fontId="5" type="noConversion"/>
  </si>
  <si>
    <t>二层</t>
    <phoneticPr fontId="5" type="noConversion"/>
  </si>
  <si>
    <t>三层</t>
    <phoneticPr fontId="5" type="noConversion"/>
  </si>
  <si>
    <t>四层</t>
    <phoneticPr fontId="5" type="noConversion"/>
  </si>
  <si>
    <t>五层</t>
    <phoneticPr fontId="5" type="noConversion"/>
  </si>
  <si>
    <t>六层</t>
    <phoneticPr fontId="5" type="noConversion"/>
  </si>
  <si>
    <t>2014.4.1</t>
    <phoneticPr fontId="5" type="noConversion"/>
  </si>
  <si>
    <t>2014.5.1</t>
    <phoneticPr fontId="5" type="noConversion"/>
  </si>
  <si>
    <t>2014.9.1</t>
    <phoneticPr fontId="5" type="noConversion"/>
  </si>
  <si>
    <t>2016.6.1</t>
    <phoneticPr fontId="5" type="noConversion"/>
  </si>
  <si>
    <t>七层</t>
    <phoneticPr fontId="5" type="noConversion"/>
  </si>
  <si>
    <t>2014.6.1</t>
    <phoneticPr fontId="5" type="noConversion"/>
  </si>
  <si>
    <t>2014.7.1</t>
    <phoneticPr fontId="5" type="noConversion"/>
  </si>
  <si>
    <t>八层</t>
    <phoneticPr fontId="5" type="noConversion"/>
  </si>
  <si>
    <t>九层</t>
    <phoneticPr fontId="5" type="noConversion"/>
  </si>
  <si>
    <t>十层</t>
    <phoneticPr fontId="5" type="noConversion"/>
  </si>
  <si>
    <t>十一层</t>
    <phoneticPr fontId="5" type="noConversion"/>
  </si>
  <si>
    <t>十二层</t>
    <phoneticPr fontId="5" type="noConversion"/>
  </si>
  <si>
    <t>2014.8.1</t>
    <phoneticPr fontId="5" type="noConversion"/>
  </si>
  <si>
    <t>十三层</t>
    <phoneticPr fontId="5" type="noConversion"/>
  </si>
  <si>
    <t>2015.4.1</t>
    <phoneticPr fontId="5" type="noConversion"/>
  </si>
  <si>
    <t>2015.8.1</t>
    <phoneticPr fontId="5" type="noConversion"/>
  </si>
  <si>
    <t>十四层</t>
    <phoneticPr fontId="5" type="noConversion"/>
  </si>
  <si>
    <t>十四A2层</t>
    <phoneticPr fontId="5" type="noConversion"/>
  </si>
  <si>
    <t>十四A3层</t>
    <phoneticPr fontId="5" type="noConversion"/>
  </si>
  <si>
    <t>注：2020年3月1日起按上年CPI指数;loft按产权面积租金的70%.</t>
    <phoneticPr fontId="5" type="noConversion"/>
  </si>
  <si>
    <t>应收租金明细表</t>
    <phoneticPr fontId="5" type="noConversion"/>
  </si>
  <si>
    <t>单位：元</t>
  </si>
  <si>
    <r>
      <t xml:space="preserve">楼层      </t>
    </r>
    <r>
      <rPr>
        <vertAlign val="subscript"/>
        <sz val="12"/>
        <rFont val="仿宋_GB2312"/>
        <family val="3"/>
        <charset val="134"/>
      </rPr>
      <t>承租人</t>
    </r>
  </si>
  <si>
    <t>房产证号</t>
    <phoneticPr fontId="5" type="noConversion"/>
  </si>
  <si>
    <t>房间号</t>
  </si>
  <si>
    <r>
      <t>出租面积(</t>
    </r>
    <r>
      <rPr>
        <sz val="9"/>
        <rFont val="宋体"/>
        <family val="3"/>
        <charset val="134"/>
      </rPr>
      <t>㎡</t>
    </r>
    <r>
      <rPr>
        <sz val="9"/>
        <rFont val="仿宋_GB2312"/>
        <family val="3"/>
        <charset val="134"/>
      </rPr>
      <t>)</t>
    </r>
  </si>
  <si>
    <t>收取方式</t>
  </si>
  <si>
    <t>递增率</t>
    <phoneticPr fontId="5" type="noConversion"/>
  </si>
  <si>
    <t>租赁期限</t>
  </si>
  <si>
    <t>2017年租金</t>
    <phoneticPr fontId="5" type="noConversion"/>
  </si>
  <si>
    <t>备注</t>
  </si>
  <si>
    <t>一层</t>
  </si>
  <si>
    <t>农商行</t>
  </si>
  <si>
    <t>海其更字第00195号</t>
    <phoneticPr fontId="5" type="noConversion"/>
  </si>
  <si>
    <r>
      <t>108/</t>
    </r>
    <r>
      <rPr>
        <sz val="9"/>
        <rFont val="宋体"/>
        <family val="3"/>
        <charset val="134"/>
      </rPr>
      <t>大堂</t>
    </r>
    <r>
      <rPr>
        <sz val="9"/>
        <rFont val="Times New Roman"/>
        <family val="1"/>
        <charset val="134"/>
      </rPr>
      <t>/209/211部分</t>
    </r>
    <phoneticPr fontId="5" type="noConversion"/>
  </si>
  <si>
    <t>年</t>
  </si>
  <si>
    <t>按年支付</t>
  </si>
  <si>
    <t>2016.12.15-2017.12.14</t>
  </si>
  <si>
    <t>二层</t>
  </si>
  <si>
    <t>学而思</t>
  </si>
  <si>
    <t>211\213\215\217\219\223\225\229</t>
  </si>
  <si>
    <t>季</t>
  </si>
  <si>
    <t>押二付三</t>
  </si>
  <si>
    <t>2016.1.1-2018.12.31</t>
  </si>
  <si>
    <t>龙壁贸易</t>
  </si>
  <si>
    <t>222-1</t>
  </si>
  <si>
    <t>押三付三</t>
  </si>
  <si>
    <t>太康广告</t>
  </si>
  <si>
    <t>222-2</t>
  </si>
  <si>
    <t>2015.12.01-2018.11.30</t>
  </si>
  <si>
    <r>
      <t>221\415</t>
    </r>
    <r>
      <rPr>
        <sz val="9"/>
        <color indexed="8"/>
        <rFont val="仿宋_GB2312"/>
        <family val="3"/>
        <charset val="134"/>
      </rPr>
      <t>、</t>
    </r>
    <r>
      <rPr>
        <sz val="9"/>
        <color indexed="8"/>
        <rFont val="Times New Roman"/>
        <family val="1"/>
        <charset val="134"/>
      </rPr>
      <t>413A</t>
    </r>
  </si>
  <si>
    <t>2016.6.1-2018.12.31</t>
  </si>
  <si>
    <t>三层</t>
  </si>
  <si>
    <t>海其更字第00195号、海联移字第0069645号</t>
    <phoneticPr fontId="5" type="noConversion"/>
  </si>
  <si>
    <r>
      <t>301</t>
    </r>
    <r>
      <rPr>
        <sz val="9"/>
        <rFont val="宋体"/>
        <family val="3"/>
        <charset val="134"/>
      </rPr>
      <t>、</t>
    </r>
    <r>
      <rPr>
        <sz val="9"/>
        <rFont val="Times New Roman"/>
        <family val="1"/>
        <charset val="134"/>
      </rPr>
      <t>302</t>
    </r>
    <r>
      <rPr>
        <sz val="9"/>
        <rFont val="宋体"/>
        <family val="3"/>
        <charset val="134"/>
      </rPr>
      <t>、</t>
    </r>
    <r>
      <rPr>
        <sz val="9"/>
        <rFont val="Times New Roman"/>
        <family val="1"/>
        <charset val="134"/>
      </rPr>
      <t>309</t>
    </r>
    <r>
      <rPr>
        <sz val="9"/>
        <rFont val="宋体"/>
        <family val="3"/>
        <charset val="134"/>
      </rPr>
      <t>、</t>
    </r>
    <r>
      <rPr>
        <sz val="9"/>
        <rFont val="Times New Roman"/>
        <family val="1"/>
        <charset val="134"/>
      </rPr>
      <t>311</t>
    </r>
    <r>
      <rPr>
        <sz val="9"/>
        <rFont val="宋体"/>
        <family val="3"/>
        <charset val="134"/>
      </rPr>
      <t>、</t>
    </r>
    <r>
      <rPr>
        <sz val="9"/>
        <rFont val="Times New Roman"/>
        <family val="1"/>
        <charset val="134"/>
      </rPr>
      <t>327</t>
    </r>
    <phoneticPr fontId="5" type="noConversion"/>
  </si>
  <si>
    <t>达内科技</t>
  </si>
  <si>
    <r>
      <t>303</t>
    </r>
    <r>
      <rPr>
        <sz val="9"/>
        <rFont val="仿宋_GB2312"/>
        <family val="3"/>
        <charset val="134"/>
      </rPr>
      <t>、</t>
    </r>
    <r>
      <rPr>
        <sz val="9"/>
        <rFont val="Times New Roman"/>
        <family val="1"/>
        <charset val="134"/>
      </rPr>
      <t>305</t>
    </r>
  </si>
  <si>
    <t>押一付一</t>
  </si>
  <si>
    <t>2016.04.01-2017.03.31</t>
  </si>
  <si>
    <t>桂华文化</t>
  </si>
  <si>
    <t>2016.6.6-2017.6.5</t>
  </si>
  <si>
    <t>2016.12.09-2018.12.08</t>
  </si>
  <si>
    <t>赛威讯通</t>
  </si>
  <si>
    <r>
      <t>310</t>
    </r>
    <r>
      <rPr>
        <sz val="9"/>
        <rFont val="宋体"/>
        <family val="3"/>
        <charset val="134"/>
      </rPr>
      <t>（三层中厅</t>
    </r>
    <r>
      <rPr>
        <sz val="9"/>
        <rFont val="Times New Roman"/>
        <family val="1"/>
        <charset val="134"/>
      </rPr>
      <t>-1</t>
    </r>
    <r>
      <rPr>
        <sz val="9"/>
        <rFont val="宋体"/>
        <family val="3"/>
        <charset val="134"/>
      </rPr>
      <t>）</t>
    </r>
  </si>
  <si>
    <t>押二付年</t>
  </si>
  <si>
    <t>2016.1.23-2017.1.22</t>
  </si>
  <si>
    <t>313\315\317\319</t>
  </si>
  <si>
    <t>2016.11.10-2017.11.9</t>
  </si>
  <si>
    <t>2016.10.03-2018.12.31</t>
  </si>
  <si>
    <t>北京慧师明德教育科技发展中心</t>
  </si>
  <si>
    <t>海联移字第0069645号</t>
  </si>
  <si>
    <t>押一付三</t>
  </si>
  <si>
    <t>2016.10.17-2017.10.16</t>
  </si>
  <si>
    <t>联森科技</t>
  </si>
  <si>
    <t>海联移字第0069630号</t>
    <phoneticPr fontId="5" type="noConversion"/>
  </si>
  <si>
    <t>2016.09.10-20017.09.09</t>
  </si>
  <si>
    <t>四层</t>
  </si>
  <si>
    <t>华禹中恒</t>
  </si>
  <si>
    <t>2016.08.1-2017.07.31</t>
  </si>
  <si>
    <t>海其更字第00195号、海联移字第00010号</t>
    <phoneticPr fontId="5" type="noConversion"/>
  </si>
  <si>
    <r>
      <t>402</t>
    </r>
    <r>
      <rPr>
        <sz val="9"/>
        <rFont val="仿宋_GB2312"/>
        <family val="3"/>
        <charset val="134"/>
      </rPr>
      <t>\</t>
    </r>
    <r>
      <rPr>
        <sz val="9"/>
        <rFont val="Times New Roman"/>
        <family val="1"/>
        <charset val="134"/>
      </rPr>
      <t>406</t>
    </r>
    <r>
      <rPr>
        <sz val="9"/>
        <rFont val="仿宋_GB2312"/>
        <family val="3"/>
        <charset val="134"/>
      </rPr>
      <t>\</t>
    </r>
    <r>
      <rPr>
        <sz val="9"/>
        <rFont val="Times New Roman"/>
        <family val="1"/>
        <charset val="134"/>
      </rPr>
      <t>412</t>
    </r>
    <r>
      <rPr>
        <sz val="9"/>
        <rFont val="仿宋_GB2312"/>
        <family val="3"/>
        <charset val="134"/>
      </rPr>
      <t>\</t>
    </r>
    <r>
      <rPr>
        <sz val="9"/>
        <rFont val="Times New Roman"/>
        <family val="1"/>
        <charset val="134"/>
      </rPr>
      <t>414</t>
    </r>
    <r>
      <rPr>
        <sz val="9"/>
        <rFont val="仿宋_GB2312"/>
        <family val="3"/>
        <charset val="134"/>
      </rPr>
      <t>\</t>
    </r>
    <r>
      <rPr>
        <sz val="9"/>
        <rFont val="Times New Roman"/>
        <family val="1"/>
        <charset val="134"/>
      </rPr>
      <t>416</t>
    </r>
  </si>
  <si>
    <t>2016.01.04-2019.01.03</t>
  </si>
  <si>
    <t>世纪中为</t>
  </si>
  <si>
    <t>月</t>
  </si>
  <si>
    <t>昭熠教育</t>
  </si>
  <si>
    <t>2016.4.11-2017.4.10</t>
  </si>
  <si>
    <t>海其更字第00195号</t>
  </si>
  <si>
    <t>410/417</t>
  </si>
  <si>
    <t>2017.1.1-2017.12.31</t>
  </si>
  <si>
    <t>北京千人易得教育咨询有限公司</t>
  </si>
  <si>
    <t>2016.07.01-2018-06.30</t>
  </si>
  <si>
    <t>2016.06.09-2019.06.08</t>
  </si>
  <si>
    <t>传帮商务</t>
  </si>
  <si>
    <t>2016.4.28-2017.4.27</t>
  </si>
  <si>
    <t>高思博乐</t>
  </si>
  <si>
    <t>海联移字第00010号</t>
    <phoneticPr fontId="5" type="noConversion"/>
  </si>
  <si>
    <t>2016.05.04-2017.05.03</t>
  </si>
  <si>
    <t>半年</t>
  </si>
  <si>
    <t>押一付六</t>
  </si>
  <si>
    <t>2016.03.01-2017.02.28</t>
  </si>
  <si>
    <t>爱彼德/童程童美</t>
  </si>
  <si>
    <t>2016.09.15-2017.09.14</t>
  </si>
  <si>
    <r>
      <t>510</t>
    </r>
    <r>
      <rPr>
        <sz val="9"/>
        <rFont val="宋体"/>
        <family val="3"/>
        <charset val="134"/>
      </rPr>
      <t>、</t>
    </r>
    <r>
      <rPr>
        <sz val="9"/>
        <rFont val="Times New Roman"/>
        <family val="1"/>
        <charset val="134"/>
      </rPr>
      <t>510-1</t>
    </r>
  </si>
  <si>
    <t>2016.01.01-2018.12.31</t>
  </si>
  <si>
    <t>红袖添香/爱彼德/童程童美</t>
  </si>
  <si>
    <t>北京中联北视影视策划中心</t>
  </si>
  <si>
    <t>513A</t>
  </si>
  <si>
    <t>押一付二</t>
  </si>
  <si>
    <t>2016.08.21-2017.08.20</t>
  </si>
  <si>
    <t>中视裕龙</t>
  </si>
  <si>
    <t>513B</t>
  </si>
  <si>
    <t xml:space="preserve">网文欣阅/王伟 </t>
  </si>
  <si>
    <t>515/517/519</t>
  </si>
  <si>
    <t>2016.06.01-2017.02.15</t>
  </si>
  <si>
    <t>七层</t>
  </si>
  <si>
    <r>
      <t>3701</t>
    </r>
    <r>
      <rPr>
        <sz val="9"/>
        <color indexed="8"/>
        <rFont val="仿宋_GB2312"/>
        <family val="3"/>
        <charset val="134"/>
      </rPr>
      <t>、</t>
    </r>
    <r>
      <rPr>
        <sz val="9"/>
        <color indexed="8"/>
        <rFont val="Times New Roman"/>
        <family val="1"/>
        <charset val="134"/>
      </rPr>
      <t>3712</t>
    </r>
  </si>
  <si>
    <t>2017.03.23-2018.03.22</t>
  </si>
  <si>
    <t>2017.4.8-2018.4.7</t>
  </si>
  <si>
    <t>2017.12.1-2018.11.30</t>
  </si>
  <si>
    <t>2017.11.6-2018.11.5</t>
  </si>
  <si>
    <t>2017.5.17-2018.5.16</t>
  </si>
  <si>
    <t>2017.12.29-2018.12.28</t>
  </si>
  <si>
    <t>2017.07.23-2018.7.22</t>
  </si>
  <si>
    <t>2017.4.17-2018.4.16</t>
  </si>
  <si>
    <t>达内杭州</t>
  </si>
  <si>
    <t>2017.03.18-2018.03.17</t>
  </si>
  <si>
    <t>2017.7.21-2018.7.20</t>
  </si>
  <si>
    <t>2016.4.22-2018.10.11</t>
  </si>
  <si>
    <t>2016.4.24-2018.10.11</t>
  </si>
  <si>
    <t>2016.03.12-2019.03.11</t>
  </si>
  <si>
    <t>2016.6.1-2018.10.11</t>
  </si>
  <si>
    <t>2016.7.3-2018.10.11</t>
  </si>
  <si>
    <r>
      <t>3725</t>
    </r>
    <r>
      <rPr>
        <sz val="9"/>
        <color indexed="8"/>
        <rFont val="仿宋_GB2312"/>
        <family val="3"/>
        <charset val="134"/>
      </rPr>
      <t>、</t>
    </r>
    <r>
      <rPr>
        <sz val="9"/>
        <color indexed="8"/>
        <rFont val="Times New Roman"/>
        <family val="1"/>
        <charset val="134"/>
      </rPr>
      <t>3727</t>
    </r>
  </si>
  <si>
    <t>2016.9.1-2018.10.11</t>
  </si>
  <si>
    <t>2016.4.16-2018.10.11</t>
  </si>
  <si>
    <t>2016.02.09-2019.02.08</t>
  </si>
  <si>
    <t>八层</t>
  </si>
  <si>
    <r>
      <t>5809</t>
    </r>
    <r>
      <rPr>
        <sz val="9"/>
        <color indexed="8"/>
        <rFont val="仿宋_GB2312"/>
        <family val="3"/>
        <charset val="134"/>
      </rPr>
      <t>、</t>
    </r>
    <r>
      <rPr>
        <sz val="9"/>
        <color indexed="8"/>
        <rFont val="Times New Roman"/>
        <family val="1"/>
        <charset val="134"/>
      </rPr>
      <t>11</t>
    </r>
    <r>
      <rPr>
        <sz val="9"/>
        <color indexed="8"/>
        <rFont val="仿宋_GB2312"/>
        <family val="3"/>
        <charset val="134"/>
      </rPr>
      <t>、</t>
    </r>
    <r>
      <rPr>
        <sz val="9"/>
        <color indexed="8"/>
        <rFont val="Times New Roman"/>
        <family val="1"/>
        <charset val="134"/>
      </rPr>
      <t>13</t>
    </r>
    <r>
      <rPr>
        <sz val="9"/>
        <color indexed="8"/>
        <rFont val="仿宋_GB2312"/>
        <family val="3"/>
        <charset val="134"/>
      </rPr>
      <t>、</t>
    </r>
    <r>
      <rPr>
        <sz val="9"/>
        <color indexed="8"/>
        <rFont val="Times New Roman"/>
        <family val="1"/>
        <charset val="134"/>
      </rPr>
      <t>15</t>
    </r>
  </si>
  <si>
    <t>2016.6.1-2018.12.30</t>
  </si>
  <si>
    <r>
      <t>5800</t>
    </r>
    <r>
      <rPr>
        <sz val="9"/>
        <rFont val="仿宋_GB2312"/>
        <family val="3"/>
        <charset val="134"/>
      </rPr>
      <t>、</t>
    </r>
    <r>
      <rPr>
        <sz val="9"/>
        <rFont val="Times New Roman"/>
        <family val="1"/>
        <charset val="134"/>
      </rPr>
      <t>5801</t>
    </r>
    <r>
      <rPr>
        <sz val="9"/>
        <rFont val="仿宋_GB2312"/>
        <family val="3"/>
        <charset val="134"/>
      </rPr>
      <t>、</t>
    </r>
    <r>
      <rPr>
        <sz val="9"/>
        <rFont val="Times New Roman"/>
        <family val="1"/>
        <charset val="134"/>
      </rPr>
      <t>5802</t>
    </r>
    <r>
      <rPr>
        <sz val="9"/>
        <rFont val="宋体"/>
        <family val="3"/>
        <charset val="134"/>
      </rPr>
      <t>、</t>
    </r>
    <r>
      <rPr>
        <sz val="9"/>
        <rFont val="Times New Roman"/>
        <family val="1"/>
        <charset val="134"/>
      </rPr>
      <t>5803</t>
    </r>
    <r>
      <rPr>
        <sz val="9"/>
        <rFont val="仿宋_GB2312"/>
        <family val="3"/>
        <charset val="134"/>
      </rPr>
      <t>、</t>
    </r>
    <r>
      <rPr>
        <sz val="9"/>
        <rFont val="Times New Roman"/>
        <family val="1"/>
        <charset val="134"/>
      </rPr>
      <t>5806</t>
    </r>
    <r>
      <rPr>
        <sz val="9"/>
        <rFont val="宋体"/>
        <family val="3"/>
        <charset val="134"/>
      </rPr>
      <t>、</t>
    </r>
    <r>
      <rPr>
        <sz val="9"/>
        <rFont val="Times New Roman"/>
        <family val="1"/>
        <charset val="134"/>
      </rPr>
      <t>5808</t>
    </r>
    <r>
      <rPr>
        <sz val="9"/>
        <rFont val="宋体"/>
        <family val="3"/>
        <charset val="134"/>
      </rPr>
      <t>、</t>
    </r>
    <r>
      <rPr>
        <sz val="9"/>
        <rFont val="Times New Roman"/>
        <family val="1"/>
        <charset val="134"/>
      </rPr>
      <t>5810</t>
    </r>
    <r>
      <rPr>
        <sz val="9"/>
        <rFont val="宋体"/>
        <family val="3"/>
        <charset val="134"/>
      </rPr>
      <t>、</t>
    </r>
    <r>
      <rPr>
        <sz val="9"/>
        <rFont val="Times New Roman"/>
        <family val="1"/>
        <charset val="134"/>
      </rPr>
      <t>5812</t>
    </r>
    <r>
      <rPr>
        <sz val="9"/>
        <rFont val="宋体"/>
        <family val="3"/>
        <charset val="134"/>
      </rPr>
      <t>、</t>
    </r>
    <r>
      <rPr>
        <sz val="9"/>
        <rFont val="Times New Roman"/>
        <family val="1"/>
        <charset val="134"/>
      </rPr>
      <t>5816</t>
    </r>
    <r>
      <rPr>
        <sz val="9"/>
        <rFont val="宋体"/>
        <family val="3"/>
        <charset val="134"/>
      </rPr>
      <t>、</t>
    </r>
    <r>
      <rPr>
        <sz val="9"/>
        <rFont val="Times New Roman"/>
        <family val="1"/>
        <charset val="134"/>
      </rPr>
      <t>5821</t>
    </r>
    <r>
      <rPr>
        <sz val="9"/>
        <rFont val="宋体"/>
        <family val="3"/>
        <charset val="134"/>
      </rPr>
      <t>、</t>
    </r>
    <r>
      <rPr>
        <sz val="9"/>
        <rFont val="Times New Roman"/>
        <family val="1"/>
        <charset val="134"/>
      </rPr>
      <t>5823</t>
    </r>
    <r>
      <rPr>
        <sz val="9"/>
        <rFont val="宋体"/>
        <family val="3"/>
        <charset val="134"/>
      </rPr>
      <t>、</t>
    </r>
    <r>
      <rPr>
        <sz val="9"/>
        <rFont val="Times New Roman"/>
        <family val="1"/>
        <charset val="134"/>
      </rPr>
      <t>5825</t>
    </r>
    <r>
      <rPr>
        <sz val="9"/>
        <rFont val="宋体"/>
        <family val="3"/>
        <charset val="134"/>
      </rPr>
      <t>、</t>
    </r>
    <r>
      <rPr>
        <sz val="9"/>
        <rFont val="Times New Roman"/>
        <family val="1"/>
        <charset val="134"/>
      </rPr>
      <t>5826</t>
    </r>
    <r>
      <rPr>
        <sz val="9"/>
        <rFont val="宋体"/>
        <family val="3"/>
        <charset val="134"/>
      </rPr>
      <t>、</t>
    </r>
    <r>
      <rPr>
        <sz val="9"/>
        <rFont val="Times New Roman"/>
        <family val="1"/>
        <charset val="134"/>
      </rPr>
      <t>5827</t>
    </r>
    <r>
      <rPr>
        <sz val="9"/>
        <rFont val="宋体"/>
        <family val="3"/>
        <charset val="134"/>
      </rPr>
      <t>、</t>
    </r>
    <r>
      <rPr>
        <sz val="9"/>
        <rFont val="Times New Roman"/>
        <family val="1"/>
        <charset val="134"/>
      </rPr>
      <t>5828</t>
    </r>
  </si>
  <si>
    <t>2016.07.01-2018.10.11</t>
  </si>
  <si>
    <r>
      <t>5817</t>
    </r>
    <r>
      <rPr>
        <sz val="9"/>
        <rFont val="仿宋_GB2312"/>
        <family val="3"/>
        <charset val="134"/>
      </rPr>
      <t>、</t>
    </r>
    <r>
      <rPr>
        <sz val="9"/>
        <rFont val="Times New Roman"/>
        <family val="1"/>
        <charset val="134"/>
      </rPr>
      <t>5819</t>
    </r>
  </si>
  <si>
    <t>2016.03.06-2019.03.05</t>
  </si>
  <si>
    <t>写字间租金合计</t>
  </si>
  <si>
    <t>高思教育/高思博乐</t>
  </si>
  <si>
    <t>B座二层</t>
  </si>
  <si>
    <t>2016.06.01-2018.09.03</t>
  </si>
  <si>
    <t>天兰</t>
  </si>
  <si>
    <t>B座一层部分</t>
  </si>
  <si>
    <t>2016.4.10-2019.3.9</t>
  </si>
  <si>
    <t>一层/二层部分</t>
  </si>
  <si>
    <t>世纪金柜</t>
  </si>
  <si>
    <t>地下一层</t>
  </si>
  <si>
    <t>2016.4.10-2020.6.19</t>
  </si>
  <si>
    <t>商业租金合计</t>
  </si>
  <si>
    <t>写字间、商业租金总计</t>
  </si>
  <si>
    <t>北京邦维商业管理中心</t>
    <phoneticPr fontId="5" type="noConversion"/>
  </si>
  <si>
    <r>
      <t>产权面积
(</t>
    </r>
    <r>
      <rPr>
        <sz val="9"/>
        <color rgb="FFFF0000"/>
        <rFont val="宋体"/>
        <family val="3"/>
        <charset val="134"/>
      </rPr>
      <t>㎡</t>
    </r>
    <r>
      <rPr>
        <sz val="9"/>
        <color rgb="FFFF0000"/>
        <rFont val="仿宋_GB2312"/>
        <family val="3"/>
        <charset val="134"/>
      </rPr>
      <t>)</t>
    </r>
  </si>
  <si>
    <r>
      <t>单价/天</t>
    </r>
    <r>
      <rPr>
        <sz val="9"/>
        <color rgb="FFFF0000"/>
        <rFont val="宋体"/>
        <family val="3"/>
        <charset val="134"/>
      </rPr>
      <t>·</t>
    </r>
    <r>
      <rPr>
        <sz val="9"/>
        <color rgb="FFFF0000"/>
        <rFont val="仿宋_GB2312"/>
        <family val="3"/>
        <charset val="134"/>
      </rPr>
      <t>平米</t>
    </r>
    <phoneticPr fontId="5" type="noConversion"/>
  </si>
  <si>
    <r>
      <t>411</t>
    </r>
    <r>
      <rPr>
        <sz val="9"/>
        <color rgb="FFFF0000"/>
        <rFont val="仿宋_GB2312"/>
        <family val="3"/>
        <charset val="134"/>
      </rPr>
      <t>、</t>
    </r>
    <r>
      <rPr>
        <sz val="9"/>
        <color rgb="FFFF0000"/>
        <rFont val="Times New Roman"/>
        <family val="1"/>
        <charset val="134"/>
      </rPr>
      <t>413B</t>
    </r>
  </si>
  <si>
    <r>
      <t>428</t>
    </r>
    <r>
      <rPr>
        <sz val="9"/>
        <color rgb="FFFF0000"/>
        <rFont val="宋体"/>
        <family val="3"/>
        <charset val="134"/>
      </rPr>
      <t>、</t>
    </r>
    <r>
      <rPr>
        <sz val="9"/>
        <color rgb="FFFF0000"/>
        <rFont val="Times New Roman"/>
        <family val="1"/>
        <charset val="134"/>
      </rPr>
      <t>429</t>
    </r>
  </si>
  <si>
    <r>
      <rPr>
        <sz val="10"/>
        <color theme="9" tint="-0.249977111117893"/>
        <rFont val="宋体"/>
        <family val="3"/>
        <charset val="134"/>
      </rPr>
      <t>估价对象周边居住用地比例、居住小区规模和社区发展完善程度，综合评价居住社区成熟度一般</t>
    </r>
    <phoneticPr fontId="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</si>
  <si>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5" type="noConversion"/>
  </si>
  <si>
    <t>估价对象所在区域基础设施水平-七通</t>
    <phoneticPr fontId="5" type="noConversion"/>
  </si>
  <si>
    <t>海淀管理中心2016年商业店铺租金统计表（黄庄）</t>
    <phoneticPr fontId="5" type="noConversion"/>
  </si>
  <si>
    <t>房产信息</t>
  </si>
  <si>
    <t>物业信息</t>
  </si>
  <si>
    <t>年租金收缴明细</t>
  </si>
  <si>
    <t>承租方</t>
  </si>
  <si>
    <t>铺位地址</t>
  </si>
  <si>
    <t>经营用途</t>
  </si>
  <si>
    <t>承租面积</t>
  </si>
  <si>
    <t>租期</t>
  </si>
  <si>
    <t>起租日</t>
  </si>
  <si>
    <t>终止日</t>
  </si>
  <si>
    <t>合同年租金</t>
  </si>
  <si>
    <t>日平米租金</t>
  </si>
  <si>
    <t>缴费方式</t>
  </si>
  <si>
    <t>物业费
元/日/平</t>
  </si>
  <si>
    <t>缴费金额
元/年</t>
  </si>
  <si>
    <t>每期支付金额</t>
  </si>
  <si>
    <t>物业押金</t>
  </si>
  <si>
    <t>供暖费
元/平/季</t>
  </si>
  <si>
    <t>缴费金额</t>
  </si>
  <si>
    <t>水费</t>
  </si>
  <si>
    <t>电费</t>
  </si>
  <si>
    <t>水电费押金</t>
  </si>
  <si>
    <t>查表日</t>
  </si>
  <si>
    <t>1月</t>
  </si>
  <si>
    <t>2月</t>
  </si>
  <si>
    <t>3月</t>
  </si>
  <si>
    <t>4月</t>
  </si>
  <si>
    <t>5月</t>
  </si>
  <si>
    <t>6月</t>
  </si>
  <si>
    <t>累计</t>
  </si>
  <si>
    <t>7月</t>
  </si>
  <si>
    <t>8月</t>
  </si>
  <si>
    <t>9月</t>
  </si>
  <si>
    <t>10月</t>
  </si>
  <si>
    <t>11月</t>
  </si>
  <si>
    <t>12月</t>
  </si>
  <si>
    <t>中国人民大学出版社有限公司</t>
  </si>
  <si>
    <t>北京市海淀区海淀南路甲2号东润商厦写字楼四层</t>
  </si>
  <si>
    <t>办公用房</t>
  </si>
  <si>
    <t>3年</t>
  </si>
  <si>
    <t>2012.03.16</t>
  </si>
  <si>
    <t>2018.03.15</t>
  </si>
  <si>
    <t>半年付</t>
  </si>
  <si>
    <t>每年11.15前</t>
  </si>
  <si>
    <t>市政
代缴6.5元</t>
  </si>
  <si>
    <t>市政48KW
插卡1.2元</t>
  </si>
  <si>
    <t>北京卓越优才教育科技有限公司</t>
  </si>
  <si>
    <t>北京市海淀区海淀南路甲2号东润商厦写字楼五、六层</t>
  </si>
  <si>
    <t>培训、教育</t>
  </si>
  <si>
    <t>5年</t>
  </si>
  <si>
    <t>2015.01.05</t>
  </si>
  <si>
    <t>2020.01.04</t>
  </si>
  <si>
    <t>北京市海淀区海淀南路甲2号东润商厦写字楼五、六层北立面墙外，六层顶部女儿墙依楼体走势</t>
  </si>
  <si>
    <t>广告</t>
  </si>
  <si>
    <t>北京麦当劳食品有限公司</t>
  </si>
  <si>
    <t>海淀区海淀南路甲2号一层101及地下一层B101</t>
  </si>
  <si>
    <t>快餐经营</t>
  </si>
  <si>
    <t>8年</t>
  </si>
  <si>
    <t>2016.09.27</t>
  </si>
  <si>
    <t>2024.09.26</t>
  </si>
  <si>
    <t xml:space="preserve">2016.09.27-2019.09.26，350万/年
2019.09.27-2022.09.26,378万/年2022.09.27-2024.09.26，408.24万/年
</t>
  </si>
  <si>
    <t>/</t>
  </si>
  <si>
    <t>市政供DN65，排DN100
按国家标准</t>
  </si>
  <si>
    <t>市政300KW
按国家标准</t>
  </si>
  <si>
    <t>北京市海淀区海淀南路甲2号东润商厦写字楼七层</t>
  </si>
  <si>
    <t>5年11个月15天</t>
  </si>
  <si>
    <t>2012.03.15</t>
  </si>
  <si>
    <t>2018.03.01</t>
  </si>
  <si>
    <t>季付</t>
  </si>
  <si>
    <t>合同内免费</t>
  </si>
  <si>
    <t>代缴，按国家标准收费</t>
  </si>
  <si>
    <t>北京圣恩文化传媒有限公司</t>
  </si>
  <si>
    <t>北京市海淀区海淀南路甲2号东润商厦写字楼七、八层（七层转租给人民大学）</t>
  </si>
  <si>
    <t>10年</t>
  </si>
  <si>
    <t>2008.03.01</t>
  </si>
  <si>
    <t>其中七层20万元由人民大学出版社支付，详见2012.6.4补充协议，协议截止到2018.3.1，七层的任何委约由此承租户负责（七层面积212平，八层面积212）</t>
  </si>
  <si>
    <t>北京市海淀区海淀南路甲2号东润商厦六层顶部女儿墙依楼体走势</t>
  </si>
  <si>
    <t>广告宣传</t>
  </si>
  <si>
    <t>10年零45天</t>
  </si>
  <si>
    <t>2014.06.01</t>
  </si>
  <si>
    <t>2024.07.15</t>
  </si>
  <si>
    <t>免租期14.06.01-14.07.15
14.07.16-18.07.15,80万/年
18.07.16-21.07.15,120万/年
21.07.16-24.07.15,150万/年</t>
  </si>
  <si>
    <t>代缴，按国家商业标准收费</t>
  </si>
  <si>
    <t>北京李先生餐饮管理股份有限公司</t>
  </si>
  <si>
    <t>北京市海淀区海淀南路甲2号东润商厦写字楼二层</t>
  </si>
  <si>
    <t>餐饮</t>
  </si>
  <si>
    <t>6年2个月</t>
  </si>
  <si>
    <t>2013.07.09</t>
  </si>
  <si>
    <t>2019.07.08</t>
  </si>
  <si>
    <t>免租期61天，13.5.9-13.7.8
13.07.09-16.07.08，160万/年
16.07.09-19.07.08，168万/年</t>
  </si>
  <si>
    <t>市政供DN32，排DN100，
6.5元/吨</t>
  </si>
  <si>
    <t>市政120KW
1.2元/度</t>
  </si>
  <si>
    <t>其他费用押金100元</t>
  </si>
  <si>
    <t>北京泰峰阁广告有限责任公司</t>
  </si>
  <si>
    <t>海淀区海淀南路甲2号四至六层外立面位置</t>
  </si>
  <si>
    <t>2013.03.20</t>
  </si>
  <si>
    <t>2023.03.19</t>
  </si>
  <si>
    <t>免租期3个月：2012.12.20-2013.3.19
2013.3.20-2016.3.19，80万/年
2016.3.20-2019.3.19，86.4万/年
2019.3.20-2023.3.19，95.04万/年
租赁年半年收益分成＝[当期广告发布收入*（1-15%营销费-8.6%营业税）-当期电费]*30%-半年租金；营业税根据国家调整；每年3、9月10日前提交收益分成表，5日内甲方确认；
补充协议16.03.20-16.09.19减免122739.73元，实收309260.27元。</t>
  </si>
  <si>
    <t>市政40KVA
代缴，1.2元/度（含公摊损耗）</t>
  </si>
  <si>
    <t>每月10前支付电费</t>
  </si>
  <si>
    <t>北京华尔街英语培训中心有限公司</t>
  </si>
  <si>
    <t>北京市海淀区海淀南路甲2号东润商厦三层</t>
  </si>
  <si>
    <t>6年1个月</t>
  </si>
  <si>
    <t>2014.01.01</t>
  </si>
  <si>
    <t>2020.01.31</t>
  </si>
  <si>
    <t>(广告位费用合计414167元，首期支付11667元，其余每期支付17500元，与租金一同支付）
2014.02.01-2016.01.31，1396125元；
2016.02.01-2017.01.31，1479893元；
2017.02.01-2018.01.31，1568686元；
2018.02.01-2019.01.31，1662807元；
2019.02.01-2020.01.31，1762576元；</t>
    <phoneticPr fontId="147" type="noConversion"/>
  </si>
  <si>
    <t>6.5元/吨代缴</t>
  </si>
  <si>
    <t>1.2元/度插卡，到甲方购电</t>
  </si>
  <si>
    <t>每月25日</t>
  </si>
  <si>
    <t>同意窗户遮挡</t>
    <phoneticPr fontId="147" type="noConversion"/>
  </si>
  <si>
    <t>办公</t>
    <phoneticPr fontId="27" type="noConversion"/>
  </si>
  <si>
    <t>高层塔楼</t>
    <phoneticPr fontId="27" type="noConversion"/>
  </si>
  <si>
    <t>板楼</t>
    <phoneticPr fontId="27" type="noConversion"/>
  </si>
  <si>
    <t>钢混</t>
    <phoneticPr fontId="27" type="noConversion"/>
  </si>
  <si>
    <r>
      <rPr>
        <sz val="11"/>
        <color indexed="8"/>
        <rFont val="宋体"/>
        <family val="3"/>
        <charset val="134"/>
      </rPr>
      <t>高速路</t>
    </r>
    <r>
      <rPr>
        <sz val="11"/>
        <color indexed="8"/>
        <rFont val="Arial"/>
        <family val="2"/>
      </rPr>
      <t>/</t>
    </r>
    <r>
      <rPr>
        <sz val="11"/>
        <color indexed="8"/>
        <rFont val="宋体"/>
        <family val="3"/>
        <charset val="134"/>
      </rPr>
      <t>快速路</t>
    </r>
    <phoneticPr fontId="27" type="noConversion"/>
  </si>
  <si>
    <t>主干道</t>
    <phoneticPr fontId="27" type="noConversion"/>
  </si>
  <si>
    <t>次干道</t>
    <phoneticPr fontId="27" type="noConversion"/>
  </si>
  <si>
    <t>戴德</t>
    <phoneticPr fontId="291" type="noConversion"/>
  </si>
  <si>
    <t>仲量</t>
    <phoneticPr fontId="291" type="noConversion"/>
  </si>
  <si>
    <t>第一太平</t>
    <phoneticPr fontId="291" type="noConversion"/>
  </si>
  <si>
    <t>全市</t>
    <phoneticPr fontId="291" type="noConversion"/>
  </si>
  <si>
    <t>全市甲级以上办公</t>
    <phoneticPr fontId="291" type="noConversion"/>
  </si>
  <si>
    <t>平均有效租金</t>
    <phoneticPr fontId="291" type="noConversion"/>
  </si>
  <si>
    <t>空置率</t>
    <phoneticPr fontId="291" type="noConversion"/>
  </si>
  <si>
    <t>租金增长率（环比）</t>
    <phoneticPr fontId="291" type="noConversion"/>
  </si>
  <si>
    <t>新增供应</t>
    <phoneticPr fontId="291" type="noConversion"/>
  </si>
  <si>
    <t>库存（万㎡）</t>
    <phoneticPr fontId="291" type="noConversion"/>
  </si>
  <si>
    <t>CPI增长</t>
    <phoneticPr fontId="291" type="noConversion"/>
  </si>
  <si>
    <t>租金增长率</t>
    <phoneticPr fontId="291" type="noConversion"/>
  </si>
  <si>
    <t>存量（万㎡）</t>
    <phoneticPr fontId="291" type="noConversion"/>
  </si>
  <si>
    <t>租金增长率</t>
    <phoneticPr fontId="147" type="noConversion"/>
  </si>
  <si>
    <t>存量（㎡）</t>
    <phoneticPr fontId="291" type="noConversion"/>
  </si>
  <si>
    <r>
      <t>2</t>
    </r>
    <r>
      <rPr>
        <sz val="11"/>
        <color theme="1"/>
        <rFont val="DengXian"/>
        <scheme val="minor"/>
      </rPr>
      <t>016Q1</t>
    </r>
    <phoneticPr fontId="147" type="noConversion"/>
  </si>
  <si>
    <r>
      <t>2</t>
    </r>
    <r>
      <rPr>
        <sz val="11"/>
        <color theme="1"/>
        <rFont val="DengXian"/>
        <scheme val="minor"/>
      </rPr>
      <t>016Q2</t>
    </r>
    <r>
      <rPr>
        <sz val="11"/>
        <color theme="1"/>
        <rFont val="DengXian"/>
        <scheme val="minor"/>
      </rPr>
      <t/>
    </r>
  </si>
  <si>
    <r>
      <t>2</t>
    </r>
    <r>
      <rPr>
        <sz val="11"/>
        <color theme="1"/>
        <rFont val="DengXian"/>
        <scheme val="minor"/>
      </rPr>
      <t>016Q3</t>
    </r>
    <r>
      <rPr>
        <sz val="11"/>
        <color theme="1"/>
        <rFont val="DengXian"/>
        <scheme val="minor"/>
      </rPr>
      <t/>
    </r>
  </si>
  <si>
    <r>
      <t>2</t>
    </r>
    <r>
      <rPr>
        <sz val="11"/>
        <color theme="1"/>
        <rFont val="DengXian"/>
        <scheme val="minor"/>
      </rPr>
      <t>016Q4</t>
    </r>
    <r>
      <rPr>
        <sz val="11"/>
        <color theme="1"/>
        <rFont val="DengXian"/>
        <scheme val="minor"/>
      </rPr>
      <t/>
    </r>
  </si>
  <si>
    <r>
      <t>2</t>
    </r>
    <r>
      <rPr>
        <sz val="11"/>
        <color theme="1"/>
        <rFont val="DengXian"/>
        <scheme val="minor"/>
      </rPr>
      <t>017Q1</t>
    </r>
    <phoneticPr fontId="147" type="noConversion"/>
  </si>
  <si>
    <r>
      <t>2</t>
    </r>
    <r>
      <rPr>
        <sz val="11"/>
        <color theme="1"/>
        <rFont val="DengXian"/>
        <scheme val="minor"/>
      </rPr>
      <t>017Q2</t>
    </r>
    <r>
      <rPr>
        <sz val="11"/>
        <color theme="1"/>
        <rFont val="DengXian"/>
        <scheme val="minor"/>
      </rPr>
      <t/>
    </r>
  </si>
  <si>
    <r>
      <t>2</t>
    </r>
    <r>
      <rPr>
        <sz val="11"/>
        <color theme="1"/>
        <rFont val="DengXian"/>
        <scheme val="minor"/>
      </rPr>
      <t>017Q3</t>
    </r>
    <r>
      <rPr>
        <sz val="11"/>
        <color theme="1"/>
        <rFont val="DengXian"/>
        <scheme val="minor"/>
      </rPr>
      <t/>
    </r>
  </si>
  <si>
    <r>
      <t>2</t>
    </r>
    <r>
      <rPr>
        <sz val="11"/>
        <color theme="1"/>
        <rFont val="DengXian"/>
        <scheme val="minor"/>
      </rPr>
      <t>017Q4</t>
    </r>
    <r>
      <rPr>
        <sz val="11"/>
        <color theme="1"/>
        <rFont val="DengXian"/>
        <scheme val="minor"/>
      </rPr>
      <t/>
    </r>
  </si>
  <si>
    <r>
      <t>2</t>
    </r>
    <r>
      <rPr>
        <sz val="11"/>
        <color theme="1"/>
        <rFont val="DengXian"/>
        <scheme val="minor"/>
      </rPr>
      <t>018Q1</t>
    </r>
    <phoneticPr fontId="147" type="noConversion"/>
  </si>
  <si>
    <t>小区名</t>
  </si>
  <si>
    <t>均价（元/月/㎡）</t>
  </si>
  <si>
    <t>环比上月</t>
  </si>
  <si>
    <r>
      <t>2</t>
    </r>
    <r>
      <rPr>
        <sz val="11"/>
        <color theme="1"/>
        <rFont val="DengXian"/>
        <scheme val="minor"/>
      </rPr>
      <t>018Q2</t>
    </r>
    <r>
      <rPr>
        <sz val="11"/>
        <color theme="1"/>
        <rFont val="DengXian"/>
        <scheme val="minor"/>
      </rPr>
      <t/>
    </r>
  </si>
  <si>
    <t>东方广场</t>
  </si>
  <si>
    <r>
      <t>2</t>
    </r>
    <r>
      <rPr>
        <sz val="11"/>
        <color theme="1"/>
        <rFont val="DengXian"/>
        <scheme val="minor"/>
      </rPr>
      <t>018Q3</t>
    </r>
    <r>
      <rPr>
        <sz val="11"/>
        <color theme="1"/>
        <rFont val="DengXian"/>
        <scheme val="minor"/>
      </rPr>
      <t/>
    </r>
  </si>
  <si>
    <t>东方银座</t>
  </si>
  <si>
    <r>
      <t>2</t>
    </r>
    <r>
      <rPr>
        <sz val="11"/>
        <color theme="1"/>
        <rFont val="DengXian"/>
        <scheme val="minor"/>
      </rPr>
      <t>018Q4</t>
    </r>
    <r>
      <rPr>
        <sz val="11"/>
        <color theme="1"/>
        <rFont val="DengXian"/>
        <scheme val="minor"/>
      </rPr>
      <t/>
    </r>
  </si>
  <si>
    <t>光华长安大厦</t>
  </si>
  <si>
    <r>
      <t>2</t>
    </r>
    <r>
      <rPr>
        <sz val="11"/>
        <color theme="1"/>
        <rFont val="DengXian"/>
        <scheme val="minor"/>
      </rPr>
      <t>019Q1</t>
    </r>
    <phoneticPr fontId="147" type="noConversion"/>
  </si>
  <si>
    <t>雍和大厦</t>
  </si>
  <si>
    <r>
      <t>2</t>
    </r>
    <r>
      <rPr>
        <sz val="11"/>
        <color theme="1"/>
        <rFont val="DengXian"/>
        <scheme val="minor"/>
      </rPr>
      <t>019Q2</t>
    </r>
    <r>
      <rPr>
        <sz val="11"/>
        <color theme="1"/>
        <rFont val="DengXian"/>
        <scheme val="minor"/>
      </rPr>
      <t/>
    </r>
  </si>
  <si>
    <t>银河SOHO</t>
  </si>
  <si>
    <r>
      <t>2</t>
    </r>
    <r>
      <rPr>
        <sz val="11"/>
        <color theme="1"/>
        <rFont val="DengXian"/>
        <scheme val="minor"/>
      </rPr>
      <t>019Q3</t>
    </r>
    <r>
      <rPr>
        <sz val="11"/>
        <color theme="1"/>
        <rFont val="DengXian"/>
        <scheme val="minor"/>
      </rPr>
      <t/>
    </r>
  </si>
  <si>
    <t>来福士中心</t>
  </si>
  <si>
    <r>
      <t>2</t>
    </r>
    <r>
      <rPr>
        <sz val="11"/>
        <color theme="1"/>
        <rFont val="DengXian"/>
        <scheme val="minor"/>
      </rPr>
      <t>019Q4</t>
    </r>
    <r>
      <rPr>
        <sz val="11"/>
        <color theme="1"/>
        <rFont val="DengXian"/>
        <scheme val="minor"/>
      </rPr>
      <t/>
    </r>
  </si>
  <si>
    <t>北京恒基中心</t>
  </si>
  <si>
    <t>2020Q1</t>
    <phoneticPr fontId="147" type="noConversion"/>
  </si>
  <si>
    <t>歌华大厦</t>
  </si>
  <si>
    <t>2020Q2</t>
  </si>
  <si>
    <t>中汇广场</t>
  </si>
  <si>
    <t>2020Q3</t>
  </si>
  <si>
    <t>天恒大厦</t>
  </si>
  <si>
    <t>2020Q4</t>
  </si>
  <si>
    <t>2021Q1</t>
    <phoneticPr fontId="147" type="noConversion"/>
  </si>
  <si>
    <t>2021Q2</t>
    <phoneticPr fontId="147" type="noConversion"/>
  </si>
  <si>
    <t>2021Q3</t>
    <phoneticPr fontId="147" type="noConversion"/>
  </si>
  <si>
    <t>2021Q4</t>
    <phoneticPr fontId="147" type="noConversion"/>
  </si>
  <si>
    <t>2022Q1</t>
    <phoneticPr fontId="147" type="noConversion"/>
  </si>
  <si>
    <t>2022Q2</t>
    <phoneticPr fontId="147" type="noConversion"/>
  </si>
  <si>
    <t>2022Q3</t>
    <phoneticPr fontId="147" type="noConversion"/>
  </si>
  <si>
    <t>2022Q4</t>
    <phoneticPr fontId="147" type="noConversion"/>
  </si>
  <si>
    <t>库存（㎡）</t>
    <phoneticPr fontId="291" type="noConversion"/>
  </si>
  <si>
    <t>——</t>
    <phoneticPr fontId="147" type="noConversion"/>
  </si>
  <si>
    <t>全市平均（戴德、仲量、第一太平）</t>
    <phoneticPr fontId="291" type="noConversion"/>
  </si>
  <si>
    <t>3方数据</t>
    <phoneticPr fontId="147" type="noConversion"/>
  </si>
  <si>
    <t>2方数据</t>
    <phoneticPr fontId="147" type="noConversion"/>
  </si>
  <si>
    <t>全市平均（戴德、仲量）</t>
    <phoneticPr fontId="291" type="noConversion"/>
  </si>
  <si>
    <t>1方数据</t>
    <phoneticPr fontId="147" type="noConversion"/>
  </si>
  <si>
    <t>商业</t>
    <phoneticPr fontId="147" type="noConversion"/>
  </si>
  <si>
    <t>写字楼</t>
    <phoneticPr fontId="147" type="noConversion"/>
  </si>
  <si>
    <t>供应量</t>
    <phoneticPr fontId="147" type="noConversion"/>
  </si>
  <si>
    <t>需求量
（销售面积）</t>
    <phoneticPr fontId="147" type="noConversion"/>
  </si>
  <si>
    <t>空置率</t>
    <phoneticPr fontId="147" type="noConversion"/>
  </si>
  <si>
    <t>租金-优质物业
（元/平方米/月）</t>
    <phoneticPr fontId="147" type="noConversion"/>
  </si>
  <si>
    <t>供应量
（上市）</t>
    <phoneticPr fontId="147" type="noConversion"/>
  </si>
  <si>
    <t>空置率-甲级</t>
    <phoneticPr fontId="147" type="noConversion"/>
  </si>
  <si>
    <t>租金-甲级
元/平方米/月</t>
    <phoneticPr fontId="147" type="noConversion"/>
  </si>
  <si>
    <t>2008年北京市房地产市场形势分析及展望</t>
    <phoneticPr fontId="147" type="noConversion"/>
  </si>
  <si>
    <t>超过30%</t>
    <phoneticPr fontId="147" type="noConversion"/>
  </si>
  <si>
    <t>中指</t>
    <phoneticPr fontId="147" type="noConversion"/>
  </si>
  <si>
    <t>savills</t>
    <phoneticPr fontId="147" type="noConversion"/>
  </si>
  <si>
    <t>平均（dtz+jll+savills）</t>
    <phoneticPr fontId="147" type="noConversion"/>
  </si>
  <si>
    <t>dtz</t>
    <phoneticPr fontId="147" type="noConversion"/>
  </si>
  <si>
    <t>年度</t>
    <phoneticPr fontId="147" type="noConversion"/>
  </si>
  <si>
    <t>租金</t>
    <phoneticPr fontId="147" type="noConversion"/>
  </si>
  <si>
    <t>增长率</t>
    <phoneticPr fontId="147" type="noConversion"/>
  </si>
  <si>
    <t>中关村</t>
    <phoneticPr fontId="291" type="noConversion"/>
  </si>
  <si>
    <t>全市平均（戴德、第一太平）</t>
    <phoneticPr fontId="147" type="noConversion"/>
  </si>
  <si>
    <t>时间</t>
    <phoneticPr fontId="147" type="noConversion"/>
  </si>
  <si>
    <t>存量</t>
    <phoneticPr fontId="147" type="noConversion"/>
  </si>
  <si>
    <t>16年</t>
    <phoneticPr fontId="147" type="noConversion"/>
  </si>
  <si>
    <t>17年</t>
    <phoneticPr fontId="147" type="noConversion"/>
  </si>
  <si>
    <t>18年</t>
    <phoneticPr fontId="147" type="noConversion"/>
  </si>
  <si>
    <t>19年</t>
    <phoneticPr fontId="147" type="noConversion"/>
  </si>
  <si>
    <t>20年</t>
    <phoneticPr fontId="147" type="noConversion"/>
  </si>
  <si>
    <t>21年</t>
    <phoneticPr fontId="147" type="noConversion"/>
  </si>
  <si>
    <t>22年</t>
    <phoneticPr fontId="147" type="noConversion"/>
  </si>
  <si>
    <t>租金</t>
    <phoneticPr fontId="147" type="noConversion"/>
  </si>
  <si>
    <t>增长率</t>
    <phoneticPr fontId="147" type="noConversion"/>
  </si>
  <si>
    <t>天数</t>
    <phoneticPr fontId="147" type="noConversion"/>
  </si>
  <si>
    <t>总租金</t>
    <phoneticPr fontId="147" type="noConversion"/>
  </si>
  <si>
    <t>16-17年</t>
    <phoneticPr fontId="147" type="noConversion"/>
  </si>
  <si>
    <t>17-18年</t>
    <phoneticPr fontId="147" type="noConversion"/>
  </si>
  <si>
    <t>18-19年</t>
    <phoneticPr fontId="147" type="noConversion"/>
  </si>
  <si>
    <t>19-20年</t>
    <phoneticPr fontId="147" type="noConversion"/>
  </si>
  <si>
    <t>20-21年</t>
    <phoneticPr fontId="147" type="noConversion"/>
  </si>
  <si>
    <t>21-22年</t>
    <phoneticPr fontId="147" type="noConversion"/>
  </si>
  <si>
    <r>
      <rPr>
        <b/>
        <sz val="11"/>
        <color indexed="8"/>
        <rFont val="宋体"/>
        <family val="3"/>
        <charset val="134"/>
      </rPr>
      <t>综合取费</t>
    </r>
    <phoneticPr fontId="5" type="noConversion"/>
  </si>
  <si>
    <r>
      <rPr>
        <sz val="11"/>
        <color indexed="8"/>
        <rFont val="宋体"/>
        <family val="3"/>
        <charset val="134"/>
      </rPr>
      <t>土地使用年期</t>
    </r>
    <phoneticPr fontId="5" type="noConversion"/>
  </si>
  <si>
    <r>
      <rPr>
        <sz val="11"/>
        <color indexed="8"/>
        <rFont val="宋体"/>
        <family val="3"/>
        <charset val="134"/>
      </rPr>
      <t>建安费用</t>
    </r>
    <phoneticPr fontId="5"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</si>
  <si>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5" type="noConversion"/>
  </si>
  <si>
    <r>
      <rPr>
        <sz val="11"/>
        <color indexed="8"/>
        <rFont val="宋体"/>
        <family val="3"/>
        <charset val="134"/>
      </rPr>
      <t>租期外</t>
    </r>
    <phoneticPr fontId="5" type="noConversion"/>
  </si>
  <si>
    <r>
      <rPr>
        <sz val="11"/>
        <color indexed="8"/>
        <rFont val="宋体"/>
        <family val="3"/>
        <charset val="134"/>
      </rPr>
      <t>收益期</t>
    </r>
    <phoneticPr fontId="5" type="noConversion"/>
  </si>
  <si>
    <r>
      <rPr>
        <sz val="11"/>
        <color indexed="8"/>
        <rFont val="宋体"/>
        <family val="3"/>
        <charset val="134"/>
      </rPr>
      <t>项目类型</t>
    </r>
    <phoneticPr fontId="5" type="noConversion"/>
  </si>
  <si>
    <r>
      <rPr>
        <sz val="11"/>
        <color indexed="8"/>
        <rFont val="宋体"/>
        <family val="3"/>
        <charset val="134"/>
      </rPr>
      <t>类别</t>
    </r>
    <phoneticPr fontId="5"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</si>
  <si>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</si>
  <si>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</si>
  <si>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</si>
  <si>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t>成新度</t>
  </si>
  <si>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</si>
  <si>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</si>
  <si>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分摊土地面积（经营性）</t>
    </r>
    <phoneticPr fontId="5" type="noConversion"/>
  </si>
  <si>
    <r>
      <rPr>
        <sz val="11"/>
        <color indexed="8"/>
        <rFont val="宋体"/>
        <family val="3"/>
        <charset val="134"/>
      </rPr>
      <t>建筑面积（分摊设备）</t>
    </r>
    <phoneticPr fontId="5" type="noConversion"/>
  </si>
  <si>
    <r>
      <rPr>
        <sz val="11"/>
        <color indexed="8"/>
        <rFont val="宋体"/>
        <family val="3"/>
        <charset val="134"/>
      </rPr>
      <t>总建安（分摊非经营）</t>
    </r>
    <phoneticPr fontId="5" type="noConversion"/>
  </si>
  <si>
    <r>
      <rPr>
        <sz val="11"/>
        <color indexed="8"/>
        <rFont val="宋体"/>
        <family val="3"/>
        <charset val="134"/>
      </rPr>
      <t>租金</t>
    </r>
    <phoneticPr fontId="5" type="noConversion"/>
  </si>
  <si>
    <r>
      <rPr>
        <sz val="11"/>
        <color indexed="8"/>
        <rFont val="宋体"/>
        <family val="3"/>
        <charset val="134"/>
      </rPr>
      <t>剩余租赁期</t>
    </r>
    <phoneticPr fontId="5" type="noConversion"/>
  </si>
  <si>
    <r>
      <rPr>
        <sz val="11"/>
        <color indexed="8"/>
        <rFont val="宋体"/>
        <family val="3"/>
        <charset val="134"/>
      </rPr>
      <t>租赁期外收益期</t>
    </r>
    <phoneticPr fontId="5"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</si>
  <si>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5" type="noConversion"/>
  </si>
  <si>
    <r>
      <rPr>
        <sz val="11"/>
        <color indexed="8"/>
        <rFont val="宋体"/>
        <family val="3"/>
        <charset val="134"/>
      </rPr>
      <t>请选择所对应的收益法</t>
    </r>
    <phoneticPr fontId="5" type="noConversion"/>
  </si>
  <si>
    <r>
      <rPr>
        <sz val="11"/>
        <color indexed="8"/>
        <rFont val="宋体"/>
        <family val="3"/>
        <charset val="134"/>
      </rPr>
      <t>收益法结果</t>
    </r>
    <phoneticPr fontId="5" type="noConversion"/>
  </si>
  <si>
    <r>
      <rPr>
        <sz val="11"/>
        <color indexed="8"/>
        <rFont val="宋体"/>
        <family val="3"/>
        <charset val="134"/>
      </rPr>
      <t>辅助计算</t>
    </r>
    <phoneticPr fontId="5" type="noConversion"/>
  </si>
  <si>
    <r>
      <rPr>
        <sz val="11"/>
        <color indexed="8"/>
        <rFont val="宋体"/>
        <family val="3"/>
        <charset val="134"/>
      </rPr>
      <t>在建建安（分摊非经营）</t>
    </r>
    <phoneticPr fontId="5" type="noConversion"/>
  </si>
  <si>
    <r>
      <rPr>
        <sz val="11"/>
        <color indexed="8"/>
        <rFont val="宋体"/>
        <family val="3"/>
        <charset val="134"/>
      </rPr>
      <t>续建建安（分摊非经营）</t>
    </r>
    <phoneticPr fontId="5" type="noConversion"/>
  </si>
  <si>
    <t>收益法 (元)</t>
  </si>
  <si>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</si>
  <si>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</si>
  <si>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5" type="noConversion"/>
  </si>
  <si>
    <r>
      <rPr>
        <sz val="11"/>
        <color indexed="8"/>
        <rFont val="宋体"/>
        <family val="3"/>
        <charset val="134"/>
      </rPr>
      <t>公共配套</t>
    </r>
  </si>
  <si>
    <r>
      <rPr>
        <b/>
        <sz val="11"/>
        <color indexed="8"/>
        <rFont val="宋体"/>
        <family val="3"/>
        <charset val="134"/>
      </rPr>
      <t>合计</t>
    </r>
    <phoneticPr fontId="5" type="noConversion"/>
  </si>
  <si>
    <t>★默认为已完成的土地开发期★</t>
    <phoneticPr fontId="5" type="noConversion"/>
  </si>
  <si>
    <r>
      <rPr>
        <sz val="11"/>
        <rFont val="宋体"/>
        <family val="3"/>
        <charset val="134"/>
      </rPr>
      <t>建设期</t>
    </r>
    <phoneticPr fontId="5" type="noConversion"/>
  </si>
  <si>
    <r>
      <rPr>
        <sz val="11"/>
        <color rgb="FFFF0000"/>
        <rFont val="宋体"/>
        <family val="3"/>
        <charset val="134"/>
      </rPr>
      <t>包含未完成的红线外市政工程时间（如现状三通，开发完成后七通）</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</si>
  <si>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</si>
  <si>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</si>
  <si>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备注</t>
    </r>
    <phoneticPr fontId="5" type="noConversion"/>
  </si>
  <si>
    <t>★外省请录依据文件名称★：</t>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</si>
  <si>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5" type="noConversion"/>
  </si>
  <si>
    <r>
      <rPr>
        <sz val="11"/>
        <color rgb="FFFF0000"/>
        <rFont val="宋体"/>
        <family val="3"/>
        <charset val="134"/>
      </rPr>
      <t>凭票据或默认已缴纳</t>
    </r>
    <phoneticPr fontId="5" type="noConversion"/>
  </si>
  <si>
    <r>
      <rPr>
        <sz val="10"/>
        <color rgb="FFFF0000"/>
        <rFont val="宋体"/>
        <family val="3"/>
        <charset val="134"/>
      </rPr>
      <t>范围：</t>
    </r>
    <r>
      <rPr>
        <sz val="10"/>
        <color rgb="FFFF0000"/>
        <rFont val="Arial"/>
        <family val="2"/>
      </rPr>
      <t>3%-5%</t>
    </r>
    <phoneticPr fontId="5" type="noConversion"/>
  </si>
  <si>
    <r>
      <rPr>
        <sz val="10"/>
        <color rgb="FFFF0000"/>
        <rFont val="宋体"/>
        <family val="3"/>
        <charset val="134"/>
      </rPr>
      <t>范围：</t>
    </r>
    <r>
      <rPr>
        <sz val="10"/>
        <color rgb="FFFF0000"/>
        <rFont val="Arial"/>
        <family val="2"/>
      </rPr>
      <t>0-10%</t>
    </r>
    <phoneticPr fontId="5"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</si>
  <si>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5" type="noConversion"/>
  </si>
  <si>
    <r>
      <rPr>
        <sz val="10"/>
        <color rgb="FFFF0000"/>
        <rFont val="宋体"/>
        <family val="3"/>
        <charset val="134"/>
      </rPr>
      <t>变化</t>
    </r>
    <phoneticPr fontId="5" type="noConversion"/>
  </si>
  <si>
    <r>
      <rPr>
        <sz val="10"/>
        <color rgb="FFFF0000"/>
        <rFont val="宋体"/>
        <family val="3"/>
        <charset val="134"/>
      </rPr>
      <t>定值：</t>
    </r>
    <r>
      <rPr>
        <sz val="10"/>
        <color rgb="FFFF0000"/>
        <rFont val="Arial"/>
        <family val="2"/>
      </rPr>
      <t>1.5%</t>
    </r>
    <phoneticPr fontId="5" type="noConversion"/>
  </si>
  <si>
    <r>
      <rPr>
        <sz val="10"/>
        <color rgb="FFFF0000"/>
        <rFont val="宋体"/>
        <family val="3"/>
        <charset val="134"/>
      </rPr>
      <t>范围：</t>
    </r>
    <r>
      <rPr>
        <sz val="10"/>
        <color rgb="FFFF0000"/>
        <rFont val="Arial"/>
        <family val="2"/>
      </rPr>
      <t>1%-3%</t>
    </r>
    <phoneticPr fontId="5" type="noConversion"/>
  </si>
  <si>
    <t>利息：取LPR加浮动点数</t>
  </si>
  <si>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5" type="noConversion"/>
  </si>
  <si>
    <r>
      <rPr>
        <sz val="11"/>
        <color rgb="FFFF0000"/>
        <rFont val="宋体"/>
        <family val="3"/>
        <charset val="134"/>
      </rPr>
      <t>北京：</t>
    </r>
    <r>
      <rPr>
        <sz val="11"/>
        <color rgb="FFFF0000"/>
        <rFont val="Arial"/>
        <family val="2"/>
      </rPr>
      <t>3%</t>
    </r>
    <phoneticPr fontId="5" type="noConversion"/>
  </si>
  <si>
    <r>
      <rPr>
        <sz val="11"/>
        <color rgb="FFFF0000"/>
        <rFont val="宋体"/>
        <family val="3"/>
        <charset val="134"/>
      </rPr>
      <t>北京：</t>
    </r>
    <r>
      <rPr>
        <sz val="11"/>
        <color rgb="FFFF0000"/>
        <rFont val="Arial"/>
        <family val="2"/>
      </rPr>
      <t>2%</t>
    </r>
    <phoneticPr fontId="5" type="noConversion"/>
  </si>
  <si>
    <t>★请录依据文件名称★：</t>
    <phoneticPr fontId="5" type="noConversion"/>
  </si>
  <si>
    <r>
      <rPr>
        <sz val="11"/>
        <color rgb="FFFF0000"/>
        <rFont val="宋体"/>
        <family val="3"/>
        <charset val="134"/>
      </rPr>
      <t>北京：</t>
    </r>
    <r>
      <rPr>
        <sz val="11"/>
        <color rgb="FFFF0000"/>
        <rFont val="Arial"/>
        <family val="2"/>
      </rPr>
      <t>0.05%</t>
    </r>
    <phoneticPr fontId="5" type="noConversion"/>
  </si>
  <si>
    <r>
      <rPr>
        <sz val="11"/>
        <color indexed="10"/>
        <rFont val="宋体"/>
        <family val="3"/>
        <charset val="134"/>
      </rPr>
      <t>★</t>
    </r>
    <r>
      <rPr>
        <sz val="11"/>
        <color indexed="10"/>
        <rFont val="楷体_GB2312"/>
        <family val="3"/>
        <charset val="134"/>
      </rPr>
      <t>其他省市请录依据文件名称★：</t>
    </r>
    <phoneticPr fontId="5" type="noConversion"/>
  </si>
  <si>
    <t>全市</t>
    <phoneticPr fontId="147" type="noConversion"/>
  </si>
  <si>
    <t>中关村</t>
    <phoneticPr fontId="147" type="noConversion"/>
  </si>
  <si>
    <t>免租期1个月：15.01.05-15.02.04
15.01.05-18.01.04:1304875元/年；
18.01.05-20.01.04:1435362.5元/年</t>
    <phoneticPr fontId="147" type="noConversion"/>
  </si>
  <si>
    <t>精装修</t>
    <phoneticPr fontId="27" type="noConversion"/>
  </si>
  <si>
    <t>普通装修</t>
    <phoneticPr fontId="27" type="noConversion"/>
  </si>
  <si>
    <t>甲级</t>
    <phoneticPr fontId="27" type="noConversion"/>
  </si>
  <si>
    <t>乙级</t>
    <phoneticPr fontId="27" type="noConversion"/>
  </si>
  <si>
    <t>物业公司管理</t>
    <phoneticPr fontId="27" type="noConversion"/>
  </si>
  <si>
    <t>五通</t>
    <phoneticPr fontId="27" type="noConversion"/>
  </si>
  <si>
    <t>塔楼</t>
    <phoneticPr fontId="27" type="noConversion"/>
  </si>
  <si>
    <t>物业公司管理</t>
  </si>
  <si>
    <t>五通</t>
  </si>
  <si>
    <t>考虑一个月空置期</t>
    <phoneticPr fontId="147" type="noConversion"/>
  </si>
  <si>
    <t>1000米以外</t>
  </si>
  <si>
    <t>企业</t>
  </si>
  <si>
    <t>Ⅴ-01</t>
  </si>
  <si>
    <t>工业</t>
  </si>
  <si>
    <t>不动产登记信息</t>
    <rPh sb="0" eb="1">
      <t>bu dong chan</t>
    </rPh>
    <rPh sb="3" eb="4">
      <t>deng ji</t>
    </rPh>
    <rPh sb="5" eb="6">
      <t>xin xi</t>
    </rPh>
    <phoneticPr fontId="147" type="noConversion"/>
  </si>
  <si>
    <t>序号</t>
    <rPh sb="0" eb="1">
      <t>xu hao</t>
    </rPh>
    <phoneticPr fontId="147" type="noConversion"/>
  </si>
  <si>
    <t>权利人</t>
    <rPh sb="0" eb="1">
      <t>quan li ren</t>
    </rPh>
    <phoneticPr fontId="147" type="noConversion"/>
  </si>
  <si>
    <t>不动产坐落</t>
    <rPh sb="0" eb="1">
      <t>bu dong chan</t>
    </rPh>
    <rPh sb="3" eb="4">
      <t>zuo luo</t>
    </rPh>
    <phoneticPr fontId="147" type="noConversion"/>
  </si>
  <si>
    <t>宗地面积（平方米）</t>
    <rPh sb="0" eb="1">
      <t>zong di mi na ji</t>
    </rPh>
    <rPh sb="2" eb="3">
      <t>mian ji</t>
    </rPh>
    <phoneticPr fontId="147" type="noConversion"/>
  </si>
  <si>
    <t>房屋建筑面积（平方米）</t>
    <rPh sb="0" eb="1">
      <t>fang wu</t>
    </rPh>
    <rPh sb="2" eb="3">
      <t>jian zhu</t>
    </rPh>
    <rPh sb="4" eb="5">
      <t>mian ji</t>
    </rPh>
    <rPh sb="7" eb="8">
      <t>ping fang mi</t>
    </rPh>
    <phoneticPr fontId="147" type="noConversion"/>
  </si>
  <si>
    <t>用途</t>
    <rPh sb="0" eb="1">
      <t>yong tu</t>
    </rPh>
    <phoneticPr fontId="147" type="noConversion"/>
  </si>
  <si>
    <t>权利类型</t>
    <rPh sb="0" eb="1">
      <t>quan li lei xing</t>
    </rPh>
    <phoneticPr fontId="147" type="noConversion"/>
  </si>
  <si>
    <t>权利性质</t>
    <rPh sb="0" eb="1">
      <t>quan li xing zhi</t>
    </rPh>
    <phoneticPr fontId="147" type="noConversion"/>
  </si>
  <si>
    <t>土地使用期限</t>
    <rPh sb="0" eb="1">
      <t>tu di</t>
    </rPh>
    <rPh sb="2" eb="3">
      <t>shi yong qi xian</t>
    </rPh>
    <phoneticPr fontId="147" type="noConversion"/>
  </si>
  <si>
    <t>房屋是否共有</t>
    <rPh sb="0" eb="1">
      <t>fang wu shi fu</t>
    </rPh>
    <rPh sb="2" eb="3">
      <t>shi fou</t>
    </rPh>
    <rPh sb="4" eb="5">
      <t>gong you</t>
    </rPh>
    <phoneticPr fontId="147" type="noConversion"/>
  </si>
  <si>
    <t>权证号</t>
    <rPh sb="0" eb="1">
      <t>quan zheng hao</t>
    </rPh>
    <phoneticPr fontId="147" type="noConversion"/>
  </si>
  <si>
    <t>登记时间</t>
    <rPh sb="0" eb="1">
      <t>deng ji shi jian</t>
    </rPh>
    <phoneticPr fontId="147" type="noConversion"/>
  </si>
  <si>
    <t>佳龙天成（北京）有限公司</t>
    <rPh sb="0" eb="1">
      <t>jia long tian cehng</t>
    </rPh>
    <rPh sb="3" eb="4">
      <t>cheng</t>
    </rPh>
    <rPh sb="5" eb="6">
      <t>bei jing</t>
    </rPh>
    <rPh sb="8" eb="9">
      <t>you xian gong si</t>
    </rPh>
    <phoneticPr fontId="147" type="noConversion"/>
  </si>
  <si>
    <t>海淀区上地信息产业基地信息中路M18号1层101</t>
    <rPh sb="0" eb="1">
      <t>hai dian qu</t>
    </rPh>
    <rPh sb="3" eb="4">
      <t>sahng di</t>
    </rPh>
    <rPh sb="5" eb="6">
      <t>xin xi</t>
    </rPh>
    <rPh sb="7" eb="8">
      <t>chan ye</t>
    </rPh>
    <rPh sb="9" eb="10">
      <t>ji di</t>
    </rPh>
    <rPh sb="11" eb="12">
      <t>xin xi</t>
    </rPh>
    <rPh sb="13" eb="14">
      <t>zhong lu</t>
    </rPh>
    <rPh sb="18" eb="19">
      <t>hao</t>
    </rPh>
    <rPh sb="20" eb="21">
      <t>ceng</t>
    </rPh>
    <phoneticPr fontId="147" type="noConversion"/>
  </si>
  <si>
    <t>-</t>
    <phoneticPr fontId="147" type="noConversion"/>
  </si>
  <si>
    <t>办公用房</t>
    <rPh sb="0" eb="1">
      <t>ban gng</t>
    </rPh>
    <rPh sb="2" eb="3">
      <t>yong fang</t>
    </rPh>
    <phoneticPr fontId="147" type="noConversion"/>
  </si>
  <si>
    <t>国有建设用地使用权/房屋所有权</t>
    <rPh sb="0" eb="1">
      <t>guo you</t>
    </rPh>
    <rPh sb="2" eb="3">
      <t>jian she</t>
    </rPh>
    <rPh sb="4" eb="5">
      <t>yong di</t>
    </rPh>
    <rPh sb="6" eb="7">
      <t>shi yong quan</t>
    </rPh>
    <rPh sb="10" eb="11">
      <t>fang wu</t>
    </rPh>
    <rPh sb="12" eb="13">
      <t>suo you quan</t>
    </rPh>
    <phoneticPr fontId="147" type="noConversion"/>
  </si>
  <si>
    <t>商品房/出让</t>
    <rPh sb="0" eb="1">
      <t>shang pin fang</t>
    </rPh>
    <rPh sb="4" eb="5">
      <t>chu rang</t>
    </rPh>
    <phoneticPr fontId="147" type="noConversion"/>
  </si>
  <si>
    <t>否</t>
    <rPh sb="0" eb="1">
      <t>fou</t>
    </rPh>
    <phoneticPr fontId="147" type="noConversion"/>
  </si>
  <si>
    <t>京（2018）海不动产权第0048268号</t>
    <rPh sb="0" eb="1">
      <t>jing</t>
    </rPh>
    <rPh sb="7" eb="8">
      <t>hai</t>
    </rPh>
    <rPh sb="8" eb="9">
      <t>bu dong chan</t>
    </rPh>
    <rPh sb="11" eb="12">
      <t>quan</t>
    </rPh>
    <rPh sb="12" eb="13">
      <t>di</t>
    </rPh>
    <rPh sb="20" eb="21">
      <t>hao</t>
    </rPh>
    <phoneticPr fontId="147" type="noConversion"/>
  </si>
  <si>
    <t>海淀区上地信息产业基地信息中路M18号1层102</t>
    <rPh sb="0" eb="1">
      <t>hai dian qu</t>
    </rPh>
    <rPh sb="3" eb="4">
      <t>sahng di</t>
    </rPh>
    <rPh sb="5" eb="6">
      <t>xin xi</t>
    </rPh>
    <rPh sb="7" eb="8">
      <t>chan ye</t>
    </rPh>
    <rPh sb="9" eb="10">
      <t>ji di</t>
    </rPh>
    <rPh sb="11" eb="12">
      <t>xin xi</t>
    </rPh>
    <rPh sb="13" eb="14">
      <t>zhong lu</t>
    </rPh>
    <rPh sb="18" eb="19">
      <t>hao</t>
    </rPh>
    <rPh sb="20" eb="21">
      <t>ceng</t>
    </rPh>
    <phoneticPr fontId="147" type="noConversion"/>
  </si>
  <si>
    <t>海淀区上地信息产业基地信息中路M18号2层201</t>
    <rPh sb="0" eb="1">
      <t>hai dian qu</t>
    </rPh>
    <rPh sb="3" eb="4">
      <t>sahng di</t>
    </rPh>
    <rPh sb="5" eb="6">
      <t>xin xi</t>
    </rPh>
    <rPh sb="7" eb="8">
      <t>chan ye</t>
    </rPh>
    <rPh sb="9" eb="10">
      <t>ji di</t>
    </rPh>
    <rPh sb="11" eb="12">
      <t>xin xi</t>
    </rPh>
    <rPh sb="13" eb="14">
      <t>zhong lu</t>
    </rPh>
    <rPh sb="18" eb="19">
      <t>hao</t>
    </rPh>
    <rPh sb="20" eb="21">
      <t>ceng</t>
    </rPh>
    <phoneticPr fontId="147" type="noConversion"/>
  </si>
  <si>
    <t>海淀区上地信息产业基地信息中路M18号2层202</t>
    <rPh sb="0" eb="1">
      <t>hai dian qu</t>
    </rPh>
    <rPh sb="3" eb="4">
      <t>sahng di</t>
    </rPh>
    <rPh sb="5" eb="6">
      <t>xin xi</t>
    </rPh>
    <rPh sb="7" eb="8">
      <t>chan ye</t>
    </rPh>
    <rPh sb="9" eb="10">
      <t>ji di</t>
    </rPh>
    <rPh sb="11" eb="12">
      <t>xin xi</t>
    </rPh>
    <rPh sb="13" eb="14">
      <t>zhong lu</t>
    </rPh>
    <rPh sb="18" eb="19">
      <t>hao</t>
    </rPh>
    <rPh sb="20" eb="21">
      <t>ceng</t>
    </rPh>
    <phoneticPr fontId="147" type="noConversion"/>
  </si>
  <si>
    <t>合计</t>
    <rPh sb="0" eb="1">
      <t>he ji</t>
    </rPh>
    <phoneticPr fontId="147" type="noConversion"/>
  </si>
  <si>
    <t>容积率</t>
    <rPh sb="0" eb="1">
      <t>ronj gi lü</t>
    </rPh>
    <phoneticPr fontId="147" type="noConversion"/>
  </si>
  <si>
    <t>国有土地使用证</t>
    <phoneticPr fontId="5" type="noConversion"/>
  </si>
  <si>
    <t>京海国用（2010转）第5204号</t>
    <phoneticPr fontId="5" type="noConversion"/>
  </si>
  <si>
    <t>土地使用权人</t>
    <phoneticPr fontId="5" type="noConversion"/>
  </si>
  <si>
    <t>信心控股有限公司</t>
    <phoneticPr fontId="5" type="noConversion"/>
  </si>
  <si>
    <t>坐落</t>
    <phoneticPr fontId="5" type="noConversion"/>
  </si>
  <si>
    <t>北京市海淀区信息路7号</t>
    <phoneticPr fontId="5" type="noConversion"/>
  </si>
  <si>
    <t>地号</t>
    <phoneticPr fontId="5" type="noConversion"/>
  </si>
  <si>
    <t>图号</t>
    <phoneticPr fontId="5" type="noConversion"/>
  </si>
  <si>
    <t>地类（用途）</t>
    <phoneticPr fontId="5" type="noConversion"/>
  </si>
  <si>
    <t>使用权类型</t>
    <phoneticPr fontId="5" type="noConversion"/>
  </si>
  <si>
    <t>终止日期</t>
    <phoneticPr fontId="5" type="noConversion"/>
  </si>
  <si>
    <t>使用权面积</t>
    <phoneticPr fontId="5" type="noConversion"/>
  </si>
  <si>
    <t>各地块间关系</t>
    <phoneticPr fontId="5" type="noConversion"/>
  </si>
  <si>
    <t>房屋所有权证</t>
    <phoneticPr fontId="5" type="noConversion"/>
  </si>
  <si>
    <t>京（2016）海淀区不动产权第0016146号</t>
    <phoneticPr fontId="5" type="noConversion"/>
  </si>
  <si>
    <t>X京房权证海字第217589号</t>
    <phoneticPr fontId="5" type="noConversion"/>
  </si>
  <si>
    <t>X京房权证海字第217827号</t>
    <phoneticPr fontId="5" type="noConversion"/>
  </si>
  <si>
    <t>房屋所有权人</t>
    <phoneticPr fontId="5" type="noConversion"/>
  </si>
  <si>
    <t>佳龙天成（北京）有限公司</t>
    <phoneticPr fontId="5" type="noConversion"/>
  </si>
  <si>
    <t>共有情况</t>
    <phoneticPr fontId="5" type="noConversion"/>
  </si>
  <si>
    <t>单独所有</t>
    <phoneticPr fontId="5" type="noConversion"/>
  </si>
  <si>
    <t>房屋坐落</t>
    <phoneticPr fontId="5" type="noConversion"/>
  </si>
  <si>
    <t>海淀区上地信息产业基地信息中路M18号</t>
    <phoneticPr fontId="5" type="noConversion"/>
  </si>
  <si>
    <t>海淀区信息路7号院2号楼</t>
    <phoneticPr fontId="5" type="noConversion"/>
  </si>
  <si>
    <t>登记时间</t>
    <phoneticPr fontId="5" type="noConversion"/>
  </si>
  <si>
    <t>房屋性质</t>
    <phoneticPr fontId="5" type="noConversion"/>
  </si>
  <si>
    <t>规划用途</t>
    <phoneticPr fontId="5" type="noConversion"/>
  </si>
  <si>
    <t>地下车库、研发用房</t>
    <phoneticPr fontId="5" type="noConversion"/>
  </si>
  <si>
    <t>具体房号部位</t>
    <phoneticPr fontId="5" type="noConversion"/>
  </si>
  <si>
    <t>有无不可分摊面积</t>
    <phoneticPr fontId="5" type="noConversion"/>
  </si>
  <si>
    <t>工业用地</t>
  </si>
  <si>
    <t>2016.2.2-2017.2.1</t>
    <phoneticPr fontId="147" type="noConversion"/>
  </si>
  <si>
    <t>2017.2.2-2018.2.1</t>
    <phoneticPr fontId="147" type="noConversion"/>
  </si>
  <si>
    <t>2018.2.2-2019.2.1</t>
    <phoneticPr fontId="147" type="noConversion"/>
  </si>
  <si>
    <t>2019.2.2-2020.2.1</t>
    <phoneticPr fontId="147" type="noConversion"/>
  </si>
  <si>
    <t>2020.2.2-2021.2.1</t>
    <phoneticPr fontId="147" type="noConversion"/>
  </si>
  <si>
    <t>2021.2.2-2022.2.1</t>
    <phoneticPr fontId="147" type="noConversion"/>
  </si>
  <si>
    <t>2022.2.2-2023.2.1</t>
    <phoneticPr fontId="147" type="noConversion"/>
  </si>
  <si>
    <t>——</t>
    <phoneticPr fontId="147" type="noConversion"/>
  </si>
  <si>
    <r>
      <t>2016年</t>
    </r>
    <r>
      <rPr>
        <b/>
        <sz val="20"/>
        <color indexed="10"/>
        <rFont val="宋体"/>
        <family val="3"/>
        <charset val="134"/>
      </rPr>
      <t>在租客户情况统计表</t>
    </r>
    <phoneticPr fontId="5" type="noConversion"/>
  </si>
  <si>
    <t>单位名称</t>
  </si>
  <si>
    <t>签约公司</t>
  </si>
  <si>
    <t>合同号</t>
  </si>
  <si>
    <t>面积/平米</t>
  </si>
  <si>
    <t>起租</t>
  </si>
  <si>
    <t>到期</t>
  </si>
  <si>
    <t>付款方式</t>
  </si>
  <si>
    <t>时间</t>
  </si>
  <si>
    <t>单价/元</t>
  </si>
  <si>
    <t>合同签约年租金/元</t>
    <phoneticPr fontId="5" type="noConversion"/>
  </si>
  <si>
    <t>付  款  日  期</t>
  </si>
  <si>
    <t>签约日期</t>
  </si>
  <si>
    <t>免租期</t>
    <phoneticPr fontId="5" type="noConversion"/>
  </si>
  <si>
    <t>总租金</t>
    <phoneticPr fontId="5" type="noConversion"/>
  </si>
  <si>
    <t>D01</t>
    <phoneticPr fontId="5" type="noConversion"/>
  </si>
  <si>
    <t>北京中元瑞讯科技有限公司</t>
    <phoneticPr fontId="5" type="noConversion"/>
  </si>
  <si>
    <t>孵化器</t>
    <phoneticPr fontId="5" type="noConversion"/>
  </si>
  <si>
    <t>(2015)年-SZCM2015D01</t>
    <phoneticPr fontId="5" type="noConversion"/>
  </si>
  <si>
    <t>2015.04.15</t>
    <phoneticPr fontId="5" type="noConversion"/>
  </si>
  <si>
    <t>2017.04.14</t>
    <phoneticPr fontId="5" type="noConversion"/>
  </si>
  <si>
    <t>押三付三</t>
    <phoneticPr fontId="5" type="noConversion"/>
  </si>
  <si>
    <t>2015.04.15-2016.04.14</t>
    <phoneticPr fontId="5" type="noConversion"/>
  </si>
  <si>
    <t>1、4、7、10月交租</t>
    <phoneticPr fontId="5" type="noConversion"/>
  </si>
  <si>
    <t>2015.03.18</t>
    <phoneticPr fontId="5" type="noConversion"/>
  </si>
  <si>
    <t>2015.03.19-2015.04.14</t>
    <phoneticPr fontId="5" type="noConversion"/>
  </si>
  <si>
    <t>2016.04.15-2017.04.14</t>
    <phoneticPr fontId="5" type="noConversion"/>
  </si>
  <si>
    <t>D02</t>
    <phoneticPr fontId="5" type="noConversion"/>
  </si>
  <si>
    <t>深圳市大富科技股份有限公司北京海淀分公司</t>
    <phoneticPr fontId="5" type="noConversion"/>
  </si>
  <si>
    <t>(2016)年Z-FHQ2016D02</t>
    <phoneticPr fontId="5" type="noConversion"/>
  </si>
  <si>
    <t>2016.03.01</t>
    <phoneticPr fontId="5" type="noConversion"/>
  </si>
  <si>
    <t>2017.02.29</t>
    <phoneticPr fontId="5" type="noConversion"/>
  </si>
  <si>
    <t>押三年付</t>
    <phoneticPr fontId="5" type="noConversion"/>
  </si>
  <si>
    <t>2015.03.01-2016.02.29</t>
    <phoneticPr fontId="5" type="noConversion"/>
  </si>
  <si>
    <t>2月交租</t>
    <phoneticPr fontId="5" type="noConversion"/>
  </si>
  <si>
    <t>2016.02.01</t>
    <phoneticPr fontId="5" type="noConversion"/>
  </si>
  <si>
    <t>无</t>
    <phoneticPr fontId="5" type="noConversion"/>
  </si>
  <si>
    <t>D04</t>
    <phoneticPr fontId="5" type="noConversion"/>
  </si>
  <si>
    <t>北京正奇联讯科技有限公司</t>
    <phoneticPr fontId="5" type="noConversion"/>
  </si>
  <si>
    <t>(2015)年Z-SZCM2015D04</t>
    <phoneticPr fontId="5" type="noConversion"/>
  </si>
  <si>
    <t>2015.06.01</t>
    <phoneticPr fontId="5" type="noConversion"/>
  </si>
  <si>
    <t>2016.05.31</t>
    <phoneticPr fontId="5" type="noConversion"/>
  </si>
  <si>
    <t>2015.06.01-2016.05.31</t>
    <phoneticPr fontId="5" type="noConversion"/>
  </si>
  <si>
    <t>2、5、8、11月交租</t>
    <phoneticPr fontId="5" type="noConversion"/>
  </si>
  <si>
    <t>2015.06.25</t>
    <phoneticPr fontId="5" type="noConversion"/>
  </si>
  <si>
    <t>D05</t>
    <phoneticPr fontId="5" type="noConversion"/>
  </si>
  <si>
    <t>北京隆达顺德投资中心（有限合伙）</t>
    <phoneticPr fontId="5" type="noConversion"/>
  </si>
  <si>
    <t>(2015)年-SZCM2015D05</t>
    <phoneticPr fontId="5" type="noConversion"/>
  </si>
  <si>
    <t>2015.03.05</t>
    <phoneticPr fontId="5" type="noConversion"/>
  </si>
  <si>
    <t>2018.03.04</t>
    <phoneticPr fontId="5" type="noConversion"/>
  </si>
  <si>
    <t>2015.03.05-2016.03.04</t>
    <phoneticPr fontId="5" type="noConversion"/>
  </si>
  <si>
    <t>3、6、9、12月交租</t>
  </si>
  <si>
    <t>2015.03.03</t>
    <phoneticPr fontId="5" type="noConversion"/>
  </si>
  <si>
    <t>2016.03.05-2017.03.04</t>
    <phoneticPr fontId="5" type="noConversion"/>
  </si>
  <si>
    <t>2017.03.05-2018.03.04</t>
    <phoneticPr fontId="5" type="noConversion"/>
  </si>
  <si>
    <t>D06</t>
    <phoneticPr fontId="5" type="noConversion"/>
  </si>
  <si>
    <t>北京和立智能科技有限公司</t>
    <phoneticPr fontId="5" type="noConversion"/>
  </si>
  <si>
    <t>(2015)年-SZCM2015D06</t>
    <phoneticPr fontId="5" type="noConversion"/>
  </si>
  <si>
    <t>2015.07.11</t>
    <phoneticPr fontId="5" type="noConversion"/>
  </si>
  <si>
    <t>2016.07.10</t>
    <phoneticPr fontId="5" type="noConversion"/>
  </si>
  <si>
    <t>2015.07.11-2016.07.10</t>
    <phoneticPr fontId="5" type="noConversion"/>
  </si>
  <si>
    <t>2015.07.01</t>
    <phoneticPr fontId="5" type="noConversion"/>
  </si>
  <si>
    <t>D07</t>
    <phoneticPr fontId="5" type="noConversion"/>
  </si>
  <si>
    <t>北京奥普维尔科技有限公司</t>
    <phoneticPr fontId="5" type="noConversion"/>
  </si>
  <si>
    <t>(2014)年Z-FHQ2014D07</t>
    <phoneticPr fontId="5" type="noConversion"/>
  </si>
  <si>
    <t>2014.09.01</t>
    <phoneticPr fontId="5" type="noConversion"/>
  </si>
  <si>
    <t>2017.08.31</t>
    <phoneticPr fontId="5" type="noConversion"/>
  </si>
  <si>
    <t>2014.09.01-2015.08.31</t>
    <phoneticPr fontId="5" type="noConversion"/>
  </si>
  <si>
    <t>2015.01.19</t>
    <phoneticPr fontId="5" type="noConversion"/>
  </si>
  <si>
    <t>2015.09.01-2016.08.31</t>
    <phoneticPr fontId="5" type="noConversion"/>
  </si>
  <si>
    <t>2016.09.01-2017.08.31</t>
    <phoneticPr fontId="5" type="noConversion"/>
  </si>
  <si>
    <t>D08</t>
    <phoneticPr fontId="5" type="noConversion"/>
  </si>
  <si>
    <t>益体康（北京）科技有限公司</t>
    <phoneticPr fontId="5" type="noConversion"/>
  </si>
  <si>
    <t>信心</t>
    <phoneticPr fontId="5" type="noConversion"/>
  </si>
  <si>
    <t>（2015）年-SZCM2015D08</t>
    <phoneticPr fontId="5" type="noConversion"/>
  </si>
  <si>
    <t>2015.06.22</t>
    <phoneticPr fontId="5" type="noConversion"/>
  </si>
  <si>
    <t>2015.06.22-2015.07.10</t>
    <phoneticPr fontId="5" type="noConversion"/>
  </si>
  <si>
    <t>2015.06.08</t>
    <phoneticPr fontId="5" type="noConversion"/>
  </si>
  <si>
    <t>D09</t>
    <phoneticPr fontId="5" type="noConversion"/>
  </si>
  <si>
    <t>北京万超科技有限公司</t>
    <phoneticPr fontId="5" type="noConversion"/>
  </si>
  <si>
    <t>2015.10.25</t>
    <phoneticPr fontId="5" type="noConversion"/>
  </si>
  <si>
    <t>2016.10.24</t>
    <phoneticPr fontId="5" type="noConversion"/>
  </si>
  <si>
    <t>2015.10.25-2016.10.24</t>
    <phoneticPr fontId="5" type="noConversion"/>
  </si>
  <si>
    <t>2013.11.06</t>
    <phoneticPr fontId="5" type="noConversion"/>
  </si>
  <si>
    <t>2016.10.25</t>
    <phoneticPr fontId="5" type="noConversion"/>
  </si>
  <si>
    <t>2017.10.24</t>
    <phoneticPr fontId="5" type="noConversion"/>
  </si>
  <si>
    <t>2016.10.24-2017.10.25</t>
    <phoneticPr fontId="5" type="noConversion"/>
  </si>
  <si>
    <t>D11</t>
    <phoneticPr fontId="5" type="noConversion"/>
  </si>
  <si>
    <t>中国邮政速递物流股份有限公司北京市上地分公司</t>
    <phoneticPr fontId="5" type="noConversion"/>
  </si>
  <si>
    <t>(2015)年-SZCM2015D11</t>
    <phoneticPr fontId="5" type="noConversion"/>
  </si>
  <si>
    <t>2015.10.23</t>
    <phoneticPr fontId="5" type="noConversion"/>
  </si>
  <si>
    <t>2016.10.22</t>
    <phoneticPr fontId="5" type="noConversion"/>
  </si>
  <si>
    <t>2015.10.23-2016.10.22</t>
    <phoneticPr fontId="5" type="noConversion"/>
  </si>
  <si>
    <t>10月交租</t>
    <phoneticPr fontId="5" type="noConversion"/>
  </si>
  <si>
    <t>2015.10.15</t>
    <phoneticPr fontId="5" type="noConversion"/>
  </si>
  <si>
    <t>D12</t>
    <phoneticPr fontId="5" type="noConversion"/>
  </si>
  <si>
    <t>北京迈克森斯医疗科技有限公司</t>
    <phoneticPr fontId="5" type="noConversion"/>
  </si>
  <si>
    <t>（2015）年-SZCM2015D12</t>
    <phoneticPr fontId="5" type="noConversion"/>
  </si>
  <si>
    <t>2015.05.01</t>
    <phoneticPr fontId="5" type="noConversion"/>
  </si>
  <si>
    <t>2016.06.30</t>
    <phoneticPr fontId="5" type="noConversion"/>
  </si>
  <si>
    <t>押三付六</t>
    <phoneticPr fontId="5" type="noConversion"/>
  </si>
  <si>
    <t>2015.05.01-2015.06.30</t>
    <phoneticPr fontId="5" type="noConversion"/>
  </si>
  <si>
    <t>4、12月交租</t>
    <phoneticPr fontId="5" type="noConversion"/>
  </si>
  <si>
    <t>2015.04.21</t>
    <phoneticPr fontId="5" type="noConversion"/>
  </si>
  <si>
    <t>2016.06.31</t>
  </si>
  <si>
    <t>2015.07.01-2016.06.30</t>
    <phoneticPr fontId="5" type="noConversion"/>
  </si>
  <si>
    <t>D13</t>
    <phoneticPr fontId="5" type="noConversion"/>
  </si>
  <si>
    <t>北京浏览天下网络科技有限公司</t>
    <phoneticPr fontId="5" type="noConversion"/>
  </si>
  <si>
    <t>(2015)年Z-SZCM2015D13</t>
    <phoneticPr fontId="5" type="noConversion"/>
  </si>
  <si>
    <t>2015.12.21</t>
    <phoneticPr fontId="5" type="noConversion"/>
  </si>
  <si>
    <t>2016.12.20</t>
    <phoneticPr fontId="5" type="noConversion"/>
  </si>
  <si>
    <t>2015.12.21-2016.12.20</t>
    <phoneticPr fontId="5" type="noConversion"/>
  </si>
  <si>
    <t>12月交租金</t>
    <phoneticPr fontId="5" type="noConversion"/>
  </si>
  <si>
    <t>2015.09.29</t>
    <phoneticPr fontId="5" type="noConversion"/>
  </si>
  <si>
    <t>D15</t>
    <phoneticPr fontId="5" type="noConversion"/>
  </si>
  <si>
    <r>
      <t>(201</t>
    </r>
    <r>
      <rPr>
        <sz val="10"/>
        <color indexed="8"/>
        <rFont val="宋体"/>
        <family val="3"/>
        <charset val="134"/>
      </rPr>
      <t>5)年Z-</t>
    </r>
    <r>
      <rPr>
        <sz val="10"/>
        <color indexed="8"/>
        <rFont val="宋体"/>
        <family val="3"/>
        <charset val="134"/>
      </rPr>
      <t>SZCM</t>
    </r>
    <r>
      <rPr>
        <sz val="10"/>
        <color indexed="8"/>
        <rFont val="宋体"/>
        <family val="3"/>
        <charset val="134"/>
      </rPr>
      <t>2015D15</t>
    </r>
    <phoneticPr fontId="5" type="noConversion"/>
  </si>
  <si>
    <r>
      <t>6、</t>
    </r>
    <r>
      <rPr>
        <sz val="10"/>
        <color indexed="8"/>
        <rFont val="宋体"/>
        <family val="3"/>
        <charset val="134"/>
      </rPr>
      <t>12</t>
    </r>
    <r>
      <rPr>
        <sz val="10"/>
        <color indexed="8"/>
        <rFont val="宋体"/>
        <family val="3"/>
        <charset val="134"/>
      </rPr>
      <t>月交租金</t>
    </r>
    <phoneticPr fontId="5" type="noConversion"/>
  </si>
  <si>
    <t>D16</t>
    <phoneticPr fontId="5" type="noConversion"/>
  </si>
  <si>
    <t>北京睿谊互联广告传播有限公司</t>
    <phoneticPr fontId="5" type="noConversion"/>
  </si>
  <si>
    <t>(2014)年Z-FHQ2014D16</t>
    <phoneticPr fontId="5" type="noConversion"/>
  </si>
  <si>
    <t>2015.12.30</t>
    <phoneticPr fontId="5" type="noConversion"/>
  </si>
  <si>
    <t>2016.12.29</t>
    <phoneticPr fontId="5" type="noConversion"/>
  </si>
  <si>
    <t>2015.12.30-2016.12.29</t>
    <phoneticPr fontId="5" type="noConversion"/>
  </si>
  <si>
    <t>6、12月交租金</t>
    <phoneticPr fontId="5" type="noConversion"/>
  </si>
  <si>
    <t>D17</t>
    <phoneticPr fontId="5" type="noConversion"/>
  </si>
  <si>
    <t>北京富通润泽科技有限公司</t>
    <phoneticPr fontId="5" type="noConversion"/>
  </si>
  <si>
    <t>（2015）年-SZCM2015D17</t>
    <phoneticPr fontId="5" type="noConversion"/>
  </si>
  <si>
    <t>2015.10.10</t>
    <phoneticPr fontId="5" type="noConversion"/>
  </si>
  <si>
    <t>2016.10.9</t>
    <phoneticPr fontId="5" type="noConversion"/>
  </si>
  <si>
    <t>2015.10.10-2016.10.9</t>
    <phoneticPr fontId="5" type="noConversion"/>
  </si>
  <si>
    <t>每月交租</t>
    <phoneticPr fontId="5" type="noConversion"/>
  </si>
  <si>
    <t>2015.9.30</t>
    <phoneticPr fontId="5" type="noConversion"/>
  </si>
  <si>
    <t>D18</t>
    <phoneticPr fontId="5" type="noConversion"/>
  </si>
  <si>
    <t>北京志达亨泰网络科技发展有限公司</t>
    <phoneticPr fontId="5" type="noConversion"/>
  </si>
  <si>
    <t>(2015)年-SZCM2015D18</t>
    <phoneticPr fontId="5" type="noConversion"/>
  </si>
  <si>
    <t>2015.08.19</t>
    <phoneticPr fontId="5" type="noConversion"/>
  </si>
  <si>
    <t>2018.08.18</t>
    <phoneticPr fontId="5" type="noConversion"/>
  </si>
  <si>
    <t>2015.08.19-2018.08.18</t>
    <phoneticPr fontId="5" type="noConversion"/>
  </si>
  <si>
    <t>2015.07.27</t>
    <phoneticPr fontId="5" type="noConversion"/>
  </si>
  <si>
    <t>D19</t>
    <phoneticPr fontId="5" type="noConversion"/>
  </si>
  <si>
    <t>北京炫亿时代科技有限公司</t>
    <phoneticPr fontId="5" type="noConversion"/>
  </si>
  <si>
    <t>(2015)年-SZCM2015D19</t>
    <phoneticPr fontId="5" type="noConversion"/>
  </si>
  <si>
    <r>
      <t>2</t>
    </r>
    <r>
      <rPr>
        <sz val="10"/>
        <color indexed="8"/>
        <rFont val="宋体"/>
        <family val="3"/>
        <charset val="134"/>
      </rPr>
      <t>015.08.19</t>
    </r>
    <phoneticPr fontId="5" type="noConversion"/>
  </si>
  <si>
    <r>
      <t>2</t>
    </r>
    <r>
      <rPr>
        <sz val="10"/>
        <rFont val="宋体"/>
        <family val="3"/>
        <charset val="134"/>
      </rPr>
      <t>016.08.18</t>
    </r>
    <phoneticPr fontId="5" type="noConversion"/>
  </si>
  <si>
    <t>2015.08.19-2016.08.18</t>
    <phoneticPr fontId="5" type="noConversion"/>
  </si>
  <si>
    <r>
      <t>2</t>
    </r>
    <r>
      <rPr>
        <sz val="10"/>
        <color indexed="8"/>
        <rFont val="宋体"/>
        <family val="3"/>
        <charset val="134"/>
      </rPr>
      <t>016.08.19</t>
    </r>
    <phoneticPr fontId="5" type="noConversion"/>
  </si>
  <si>
    <r>
      <t>2</t>
    </r>
    <r>
      <rPr>
        <sz val="10"/>
        <rFont val="宋体"/>
        <family val="3"/>
        <charset val="134"/>
      </rPr>
      <t>017.08.18</t>
    </r>
    <phoneticPr fontId="5" type="noConversion"/>
  </si>
  <si>
    <t>2016.08.19-2017.08.18</t>
    <phoneticPr fontId="5" type="noConversion"/>
  </si>
  <si>
    <r>
      <t>2017</t>
    </r>
    <r>
      <rPr>
        <sz val="10"/>
        <color indexed="8"/>
        <rFont val="宋体"/>
        <family val="3"/>
        <charset val="134"/>
      </rPr>
      <t>.08.19</t>
    </r>
    <phoneticPr fontId="5" type="noConversion"/>
  </si>
  <si>
    <r>
      <t>2</t>
    </r>
    <r>
      <rPr>
        <sz val="10"/>
        <color indexed="8"/>
        <rFont val="宋体"/>
        <family val="3"/>
        <charset val="134"/>
      </rPr>
      <t>017.08.19-2018.08.18</t>
    </r>
    <phoneticPr fontId="5" type="noConversion"/>
  </si>
  <si>
    <t>地下一层</t>
    <phoneticPr fontId="5" type="noConversion"/>
  </si>
  <si>
    <t>001</t>
    <phoneticPr fontId="5" type="noConversion"/>
  </si>
  <si>
    <t>北京君悦恒业科技有限公司</t>
    <phoneticPr fontId="5" type="noConversion"/>
  </si>
  <si>
    <t>(2015)年-SZCM2015001</t>
    <phoneticPr fontId="5" type="noConversion"/>
  </si>
  <si>
    <t>2015.12.29</t>
    <phoneticPr fontId="5" type="noConversion"/>
  </si>
  <si>
    <t>002</t>
    <phoneticPr fontId="5" type="noConversion"/>
  </si>
  <si>
    <t>北京丽丽日夜小商品</t>
    <phoneticPr fontId="5" type="noConversion"/>
  </si>
  <si>
    <t>(2016)年-SZCM2016002</t>
    <phoneticPr fontId="5" type="noConversion"/>
  </si>
  <si>
    <t>2016.05.01</t>
    <phoneticPr fontId="5" type="noConversion"/>
  </si>
  <si>
    <t>2017.04.30</t>
    <phoneticPr fontId="5" type="noConversion"/>
  </si>
  <si>
    <t>2016.05.01-2017.04.30</t>
    <phoneticPr fontId="5" type="noConversion"/>
  </si>
  <si>
    <t>4、10月交租</t>
    <phoneticPr fontId="5" type="noConversion"/>
  </si>
  <si>
    <t>2016.02.02</t>
    <phoneticPr fontId="5" type="noConversion"/>
  </si>
  <si>
    <t>003</t>
    <phoneticPr fontId="5" type="noConversion"/>
  </si>
  <si>
    <t>北京航铁通科技有限公司</t>
    <phoneticPr fontId="5" type="noConversion"/>
  </si>
  <si>
    <t>(2015)年-SZCM2015003</t>
    <phoneticPr fontId="5" type="noConversion"/>
  </si>
  <si>
    <t>2015.10.16</t>
    <phoneticPr fontId="5" type="noConversion"/>
  </si>
  <si>
    <t>2016.10.15</t>
    <phoneticPr fontId="5" type="noConversion"/>
  </si>
  <si>
    <t>2015.10.16-2016.10.15</t>
    <phoneticPr fontId="5" type="noConversion"/>
  </si>
  <si>
    <t>2014.09.02</t>
    <phoneticPr fontId="5" type="noConversion"/>
  </si>
  <si>
    <t>100</t>
    <phoneticPr fontId="5" type="noConversion"/>
  </si>
  <si>
    <t>北京赛鲨力生物技术研究中心</t>
    <phoneticPr fontId="5" type="noConversion"/>
  </si>
  <si>
    <r>
      <t>(201</t>
    </r>
    <r>
      <rPr>
        <sz val="10"/>
        <color indexed="8"/>
        <rFont val="宋体"/>
        <family val="3"/>
        <charset val="134"/>
      </rPr>
      <t>5</t>
    </r>
    <r>
      <rPr>
        <sz val="10"/>
        <color indexed="8"/>
        <rFont val="宋体"/>
        <family val="3"/>
        <charset val="134"/>
      </rPr>
      <t>)年Z-FHQ201</t>
    </r>
    <r>
      <rPr>
        <sz val="10"/>
        <color indexed="8"/>
        <rFont val="宋体"/>
        <family val="3"/>
        <charset val="134"/>
      </rPr>
      <t>5</t>
    </r>
    <r>
      <rPr>
        <sz val="10"/>
        <color indexed="8"/>
        <rFont val="宋体"/>
        <family val="3"/>
        <charset val="134"/>
      </rPr>
      <t>100</t>
    </r>
    <phoneticPr fontId="5" type="noConversion"/>
  </si>
  <si>
    <t>2016.04.20</t>
    <phoneticPr fontId="5" type="noConversion"/>
  </si>
  <si>
    <t>无押付六</t>
    <phoneticPr fontId="5" type="noConversion"/>
  </si>
  <si>
    <t>2015.04.21-2016.04.20</t>
    <phoneticPr fontId="5" type="noConversion"/>
  </si>
  <si>
    <r>
      <t>4、</t>
    </r>
    <r>
      <rPr>
        <sz val="10"/>
        <color indexed="8"/>
        <rFont val="宋体"/>
        <family val="3"/>
        <charset val="134"/>
      </rPr>
      <t>10</t>
    </r>
    <r>
      <rPr>
        <sz val="10"/>
        <color indexed="8"/>
        <rFont val="宋体"/>
        <family val="3"/>
        <charset val="134"/>
      </rPr>
      <t>月交租</t>
    </r>
    <phoneticPr fontId="5" type="noConversion"/>
  </si>
  <si>
    <t>2015.10.27</t>
    <phoneticPr fontId="5" type="noConversion"/>
  </si>
  <si>
    <t>北京开心互娱信息技术有限公司</t>
    <phoneticPr fontId="5" type="noConversion"/>
  </si>
  <si>
    <t>（2015）年-SZCM2015101</t>
    <phoneticPr fontId="5" type="noConversion"/>
  </si>
  <si>
    <t>2015.12.15</t>
    <phoneticPr fontId="5" type="noConversion"/>
  </si>
  <si>
    <t>2017.12.14</t>
    <phoneticPr fontId="5" type="noConversion"/>
  </si>
  <si>
    <t>2015.12.15-2018.12.14</t>
    <phoneticPr fontId="5" type="noConversion"/>
  </si>
  <si>
    <t>2015年月一次付清</t>
    <phoneticPr fontId="5" type="noConversion"/>
  </si>
  <si>
    <t>2015.11.03</t>
    <phoneticPr fontId="5" type="noConversion"/>
  </si>
  <si>
    <t>2018.12.15</t>
    <phoneticPr fontId="5" type="noConversion"/>
  </si>
  <si>
    <t>视频</t>
    <phoneticPr fontId="5" type="noConversion"/>
  </si>
  <si>
    <t>(2015)年-SZCM2015102</t>
    <phoneticPr fontId="5" type="noConversion"/>
  </si>
  <si>
    <t>2015.04.24</t>
    <phoneticPr fontId="5" type="noConversion"/>
  </si>
  <si>
    <t>（2015)年-SZCM2015107</t>
    <phoneticPr fontId="5" type="noConversion"/>
  </si>
  <si>
    <t>2016.06.30</t>
  </si>
  <si>
    <t>2016.01.01-2016.06.30</t>
    <phoneticPr fontId="5" type="noConversion"/>
  </si>
  <si>
    <t>北京世玩互娱信息技术有限公司</t>
    <phoneticPr fontId="5" type="noConversion"/>
  </si>
  <si>
    <t>（2015）年-SZCM2015108</t>
    <phoneticPr fontId="5" type="noConversion"/>
  </si>
  <si>
    <r>
      <t>2015.12.</t>
    </r>
    <r>
      <rPr>
        <sz val="10"/>
        <rFont val="宋体"/>
        <family val="3"/>
        <charset val="134"/>
      </rPr>
      <t>1</t>
    </r>
    <r>
      <rPr>
        <sz val="10"/>
        <rFont val="宋体"/>
        <family val="3"/>
        <charset val="134"/>
      </rPr>
      <t>5</t>
    </r>
    <phoneticPr fontId="5" type="noConversion"/>
  </si>
  <si>
    <r>
      <t>2017</t>
    </r>
    <r>
      <rPr>
        <sz val="10"/>
        <rFont val="宋体"/>
        <family val="3"/>
        <charset val="134"/>
      </rPr>
      <t>.12.14</t>
    </r>
    <phoneticPr fontId="5" type="noConversion"/>
  </si>
  <si>
    <r>
      <t>2</t>
    </r>
    <r>
      <rPr>
        <sz val="10"/>
        <rFont val="宋体"/>
        <family val="3"/>
        <charset val="134"/>
      </rPr>
      <t>015年12月一次付清</t>
    </r>
    <phoneticPr fontId="5" type="noConversion"/>
  </si>
  <si>
    <r>
      <t>2</t>
    </r>
    <r>
      <rPr>
        <sz val="10"/>
        <rFont val="宋体"/>
        <family val="3"/>
        <charset val="134"/>
      </rPr>
      <t>015.11.03</t>
    </r>
    <phoneticPr fontId="5" type="noConversion"/>
  </si>
  <si>
    <t>2017.12.15</t>
    <phoneticPr fontId="5" type="noConversion"/>
  </si>
  <si>
    <t>乐宜丰科技（北京）有限公司</t>
    <phoneticPr fontId="5" type="noConversion"/>
  </si>
  <si>
    <t>（2015）年-SZCM2015111</t>
    <phoneticPr fontId="5" type="noConversion"/>
  </si>
  <si>
    <r>
      <t>2</t>
    </r>
    <r>
      <rPr>
        <sz val="10"/>
        <rFont val="宋体"/>
        <family val="3"/>
        <charset val="134"/>
      </rPr>
      <t>015.11.6</t>
    </r>
    <phoneticPr fontId="5" type="noConversion"/>
  </si>
  <si>
    <r>
      <t>2017.11.</t>
    </r>
    <r>
      <rPr>
        <sz val="10"/>
        <rFont val="宋体"/>
        <family val="3"/>
        <charset val="134"/>
      </rPr>
      <t>0</t>
    </r>
    <r>
      <rPr>
        <sz val="10"/>
        <rFont val="宋体"/>
        <family val="3"/>
        <charset val="134"/>
      </rPr>
      <t>5</t>
    </r>
    <phoneticPr fontId="5" type="noConversion"/>
  </si>
  <si>
    <t>2015.11.6-2021.01.05</t>
    <phoneticPr fontId="5" type="noConversion"/>
  </si>
  <si>
    <r>
      <t>1</t>
    </r>
    <r>
      <rPr>
        <sz val="10"/>
        <rFont val="宋体"/>
        <family val="3"/>
        <charset val="134"/>
      </rPr>
      <t>1月交租</t>
    </r>
    <phoneticPr fontId="5" type="noConversion"/>
  </si>
  <si>
    <t>2020.11.6-2021.01.05</t>
    <phoneticPr fontId="5" type="noConversion"/>
  </si>
  <si>
    <t>2017.11.6</t>
    <phoneticPr fontId="5" type="noConversion"/>
  </si>
  <si>
    <r>
      <t>2018.11.</t>
    </r>
    <r>
      <rPr>
        <sz val="10"/>
        <rFont val="宋体"/>
        <family val="3"/>
        <charset val="134"/>
      </rPr>
      <t>0</t>
    </r>
    <r>
      <rPr>
        <sz val="10"/>
        <rFont val="宋体"/>
        <family val="3"/>
        <charset val="134"/>
      </rPr>
      <t>5</t>
    </r>
    <phoneticPr fontId="5" type="noConversion"/>
  </si>
  <si>
    <t>2018.11.6</t>
    <phoneticPr fontId="5" type="noConversion"/>
  </si>
  <si>
    <r>
      <t>2019.11.</t>
    </r>
    <r>
      <rPr>
        <sz val="10"/>
        <rFont val="宋体"/>
        <family val="3"/>
        <charset val="134"/>
      </rPr>
      <t>0</t>
    </r>
    <r>
      <rPr>
        <sz val="10"/>
        <rFont val="宋体"/>
        <family val="3"/>
        <charset val="134"/>
      </rPr>
      <t>5</t>
    </r>
    <phoneticPr fontId="5" type="noConversion"/>
  </si>
  <si>
    <t>2019.11.5</t>
    <phoneticPr fontId="5" type="noConversion"/>
  </si>
  <si>
    <r>
      <t>2020.11.</t>
    </r>
    <r>
      <rPr>
        <sz val="10"/>
        <rFont val="宋体"/>
        <family val="3"/>
        <charset val="134"/>
      </rPr>
      <t>0</t>
    </r>
    <r>
      <rPr>
        <sz val="10"/>
        <rFont val="宋体"/>
        <family val="3"/>
        <charset val="134"/>
      </rPr>
      <t>5</t>
    </r>
    <phoneticPr fontId="5" type="noConversion"/>
  </si>
  <si>
    <t>北京配天技术有限公司</t>
    <phoneticPr fontId="5" type="noConversion"/>
  </si>
  <si>
    <t>(2015)年-SZCM2015201</t>
    <phoneticPr fontId="5" type="noConversion"/>
  </si>
  <si>
    <t>2015.09.13</t>
    <phoneticPr fontId="5" type="noConversion"/>
  </si>
  <si>
    <t>2017.09.12</t>
    <phoneticPr fontId="5" type="noConversion"/>
  </si>
  <si>
    <t>2015.09.13-2016.09.12</t>
    <phoneticPr fontId="5" type="noConversion"/>
  </si>
  <si>
    <r>
      <t>3、6、9、12</t>
    </r>
    <r>
      <rPr>
        <sz val="10"/>
        <color indexed="8"/>
        <rFont val="宋体"/>
        <family val="3"/>
        <charset val="134"/>
      </rPr>
      <t>月交租</t>
    </r>
    <phoneticPr fontId="5" type="noConversion"/>
  </si>
  <si>
    <t>2013.07.27</t>
    <phoneticPr fontId="5" type="noConversion"/>
  </si>
  <si>
    <t>2016.09.13-2017.09.12</t>
    <phoneticPr fontId="5" type="noConversion"/>
  </si>
  <si>
    <t>北京微创空间科技孵化器有限公司</t>
    <phoneticPr fontId="5" type="noConversion"/>
  </si>
  <si>
    <t>(2015)年-SZCM2015202</t>
    <phoneticPr fontId="5" type="noConversion"/>
  </si>
  <si>
    <t>2015.09.01</t>
    <phoneticPr fontId="5" type="noConversion"/>
  </si>
  <si>
    <r>
      <t>2020.0</t>
    </r>
    <r>
      <rPr>
        <sz val="10"/>
        <rFont val="宋体"/>
        <family val="3"/>
        <charset val="134"/>
      </rPr>
      <t>8.31</t>
    </r>
    <phoneticPr fontId="5" type="noConversion"/>
  </si>
  <si>
    <t>2015.09.01-2017.08.31</t>
    <phoneticPr fontId="5" type="noConversion"/>
  </si>
  <si>
    <t>2015.03.01</t>
    <phoneticPr fontId="5" type="noConversion"/>
  </si>
  <si>
    <t>2015.06.01-2015.8.31</t>
    <phoneticPr fontId="5" type="noConversion"/>
  </si>
  <si>
    <t>2017.09.01-2020.8.31</t>
    <phoneticPr fontId="5" type="noConversion"/>
  </si>
  <si>
    <t>3、9月交租</t>
    <phoneticPr fontId="5" type="noConversion"/>
  </si>
  <si>
    <t>北京农村商业银行股份有限公司海淀新区支行</t>
    <phoneticPr fontId="5" type="noConversion"/>
  </si>
  <si>
    <t>2015.11.15</t>
    <phoneticPr fontId="5" type="noConversion"/>
  </si>
  <si>
    <t>2016.11.14</t>
    <phoneticPr fontId="5" type="noConversion"/>
  </si>
  <si>
    <t>付六</t>
    <phoneticPr fontId="5" type="noConversion"/>
  </si>
  <si>
    <t>2015.11.15-2016.11.14</t>
    <phoneticPr fontId="5" type="noConversion"/>
  </si>
  <si>
    <t>5、12月交费</t>
    <phoneticPr fontId="5" type="noConversion"/>
  </si>
  <si>
    <t>2015.09.06</t>
    <phoneticPr fontId="5" type="noConversion"/>
  </si>
  <si>
    <t>北京通元动力软件技术有限责任公司</t>
    <phoneticPr fontId="5" type="noConversion"/>
  </si>
  <si>
    <t>(2015)年-SZCM2015206</t>
    <phoneticPr fontId="5" type="noConversion"/>
  </si>
  <si>
    <t>2015.04.09</t>
    <phoneticPr fontId="5" type="noConversion"/>
  </si>
  <si>
    <t>2017.04.08</t>
    <phoneticPr fontId="5" type="noConversion"/>
  </si>
  <si>
    <t>2015.04.09-2016.04.08</t>
    <phoneticPr fontId="5" type="noConversion"/>
  </si>
  <si>
    <t>2015.03.09</t>
    <phoneticPr fontId="5" type="noConversion"/>
  </si>
  <si>
    <t>2015.03.25-2015.04.28</t>
    <phoneticPr fontId="5" type="noConversion"/>
  </si>
  <si>
    <t>2016.04.09-2017.04.08</t>
    <phoneticPr fontId="5" type="noConversion"/>
  </si>
  <si>
    <t>亚顿时代（北京）科技有限公司</t>
    <phoneticPr fontId="5" type="noConversion"/>
  </si>
  <si>
    <t>(2014)年Z-FHQ2014208</t>
    <phoneticPr fontId="5" type="noConversion"/>
  </si>
  <si>
    <t>2014.07.15</t>
    <phoneticPr fontId="5" type="noConversion"/>
  </si>
  <si>
    <t>2016.07.14</t>
    <phoneticPr fontId="5" type="noConversion"/>
  </si>
  <si>
    <t>2014.07.15-2015.07.14</t>
    <phoneticPr fontId="5" type="noConversion"/>
  </si>
  <si>
    <t>1、7月交租</t>
    <phoneticPr fontId="5" type="noConversion"/>
  </si>
  <si>
    <t>2014.06.30</t>
    <phoneticPr fontId="5" type="noConversion"/>
  </si>
  <si>
    <t>2016.07.14-2017.07.14</t>
    <phoneticPr fontId="5" type="noConversion"/>
  </si>
  <si>
    <t>(2015)年-SZCM2015217</t>
    <phoneticPr fontId="5" type="noConversion"/>
  </si>
  <si>
    <t>2015.04.16</t>
    <phoneticPr fontId="5" type="noConversion"/>
  </si>
  <si>
    <r>
      <t>2015.04.16-201</t>
    </r>
    <r>
      <rPr>
        <sz val="10"/>
        <rFont val="宋体"/>
        <family val="3"/>
        <charset val="134"/>
      </rPr>
      <t>6</t>
    </r>
    <r>
      <rPr>
        <sz val="10"/>
        <rFont val="宋体"/>
        <family val="3"/>
        <charset val="134"/>
      </rPr>
      <t>.04.15</t>
    </r>
    <phoneticPr fontId="5" type="noConversion"/>
  </si>
  <si>
    <t>2015.03.30</t>
    <phoneticPr fontId="5" type="noConversion"/>
  </si>
  <si>
    <t>2015.04.01-2015.04.15</t>
    <phoneticPr fontId="5" type="noConversion"/>
  </si>
  <si>
    <r>
      <t>201</t>
    </r>
    <r>
      <rPr>
        <sz val="10"/>
        <rFont val="宋体"/>
        <family val="3"/>
        <charset val="134"/>
      </rPr>
      <t>6</t>
    </r>
    <r>
      <rPr>
        <sz val="10"/>
        <rFont val="宋体"/>
        <family val="3"/>
        <charset val="134"/>
      </rPr>
      <t>.04.16-2017.07.15</t>
    </r>
    <phoneticPr fontId="5" type="noConversion"/>
  </si>
  <si>
    <t>2017.07.16-2017.09.12</t>
    <phoneticPr fontId="5" type="noConversion"/>
  </si>
  <si>
    <t>深圳市海威思科技有限公司</t>
    <phoneticPr fontId="5" type="noConversion"/>
  </si>
  <si>
    <t>（2015）年-SZCM2015218</t>
    <phoneticPr fontId="5" type="noConversion"/>
  </si>
  <si>
    <t>2015.05.30</t>
    <phoneticPr fontId="5" type="noConversion"/>
  </si>
  <si>
    <t>2017.05.29</t>
    <phoneticPr fontId="5" type="noConversion"/>
  </si>
  <si>
    <t>2015.05.30-2017.05.29</t>
    <phoneticPr fontId="5" type="noConversion"/>
  </si>
  <si>
    <t>2015.05.20</t>
    <phoneticPr fontId="5" type="noConversion"/>
  </si>
  <si>
    <t>2015.05.20-2015.05.29</t>
    <phoneticPr fontId="5" type="noConversion"/>
  </si>
  <si>
    <t>北京青果时代教育科技有限公司</t>
    <phoneticPr fontId="5" type="noConversion"/>
  </si>
  <si>
    <t>(2015)年-SZCM2015301</t>
    <phoneticPr fontId="5" type="noConversion"/>
  </si>
  <si>
    <t>2015.06.16</t>
    <phoneticPr fontId="5" type="noConversion"/>
  </si>
  <si>
    <t>2016.06.15</t>
    <phoneticPr fontId="5" type="noConversion"/>
  </si>
  <si>
    <t>2015.06.16-2016.06.15</t>
    <phoneticPr fontId="5" type="noConversion"/>
  </si>
  <si>
    <t>6、12月交租</t>
    <phoneticPr fontId="5" type="noConversion"/>
  </si>
  <si>
    <r>
      <t>2015.</t>
    </r>
    <r>
      <rPr>
        <sz val="10"/>
        <color indexed="8"/>
        <rFont val="宋体"/>
        <family val="3"/>
        <charset val="134"/>
      </rPr>
      <t>0</t>
    </r>
    <r>
      <rPr>
        <sz val="10"/>
        <color indexed="8"/>
        <rFont val="宋体"/>
        <family val="3"/>
        <charset val="134"/>
      </rPr>
      <t>6.11</t>
    </r>
    <phoneticPr fontId="5" type="noConversion"/>
  </si>
  <si>
    <t>联想（北京）有限公司</t>
    <phoneticPr fontId="5" type="noConversion"/>
  </si>
  <si>
    <t>(2016)年-SZCM2016303</t>
    <phoneticPr fontId="5" type="noConversion"/>
  </si>
  <si>
    <t>2016.03.15</t>
    <phoneticPr fontId="5" type="noConversion"/>
  </si>
  <si>
    <t>2017.03.14</t>
    <phoneticPr fontId="5" type="noConversion"/>
  </si>
  <si>
    <t>2016.03.15-2017.03.14</t>
    <phoneticPr fontId="5" type="noConversion"/>
  </si>
  <si>
    <t>2016.2.29-2016.03.14</t>
    <phoneticPr fontId="5" type="noConversion"/>
  </si>
  <si>
    <t>北京谊和万星科技有限公司</t>
    <phoneticPr fontId="5" type="noConversion"/>
  </si>
  <si>
    <t>(2015)年-SZCM2015305</t>
    <phoneticPr fontId="5" type="noConversion"/>
  </si>
  <si>
    <r>
      <t>2015.0</t>
    </r>
    <r>
      <rPr>
        <sz val="10"/>
        <color indexed="8"/>
        <rFont val="宋体"/>
        <family val="3"/>
        <charset val="134"/>
      </rPr>
      <t>9</t>
    </r>
    <r>
      <rPr>
        <sz val="10"/>
        <color indexed="8"/>
        <rFont val="宋体"/>
        <family val="3"/>
        <charset val="134"/>
      </rPr>
      <t>.2</t>
    </r>
    <r>
      <rPr>
        <sz val="10"/>
        <color indexed="8"/>
        <rFont val="宋体"/>
        <family val="3"/>
        <charset val="134"/>
      </rPr>
      <t>0</t>
    </r>
    <phoneticPr fontId="5" type="noConversion"/>
  </si>
  <si>
    <r>
      <t>2016.0</t>
    </r>
    <r>
      <rPr>
        <sz val="10"/>
        <rFont val="宋体"/>
        <family val="3"/>
        <charset val="134"/>
      </rPr>
      <t>9</t>
    </r>
    <r>
      <rPr>
        <sz val="10"/>
        <rFont val="宋体"/>
        <family val="3"/>
        <charset val="134"/>
      </rPr>
      <t>.</t>
    </r>
    <r>
      <rPr>
        <sz val="10"/>
        <rFont val="宋体"/>
        <family val="3"/>
        <charset val="134"/>
      </rPr>
      <t>19</t>
    </r>
    <phoneticPr fontId="5" type="noConversion"/>
  </si>
  <si>
    <r>
      <t>2015.0</t>
    </r>
    <r>
      <rPr>
        <sz val="10"/>
        <color indexed="8"/>
        <rFont val="宋体"/>
        <family val="3"/>
        <charset val="134"/>
      </rPr>
      <t>9</t>
    </r>
    <r>
      <rPr>
        <sz val="10"/>
        <color indexed="8"/>
        <rFont val="宋体"/>
        <family val="3"/>
        <charset val="134"/>
      </rPr>
      <t>.2</t>
    </r>
    <r>
      <rPr>
        <sz val="10"/>
        <color indexed="8"/>
        <rFont val="宋体"/>
        <family val="3"/>
        <charset val="134"/>
      </rPr>
      <t>0</t>
    </r>
    <r>
      <rPr>
        <sz val="10"/>
        <color indexed="8"/>
        <rFont val="宋体"/>
        <family val="3"/>
        <charset val="134"/>
      </rPr>
      <t>-2016.0</t>
    </r>
    <r>
      <rPr>
        <sz val="10"/>
        <color indexed="8"/>
        <rFont val="宋体"/>
        <family val="3"/>
        <charset val="134"/>
      </rPr>
      <t>9</t>
    </r>
    <r>
      <rPr>
        <sz val="10"/>
        <color indexed="8"/>
        <rFont val="宋体"/>
        <family val="3"/>
        <charset val="134"/>
      </rPr>
      <t>.</t>
    </r>
    <r>
      <rPr>
        <sz val="10"/>
        <color indexed="8"/>
        <rFont val="宋体"/>
        <family val="3"/>
        <charset val="134"/>
      </rPr>
      <t>19</t>
    </r>
    <phoneticPr fontId="5" type="noConversion"/>
  </si>
  <si>
    <t>3、6、9、12月交租</t>
    <phoneticPr fontId="5" type="noConversion"/>
  </si>
  <si>
    <r>
      <t>2015.</t>
    </r>
    <r>
      <rPr>
        <sz val="10"/>
        <color indexed="8"/>
        <rFont val="宋体"/>
        <family val="3"/>
        <charset val="134"/>
      </rPr>
      <t>09.08</t>
    </r>
    <phoneticPr fontId="5" type="noConversion"/>
  </si>
  <si>
    <t>2015.04.17-2105.04.26</t>
    <phoneticPr fontId="5" type="noConversion"/>
  </si>
  <si>
    <t>北京佳沃志合科技有限公司</t>
    <phoneticPr fontId="5" type="noConversion"/>
  </si>
  <si>
    <t>(2015)年-SZCM2015306</t>
    <phoneticPr fontId="5" type="noConversion"/>
  </si>
  <si>
    <t>2017.01.14</t>
    <phoneticPr fontId="5" type="noConversion"/>
  </si>
  <si>
    <t>2015.12.15-2017.01.14</t>
    <phoneticPr fontId="5" type="noConversion"/>
  </si>
  <si>
    <t>2016.12.15-2017.01.14</t>
    <phoneticPr fontId="5" type="noConversion"/>
  </si>
  <si>
    <t>北京卓允慧通科技有限公司</t>
    <phoneticPr fontId="5" type="noConversion"/>
  </si>
  <si>
    <t>(2016)年-SZCM2016307</t>
    <phoneticPr fontId="5" type="noConversion"/>
  </si>
  <si>
    <t>2016.04.04</t>
    <phoneticPr fontId="5" type="noConversion"/>
  </si>
  <si>
    <t>2017.04.03</t>
    <phoneticPr fontId="5" type="noConversion"/>
  </si>
  <si>
    <t>2016.04.04-2017.04.03</t>
    <phoneticPr fontId="5" type="noConversion"/>
  </si>
  <si>
    <t>2016.02.25</t>
    <phoneticPr fontId="5" type="noConversion"/>
  </si>
  <si>
    <t>北京同城必应科技有限公司</t>
    <phoneticPr fontId="5" type="noConversion"/>
  </si>
  <si>
    <t>(2015)年-SZCM2015308</t>
    <phoneticPr fontId="5" type="noConversion"/>
  </si>
  <si>
    <t>2016.01.01</t>
    <phoneticPr fontId="5" type="noConversion"/>
  </si>
  <si>
    <t>2016.12.31</t>
    <phoneticPr fontId="5" type="noConversion"/>
  </si>
  <si>
    <t>2015.08.15-2016.12.31</t>
    <phoneticPr fontId="5" type="noConversion"/>
  </si>
  <si>
    <t>2015.11.19</t>
    <phoneticPr fontId="5" type="noConversion"/>
  </si>
  <si>
    <t>2015.12.15-2015.12.31</t>
    <phoneticPr fontId="5" type="noConversion"/>
  </si>
  <si>
    <t>北京巅峰网络互动科技有限公司</t>
    <phoneticPr fontId="5" type="noConversion"/>
  </si>
  <si>
    <t>(2016)年-SZCM2016312</t>
    <phoneticPr fontId="5" type="noConversion"/>
  </si>
  <si>
    <t>2016.02.22</t>
    <phoneticPr fontId="5" type="noConversion"/>
  </si>
  <si>
    <t>2017.02.21</t>
    <phoneticPr fontId="5" type="noConversion"/>
  </si>
  <si>
    <t>2016.02.22-2017.02.21</t>
    <phoneticPr fontId="5" type="noConversion"/>
  </si>
  <si>
    <t>2016.01.28</t>
    <phoneticPr fontId="5" type="noConversion"/>
  </si>
  <si>
    <t>2016.01.30-2016.02.21</t>
    <phoneticPr fontId="5" type="noConversion"/>
  </si>
  <si>
    <t>北京丰尔科技有限公司</t>
    <phoneticPr fontId="5" type="noConversion"/>
  </si>
  <si>
    <t>(2016)年-SZCM2016315</t>
    <phoneticPr fontId="5" type="noConversion"/>
  </si>
  <si>
    <t>2016.03.22</t>
    <phoneticPr fontId="5" type="noConversion"/>
  </si>
  <si>
    <t>2017.03.21</t>
    <phoneticPr fontId="5" type="noConversion"/>
  </si>
  <si>
    <t>2016.03.22-2017.03.21</t>
    <phoneticPr fontId="5" type="noConversion"/>
  </si>
  <si>
    <t>2016.03.04</t>
    <phoneticPr fontId="5" type="noConversion"/>
  </si>
  <si>
    <t>2016.03.07-2016.03.21</t>
    <phoneticPr fontId="5" type="noConversion"/>
  </si>
  <si>
    <t>上海星红桉数据科技有限公司</t>
    <phoneticPr fontId="5" type="noConversion"/>
  </si>
  <si>
    <t>（2016）年-SZCM2016317</t>
    <phoneticPr fontId="5" type="noConversion"/>
  </si>
  <si>
    <t>2016.03.21</t>
    <phoneticPr fontId="5" type="noConversion"/>
  </si>
  <si>
    <t>2018.03.20</t>
    <phoneticPr fontId="5" type="noConversion"/>
  </si>
  <si>
    <r>
      <t>2016.03.21-201</t>
    </r>
    <r>
      <rPr>
        <sz val="10"/>
        <color indexed="8"/>
        <rFont val="宋体"/>
        <family val="3"/>
        <charset val="134"/>
      </rPr>
      <t>7</t>
    </r>
    <r>
      <rPr>
        <sz val="10"/>
        <color indexed="8"/>
        <rFont val="宋体"/>
        <family val="3"/>
        <charset val="134"/>
      </rPr>
      <t>.03.20</t>
    </r>
    <phoneticPr fontId="5" type="noConversion"/>
  </si>
  <si>
    <t>2016.03.14-2016.03.20</t>
    <phoneticPr fontId="5" type="noConversion"/>
  </si>
  <si>
    <r>
      <t>2017.03.21-2018</t>
    </r>
    <r>
      <rPr>
        <sz val="10"/>
        <color indexed="8"/>
        <rFont val="宋体"/>
        <family val="3"/>
        <charset val="134"/>
      </rPr>
      <t>.03.2</t>
    </r>
    <r>
      <rPr>
        <sz val="10"/>
        <color indexed="8"/>
        <rFont val="宋体"/>
        <family val="3"/>
        <charset val="134"/>
      </rPr>
      <t>0</t>
    </r>
    <phoneticPr fontId="5" type="noConversion"/>
  </si>
  <si>
    <t>微鹏商贸（深圳）有限公司</t>
    <phoneticPr fontId="5" type="noConversion"/>
  </si>
  <si>
    <t>（2015）年-SZCM2015319</t>
  </si>
  <si>
    <t>2015.08.09</t>
    <phoneticPr fontId="5" type="noConversion"/>
  </si>
  <si>
    <t>2016.08.08</t>
    <phoneticPr fontId="5" type="noConversion"/>
  </si>
  <si>
    <t>2015.08.09-2016.08.08</t>
    <phoneticPr fontId="5" type="noConversion"/>
  </si>
  <si>
    <t>2、8月交租</t>
    <phoneticPr fontId="5" type="noConversion"/>
  </si>
  <si>
    <t>2015.07.02</t>
    <phoneticPr fontId="5" type="noConversion"/>
  </si>
  <si>
    <t>北京鼎天长鑫计算机数据设备有限公司</t>
    <phoneticPr fontId="5" type="noConversion"/>
  </si>
  <si>
    <t>(2016)年-SZCM2016320</t>
    <phoneticPr fontId="5" type="noConversion"/>
  </si>
  <si>
    <t>2017.03.20</t>
    <phoneticPr fontId="5" type="noConversion"/>
  </si>
  <si>
    <t>2016.03.21-2017.03.20</t>
    <phoneticPr fontId="5" type="noConversion"/>
  </si>
  <si>
    <t>2016.01.29</t>
    <phoneticPr fontId="5" type="noConversion"/>
  </si>
  <si>
    <t>广济惠达投资管理（天津）有限公司</t>
    <phoneticPr fontId="5" type="noConversion"/>
  </si>
  <si>
    <t>（2015）年-SZCM2015321</t>
    <phoneticPr fontId="5" type="noConversion"/>
  </si>
  <si>
    <t>2015.08.24</t>
    <phoneticPr fontId="5" type="noConversion"/>
  </si>
  <si>
    <t>2016.08.23</t>
    <phoneticPr fontId="5" type="noConversion"/>
  </si>
  <si>
    <t>2015.08.24-2016.08.23</t>
    <phoneticPr fontId="5" type="noConversion"/>
  </si>
  <si>
    <r>
      <t>2、5、8、1</t>
    </r>
    <r>
      <rPr>
        <sz val="10"/>
        <color indexed="8"/>
        <rFont val="宋体"/>
        <family val="3"/>
        <charset val="134"/>
      </rPr>
      <t>1</t>
    </r>
    <r>
      <rPr>
        <sz val="10"/>
        <color indexed="8"/>
        <rFont val="宋体"/>
        <family val="3"/>
        <charset val="134"/>
      </rPr>
      <t>月交租</t>
    </r>
    <phoneticPr fontId="5" type="noConversion"/>
  </si>
  <si>
    <t>2015.8.12</t>
    <phoneticPr fontId="5" type="noConversion"/>
  </si>
  <si>
    <t>2015.8.14-2015.8.23</t>
    <phoneticPr fontId="5" type="noConversion"/>
  </si>
  <si>
    <t>北京鼎泰智源科技有限公司</t>
    <phoneticPr fontId="5" type="noConversion"/>
  </si>
  <si>
    <t>(2016)年-SZCM2016401</t>
    <phoneticPr fontId="5" type="noConversion"/>
  </si>
  <si>
    <t>2016.03.10</t>
    <phoneticPr fontId="5" type="noConversion"/>
  </si>
  <si>
    <t>2017.03.09</t>
    <phoneticPr fontId="5" type="noConversion"/>
  </si>
  <si>
    <t>2016.03.10-2017.03.09</t>
    <phoneticPr fontId="5" type="noConversion"/>
  </si>
  <si>
    <t>(2015)年Z-SZCM2015403</t>
    <phoneticPr fontId="5" type="noConversion"/>
  </si>
  <si>
    <t>2015.09.16</t>
    <phoneticPr fontId="5" type="noConversion"/>
  </si>
  <si>
    <t>2016.09.15</t>
    <phoneticPr fontId="5" type="noConversion"/>
  </si>
  <si>
    <t>2015.09.16-2016.09.15</t>
    <phoneticPr fontId="5" type="noConversion"/>
  </si>
  <si>
    <r>
      <t>201</t>
    </r>
    <r>
      <rPr>
        <sz val="10"/>
        <color indexed="8"/>
        <rFont val="宋体"/>
        <family val="3"/>
        <charset val="134"/>
      </rPr>
      <t>5</t>
    </r>
    <r>
      <rPr>
        <sz val="10"/>
        <color indexed="8"/>
        <rFont val="宋体"/>
        <family val="3"/>
        <charset val="134"/>
      </rPr>
      <t>.</t>
    </r>
    <r>
      <rPr>
        <sz val="10"/>
        <color indexed="8"/>
        <rFont val="宋体"/>
        <family val="3"/>
        <charset val="134"/>
      </rPr>
      <t>09.09</t>
    </r>
    <phoneticPr fontId="5" type="noConversion"/>
  </si>
  <si>
    <t>北京登海种业有限公司</t>
    <phoneticPr fontId="5" type="noConversion"/>
  </si>
  <si>
    <t>(2014)年-SZCM2015405</t>
    <phoneticPr fontId="5" type="noConversion"/>
  </si>
  <si>
    <t>2015.07.22</t>
    <phoneticPr fontId="5" type="noConversion"/>
  </si>
  <si>
    <t>2016.07.21</t>
    <phoneticPr fontId="5" type="noConversion"/>
  </si>
  <si>
    <t>2015.07.22-2016.07.21</t>
    <phoneticPr fontId="5" type="noConversion"/>
  </si>
  <si>
    <t>2015.06.03</t>
    <phoneticPr fontId="5" type="noConversion"/>
  </si>
  <si>
    <t>北京盈进科技有限公司</t>
    <phoneticPr fontId="5" type="noConversion"/>
  </si>
  <si>
    <t>(2013)年Z-FHQ2013406</t>
    <phoneticPr fontId="5" type="noConversion"/>
  </si>
  <si>
    <t>2014.01.19</t>
    <phoneticPr fontId="5" type="noConversion"/>
  </si>
  <si>
    <t>2017.01.18</t>
    <phoneticPr fontId="5" type="noConversion"/>
  </si>
  <si>
    <t>2014.01.19-2015.01.18</t>
    <phoneticPr fontId="5" type="noConversion"/>
  </si>
  <si>
    <t>2013.12.24</t>
    <phoneticPr fontId="5" type="noConversion"/>
  </si>
  <si>
    <t>2015.01.19-2016.01.18</t>
    <phoneticPr fontId="5" type="noConversion"/>
  </si>
  <si>
    <t>2016.01.19-2017.01.18</t>
    <phoneticPr fontId="5" type="noConversion"/>
  </si>
  <si>
    <t>北京西盈信息技术有限公司</t>
    <phoneticPr fontId="5" type="noConversion"/>
  </si>
  <si>
    <t>(2015)年-SZCM2015407</t>
    <phoneticPr fontId="5" type="noConversion"/>
  </si>
  <si>
    <r>
      <t>201</t>
    </r>
    <r>
      <rPr>
        <sz val="10"/>
        <color indexed="8"/>
        <rFont val="宋体"/>
        <family val="3"/>
        <charset val="134"/>
      </rPr>
      <t>6</t>
    </r>
    <r>
      <rPr>
        <sz val="10"/>
        <color indexed="8"/>
        <rFont val="宋体"/>
        <family val="3"/>
        <charset val="134"/>
      </rPr>
      <t>.01.01</t>
    </r>
    <phoneticPr fontId="5" type="noConversion"/>
  </si>
  <si>
    <r>
      <t>201</t>
    </r>
    <r>
      <rPr>
        <sz val="10"/>
        <rFont val="宋体"/>
        <family val="3"/>
        <charset val="134"/>
      </rPr>
      <t>6</t>
    </r>
    <r>
      <rPr>
        <sz val="10"/>
        <rFont val="宋体"/>
        <family val="3"/>
        <charset val="134"/>
      </rPr>
      <t>.12.31</t>
    </r>
    <phoneticPr fontId="5" type="noConversion"/>
  </si>
  <si>
    <t>2016.01.01-2016.12.31</t>
    <phoneticPr fontId="5" type="noConversion"/>
  </si>
  <si>
    <r>
      <t>2014.1</t>
    </r>
    <r>
      <rPr>
        <sz val="10"/>
        <color indexed="8"/>
        <rFont val="宋体"/>
        <family val="3"/>
        <charset val="134"/>
      </rPr>
      <t>1.26</t>
    </r>
    <phoneticPr fontId="5" type="noConversion"/>
  </si>
  <si>
    <t>北京日桥信息技术有限公司</t>
    <phoneticPr fontId="5" type="noConversion"/>
  </si>
  <si>
    <r>
      <t>(2015)年-SZCM201540</t>
    </r>
    <r>
      <rPr>
        <sz val="10"/>
        <color indexed="8"/>
        <rFont val="宋体"/>
        <family val="3"/>
        <charset val="134"/>
      </rPr>
      <t>8、411、416</t>
    </r>
    <phoneticPr fontId="5" type="noConversion"/>
  </si>
  <si>
    <r>
      <t>2</t>
    </r>
    <r>
      <rPr>
        <sz val="10"/>
        <color indexed="8"/>
        <rFont val="宋体"/>
        <family val="3"/>
        <charset val="134"/>
      </rPr>
      <t>015.12.01</t>
    </r>
    <phoneticPr fontId="5" type="noConversion"/>
  </si>
  <si>
    <r>
      <t>2</t>
    </r>
    <r>
      <rPr>
        <sz val="10"/>
        <rFont val="宋体"/>
        <family val="3"/>
        <charset val="134"/>
      </rPr>
      <t>017.11.30</t>
    </r>
    <phoneticPr fontId="5" type="noConversion"/>
  </si>
  <si>
    <r>
      <t>2</t>
    </r>
    <r>
      <rPr>
        <sz val="10"/>
        <color indexed="8"/>
        <rFont val="宋体"/>
        <family val="3"/>
        <charset val="134"/>
      </rPr>
      <t>015.12.01-2017.11.30</t>
    </r>
    <phoneticPr fontId="5" type="noConversion"/>
  </si>
  <si>
    <r>
      <t>1</t>
    </r>
    <r>
      <rPr>
        <sz val="10"/>
        <color indexed="8"/>
        <rFont val="宋体"/>
        <family val="3"/>
        <charset val="134"/>
      </rPr>
      <t>1</t>
    </r>
    <r>
      <rPr>
        <sz val="10"/>
        <color indexed="8"/>
        <rFont val="宋体"/>
        <family val="3"/>
        <charset val="134"/>
      </rPr>
      <t>月交租</t>
    </r>
    <phoneticPr fontId="5" type="noConversion"/>
  </si>
  <si>
    <r>
      <t>2</t>
    </r>
    <r>
      <rPr>
        <sz val="10"/>
        <color indexed="8"/>
        <rFont val="宋体"/>
        <family val="3"/>
        <charset val="134"/>
      </rPr>
      <t>015.10.29</t>
    </r>
    <phoneticPr fontId="5" type="noConversion"/>
  </si>
  <si>
    <t>北京博采雅集文化传媒有限公司</t>
    <phoneticPr fontId="5" type="noConversion"/>
  </si>
  <si>
    <t>（2013)年Z-FHQ2013409</t>
    <phoneticPr fontId="5" type="noConversion"/>
  </si>
  <si>
    <t>2013.11.01</t>
    <phoneticPr fontId="5" type="noConversion"/>
  </si>
  <si>
    <t>2017.10.31</t>
    <phoneticPr fontId="5" type="noConversion"/>
  </si>
  <si>
    <t>2013.11.01-2015.10.31</t>
    <phoneticPr fontId="5" type="noConversion"/>
  </si>
  <si>
    <t>2013.09.09</t>
    <phoneticPr fontId="5" type="noConversion"/>
  </si>
  <si>
    <t>2015.11.01-2017.10.31</t>
    <phoneticPr fontId="5" type="noConversion"/>
  </si>
  <si>
    <t>北京金镝互动网络科技发展有限公司</t>
    <phoneticPr fontId="5" type="noConversion"/>
  </si>
  <si>
    <t>(2015)年Z-FHQ2015410</t>
    <phoneticPr fontId="5" type="noConversion"/>
  </si>
  <si>
    <t>2015.03.26</t>
    <phoneticPr fontId="5" type="noConversion"/>
  </si>
  <si>
    <t>2016.03.25</t>
    <phoneticPr fontId="5" type="noConversion"/>
  </si>
  <si>
    <t>2015.03.26-2016.03.25</t>
    <phoneticPr fontId="5" type="noConversion"/>
  </si>
  <si>
    <t>2015.01.13</t>
    <phoneticPr fontId="5" type="noConversion"/>
  </si>
  <si>
    <t>(2013)年Z-FHQ2013415</t>
    <phoneticPr fontId="5" type="noConversion"/>
  </si>
  <si>
    <t>2013.04.01</t>
    <phoneticPr fontId="5" type="noConversion"/>
  </si>
  <si>
    <t>2016.03.31</t>
    <phoneticPr fontId="5" type="noConversion"/>
  </si>
  <si>
    <t>2013.04.01-2014.03.31</t>
    <phoneticPr fontId="5" type="noConversion"/>
  </si>
  <si>
    <t>2012.12.18</t>
    <phoneticPr fontId="5" type="noConversion"/>
  </si>
  <si>
    <t>2014.04.01-2016.03.31</t>
    <phoneticPr fontId="5" type="noConversion"/>
  </si>
  <si>
    <t>417、402</t>
    <phoneticPr fontId="5" type="noConversion"/>
  </si>
  <si>
    <t>北京正实同创环境工程科技有限公司</t>
    <phoneticPr fontId="5" type="noConversion"/>
  </si>
  <si>
    <r>
      <t>(201</t>
    </r>
    <r>
      <rPr>
        <sz val="10"/>
        <color indexed="8"/>
        <rFont val="宋体"/>
        <family val="3"/>
        <charset val="134"/>
      </rPr>
      <t>6</t>
    </r>
    <r>
      <rPr>
        <sz val="10"/>
        <color indexed="8"/>
        <rFont val="宋体"/>
        <family val="3"/>
        <charset val="134"/>
      </rPr>
      <t>)年-SZCM201</t>
    </r>
    <r>
      <rPr>
        <sz val="10"/>
        <color indexed="8"/>
        <rFont val="宋体"/>
        <family val="3"/>
        <charset val="134"/>
      </rPr>
      <t>6</t>
    </r>
    <r>
      <rPr>
        <sz val="10"/>
        <color indexed="8"/>
        <rFont val="宋体"/>
        <family val="3"/>
        <charset val="134"/>
      </rPr>
      <t>417、402</t>
    </r>
    <phoneticPr fontId="5" type="noConversion"/>
  </si>
  <si>
    <r>
      <t>201</t>
    </r>
    <r>
      <rPr>
        <sz val="10"/>
        <color indexed="8"/>
        <rFont val="宋体"/>
        <family val="3"/>
        <charset val="134"/>
      </rPr>
      <t>6</t>
    </r>
    <r>
      <rPr>
        <sz val="10"/>
        <color indexed="8"/>
        <rFont val="宋体"/>
        <family val="3"/>
        <charset val="134"/>
      </rPr>
      <t>.04.09</t>
    </r>
    <phoneticPr fontId="5" type="noConversion"/>
  </si>
  <si>
    <r>
      <t>201</t>
    </r>
    <r>
      <rPr>
        <sz val="10"/>
        <rFont val="宋体"/>
        <family val="3"/>
        <charset val="134"/>
      </rPr>
      <t>7</t>
    </r>
    <r>
      <rPr>
        <sz val="10"/>
        <rFont val="宋体"/>
        <family val="3"/>
        <charset val="134"/>
      </rPr>
      <t>.04.08</t>
    </r>
    <phoneticPr fontId="5" type="noConversion"/>
  </si>
  <si>
    <r>
      <t>201</t>
    </r>
    <r>
      <rPr>
        <sz val="10"/>
        <color indexed="8"/>
        <rFont val="宋体"/>
        <family val="3"/>
        <charset val="134"/>
      </rPr>
      <t>6</t>
    </r>
    <r>
      <rPr>
        <sz val="10"/>
        <color indexed="8"/>
        <rFont val="宋体"/>
        <family val="3"/>
        <charset val="134"/>
      </rPr>
      <t>.04.09-201</t>
    </r>
    <r>
      <rPr>
        <sz val="10"/>
        <color indexed="8"/>
        <rFont val="宋体"/>
        <family val="3"/>
        <charset val="134"/>
      </rPr>
      <t>7</t>
    </r>
    <r>
      <rPr>
        <sz val="10"/>
        <color indexed="8"/>
        <rFont val="宋体"/>
        <family val="3"/>
        <charset val="134"/>
      </rPr>
      <t>.04.08</t>
    </r>
    <phoneticPr fontId="5" type="noConversion"/>
  </si>
  <si>
    <r>
      <t>201</t>
    </r>
    <r>
      <rPr>
        <sz val="10"/>
        <color indexed="8"/>
        <rFont val="宋体"/>
        <family val="3"/>
        <charset val="134"/>
      </rPr>
      <t>61</t>
    </r>
    <r>
      <rPr>
        <sz val="10"/>
        <color indexed="8"/>
        <rFont val="宋体"/>
        <family val="3"/>
        <charset val="134"/>
      </rPr>
      <t>.0</t>
    </r>
    <r>
      <rPr>
        <sz val="10"/>
        <color indexed="8"/>
        <rFont val="宋体"/>
        <family val="3"/>
        <charset val="134"/>
      </rPr>
      <t>2</t>
    </r>
    <r>
      <rPr>
        <sz val="10"/>
        <color indexed="8"/>
        <rFont val="宋体"/>
        <family val="3"/>
        <charset val="134"/>
      </rPr>
      <t>.</t>
    </r>
    <r>
      <rPr>
        <sz val="10"/>
        <color indexed="8"/>
        <rFont val="宋体"/>
        <family val="3"/>
        <charset val="134"/>
      </rPr>
      <t>25</t>
    </r>
    <phoneticPr fontId="5" type="noConversion"/>
  </si>
  <si>
    <t>2015.03.25-2015.04.08</t>
    <phoneticPr fontId="5" type="noConversion"/>
  </si>
  <si>
    <t>北京古林航空票务有限责任公司</t>
    <phoneticPr fontId="5" type="noConversion"/>
  </si>
  <si>
    <t>(2015)年Z-FHQ2015418</t>
    <phoneticPr fontId="5" type="noConversion"/>
  </si>
  <si>
    <t>2017.03.24</t>
    <phoneticPr fontId="5" type="noConversion"/>
  </si>
  <si>
    <t>2016.03.25-2017.03.24</t>
    <phoneticPr fontId="5" type="noConversion"/>
  </si>
  <si>
    <t>3月交租</t>
    <phoneticPr fontId="5" type="noConversion"/>
  </si>
  <si>
    <t>2016.02.04</t>
    <phoneticPr fontId="5" type="noConversion"/>
  </si>
  <si>
    <t>北京炎黄盈动科技发展有限责任公司</t>
    <phoneticPr fontId="5" type="noConversion"/>
  </si>
  <si>
    <t>(2016)年Z-FHQ2016501</t>
    <phoneticPr fontId="5" type="noConversion"/>
  </si>
  <si>
    <t>2016.02.20</t>
    <phoneticPr fontId="5" type="noConversion"/>
  </si>
  <si>
    <t>2017.02.19</t>
    <phoneticPr fontId="5" type="noConversion"/>
  </si>
  <si>
    <t>2016.02.20-2017.02.19</t>
    <phoneticPr fontId="5" type="noConversion"/>
  </si>
  <si>
    <t>2016.02.03</t>
    <phoneticPr fontId="5" type="noConversion"/>
  </si>
  <si>
    <t>北京宇音天下科技有限公司</t>
    <phoneticPr fontId="5" type="noConversion"/>
  </si>
  <si>
    <r>
      <t>（2015）年-SZCM2015</t>
    </r>
    <r>
      <rPr>
        <sz val="10"/>
        <color indexed="8"/>
        <rFont val="宋体"/>
        <family val="3"/>
        <charset val="134"/>
      </rPr>
      <t>503</t>
    </r>
    <phoneticPr fontId="5" type="noConversion"/>
  </si>
  <si>
    <r>
      <t>2</t>
    </r>
    <r>
      <rPr>
        <sz val="10"/>
        <color indexed="8"/>
        <rFont val="宋体"/>
        <family val="3"/>
        <charset val="134"/>
      </rPr>
      <t>015.12.24</t>
    </r>
    <phoneticPr fontId="5" type="noConversion"/>
  </si>
  <si>
    <r>
      <t>2017.0</t>
    </r>
    <r>
      <rPr>
        <sz val="10"/>
        <rFont val="宋体"/>
        <family val="3"/>
        <charset val="134"/>
      </rPr>
      <t>1.07</t>
    </r>
    <phoneticPr fontId="5" type="noConversion"/>
  </si>
  <si>
    <r>
      <t>2015.</t>
    </r>
    <r>
      <rPr>
        <sz val="10"/>
        <color indexed="8"/>
        <rFont val="宋体"/>
        <family val="3"/>
        <charset val="134"/>
      </rPr>
      <t>12.24</t>
    </r>
    <r>
      <rPr>
        <sz val="10"/>
        <color indexed="8"/>
        <rFont val="宋体"/>
        <family val="3"/>
        <charset val="134"/>
      </rPr>
      <t>-2017.0</t>
    </r>
    <r>
      <rPr>
        <sz val="10"/>
        <color indexed="8"/>
        <rFont val="宋体"/>
        <family val="3"/>
        <charset val="134"/>
      </rPr>
      <t>1</t>
    </r>
    <r>
      <rPr>
        <sz val="10"/>
        <color indexed="8"/>
        <rFont val="宋体"/>
        <family val="3"/>
        <charset val="134"/>
      </rPr>
      <t>.</t>
    </r>
    <r>
      <rPr>
        <sz val="10"/>
        <color indexed="8"/>
        <rFont val="宋体"/>
        <family val="3"/>
        <charset val="134"/>
      </rPr>
      <t>07</t>
    </r>
    <phoneticPr fontId="5" type="noConversion"/>
  </si>
  <si>
    <r>
      <t>2</t>
    </r>
    <r>
      <rPr>
        <sz val="10"/>
        <color indexed="8"/>
        <rFont val="宋体"/>
        <family val="3"/>
        <charset val="134"/>
      </rPr>
      <t>016.12.25-2017.01.07</t>
    </r>
    <phoneticPr fontId="5" type="noConversion"/>
  </si>
  <si>
    <t>珠海宇音天下科技有限公司</t>
    <phoneticPr fontId="5" type="noConversion"/>
  </si>
  <si>
    <r>
      <t>（2015）年-SZCM2015</t>
    </r>
    <r>
      <rPr>
        <sz val="10"/>
        <color indexed="8"/>
        <rFont val="宋体"/>
        <family val="3"/>
        <charset val="134"/>
      </rPr>
      <t>514</t>
    </r>
    <phoneticPr fontId="5" type="noConversion"/>
  </si>
  <si>
    <t>2016.12.25-2017.01.07</t>
    <phoneticPr fontId="5" type="noConversion"/>
  </si>
  <si>
    <t>元通世纪国际贸易（北京）有限公司</t>
  </si>
  <si>
    <r>
      <t>（2</t>
    </r>
    <r>
      <rPr>
        <sz val="10"/>
        <color indexed="8"/>
        <rFont val="宋体"/>
        <family val="3"/>
        <charset val="134"/>
      </rPr>
      <t>015）年-SZCM2015504</t>
    </r>
    <phoneticPr fontId="5" type="noConversion"/>
  </si>
  <si>
    <r>
      <t>2015.</t>
    </r>
    <r>
      <rPr>
        <sz val="10"/>
        <color indexed="8"/>
        <rFont val="宋体"/>
        <family val="3"/>
        <charset val="134"/>
      </rPr>
      <t>0</t>
    </r>
    <r>
      <rPr>
        <sz val="10"/>
        <color indexed="8"/>
        <rFont val="宋体"/>
        <family val="3"/>
        <charset val="134"/>
      </rPr>
      <t>5.25</t>
    </r>
    <phoneticPr fontId="5" type="noConversion"/>
  </si>
  <si>
    <r>
      <t>2017.</t>
    </r>
    <r>
      <rPr>
        <sz val="10"/>
        <rFont val="宋体"/>
        <family val="3"/>
        <charset val="134"/>
      </rPr>
      <t>0</t>
    </r>
    <r>
      <rPr>
        <sz val="10"/>
        <rFont val="宋体"/>
        <family val="3"/>
        <charset val="134"/>
      </rPr>
      <t>5.24</t>
    </r>
    <phoneticPr fontId="5" type="noConversion"/>
  </si>
  <si>
    <t>2015.05.25-2017.05.24</t>
    <phoneticPr fontId="5" type="noConversion"/>
  </si>
  <si>
    <r>
      <t>5、</t>
    </r>
    <r>
      <rPr>
        <sz val="10"/>
        <color indexed="8"/>
        <rFont val="宋体"/>
        <family val="3"/>
        <charset val="134"/>
      </rPr>
      <t>8、11月交租</t>
    </r>
    <phoneticPr fontId="5" type="noConversion"/>
  </si>
  <si>
    <r>
      <t>2015.</t>
    </r>
    <r>
      <rPr>
        <sz val="10"/>
        <color indexed="8"/>
        <rFont val="宋体"/>
        <family val="3"/>
        <charset val="134"/>
      </rPr>
      <t>0</t>
    </r>
    <r>
      <rPr>
        <sz val="10"/>
        <color indexed="8"/>
        <rFont val="宋体"/>
        <family val="3"/>
        <charset val="134"/>
      </rPr>
      <t>4.30</t>
    </r>
    <phoneticPr fontId="5" type="noConversion"/>
  </si>
  <si>
    <t>2015.05.04-2015.05.24</t>
    <phoneticPr fontId="5" type="noConversion"/>
  </si>
  <si>
    <t>北京艾迪云思科技有限责任公司</t>
    <phoneticPr fontId="5" type="noConversion"/>
  </si>
  <si>
    <t>(2015)年Z-FHQ2015505</t>
    <phoneticPr fontId="5" type="noConversion"/>
  </si>
  <si>
    <t>2015.07.23</t>
    <phoneticPr fontId="5" type="noConversion"/>
  </si>
  <si>
    <t>2016.07.22</t>
    <phoneticPr fontId="5" type="noConversion"/>
  </si>
  <si>
    <t>2015.07.23-2016.07.22</t>
    <phoneticPr fontId="5" type="noConversion"/>
  </si>
  <si>
    <t>2015.04.10</t>
    <phoneticPr fontId="5" type="noConversion"/>
  </si>
  <si>
    <t>美迪信达（北京）医疗器械有限公司</t>
    <phoneticPr fontId="5" type="noConversion"/>
  </si>
  <si>
    <t>(2015)年-SZCM2015506</t>
    <phoneticPr fontId="5" type="noConversion"/>
  </si>
  <si>
    <t>北京新奥特云视科技有限公司</t>
    <phoneticPr fontId="5" type="noConversion"/>
  </si>
  <si>
    <t>(2016)年-SZCM2016507</t>
    <phoneticPr fontId="5" type="noConversion"/>
  </si>
  <si>
    <t>2018.06.09</t>
    <phoneticPr fontId="5" type="noConversion"/>
  </si>
  <si>
    <t>2016.02.25-2018.06.09</t>
    <phoneticPr fontId="5" type="noConversion"/>
  </si>
  <si>
    <t>6月交租</t>
    <phoneticPr fontId="5" type="noConversion"/>
  </si>
  <si>
    <t>2016.01.25</t>
    <phoneticPr fontId="5" type="noConversion"/>
  </si>
  <si>
    <t>2016.01.25-2016.02.24</t>
    <phoneticPr fontId="5" type="noConversion"/>
  </si>
  <si>
    <t>(2015)年-SZCM2015508</t>
    <phoneticPr fontId="5" type="noConversion"/>
  </si>
  <si>
    <t>2015.06.10</t>
    <phoneticPr fontId="5" type="noConversion"/>
  </si>
  <si>
    <t>2016.06.09</t>
    <phoneticPr fontId="5" type="noConversion"/>
  </si>
  <si>
    <t>2015.06.10-2016.06.09</t>
    <phoneticPr fontId="5" type="noConversion"/>
  </si>
  <si>
    <t>3、6、9、12月交租金</t>
    <phoneticPr fontId="5" type="noConversion"/>
  </si>
  <si>
    <t>北京锐云通信息科技有限公司</t>
    <phoneticPr fontId="5" type="noConversion"/>
  </si>
  <si>
    <t>(2015)年-SZCM2015509</t>
  </si>
  <si>
    <t>2015.9.13</t>
    <phoneticPr fontId="5" type="noConversion"/>
  </si>
  <si>
    <r>
      <t>2016.</t>
    </r>
    <r>
      <rPr>
        <sz val="10"/>
        <rFont val="宋体"/>
        <family val="3"/>
        <charset val="134"/>
      </rPr>
      <t>0</t>
    </r>
    <r>
      <rPr>
        <sz val="10"/>
        <rFont val="宋体"/>
        <family val="3"/>
        <charset val="134"/>
      </rPr>
      <t>9.12</t>
    </r>
    <phoneticPr fontId="5" type="noConversion"/>
  </si>
  <si>
    <t>2015.9.13-2016.9.12</t>
    <phoneticPr fontId="5" type="noConversion"/>
  </si>
  <si>
    <t>2015.8.28</t>
    <phoneticPr fontId="5" type="noConversion"/>
  </si>
  <si>
    <t>2015.9.6-2015.9.12</t>
    <phoneticPr fontId="5" type="noConversion"/>
  </si>
  <si>
    <t>北京众泰信安科技有限公司</t>
    <phoneticPr fontId="5" type="noConversion"/>
  </si>
  <si>
    <t>(2015)年-SZCM2015516</t>
    <phoneticPr fontId="5" type="noConversion"/>
  </si>
  <si>
    <r>
      <t>2015.</t>
    </r>
    <r>
      <rPr>
        <sz val="10"/>
        <color indexed="8"/>
        <rFont val="宋体"/>
        <family val="3"/>
        <charset val="134"/>
      </rPr>
      <t>12</t>
    </r>
    <r>
      <rPr>
        <sz val="10"/>
        <color indexed="8"/>
        <rFont val="宋体"/>
        <family val="3"/>
        <charset val="134"/>
      </rPr>
      <t>.2</t>
    </r>
    <r>
      <rPr>
        <sz val="10"/>
        <color indexed="8"/>
        <rFont val="宋体"/>
        <family val="3"/>
        <charset val="134"/>
      </rPr>
      <t>3</t>
    </r>
    <phoneticPr fontId="5" type="noConversion"/>
  </si>
  <si>
    <r>
      <t>201</t>
    </r>
    <r>
      <rPr>
        <sz val="10"/>
        <color indexed="8"/>
        <rFont val="宋体"/>
        <family val="3"/>
        <charset val="134"/>
      </rPr>
      <t>6</t>
    </r>
    <r>
      <rPr>
        <sz val="10"/>
        <color indexed="8"/>
        <rFont val="宋体"/>
        <family val="3"/>
        <charset val="134"/>
      </rPr>
      <t>.</t>
    </r>
    <r>
      <rPr>
        <sz val="10"/>
        <color indexed="8"/>
        <rFont val="宋体"/>
        <family val="3"/>
        <charset val="134"/>
      </rPr>
      <t>12</t>
    </r>
    <r>
      <rPr>
        <sz val="10"/>
        <color indexed="8"/>
        <rFont val="宋体"/>
        <family val="3"/>
        <charset val="134"/>
      </rPr>
      <t>.</t>
    </r>
    <r>
      <rPr>
        <sz val="10"/>
        <color indexed="8"/>
        <rFont val="宋体"/>
        <family val="3"/>
        <charset val="134"/>
      </rPr>
      <t>22</t>
    </r>
    <phoneticPr fontId="5" type="noConversion"/>
  </si>
  <si>
    <t>2015.07.20-2017.07.19</t>
    <phoneticPr fontId="5" type="noConversion"/>
  </si>
  <si>
    <r>
      <t>2015.</t>
    </r>
    <r>
      <rPr>
        <sz val="10"/>
        <color indexed="8"/>
        <rFont val="宋体"/>
        <family val="3"/>
        <charset val="134"/>
      </rPr>
      <t>12.9</t>
    </r>
    <phoneticPr fontId="5" type="noConversion"/>
  </si>
  <si>
    <r>
      <t>2</t>
    </r>
    <r>
      <rPr>
        <sz val="10"/>
        <color indexed="8"/>
        <rFont val="宋体"/>
        <family val="3"/>
        <charset val="134"/>
      </rPr>
      <t>015.12.9-2015.12.23</t>
    </r>
    <phoneticPr fontId="5" type="noConversion"/>
  </si>
  <si>
    <t>北京知牛科技有限公司</t>
    <phoneticPr fontId="5" type="noConversion"/>
  </si>
  <si>
    <t>(2015)年-SZCM2015518</t>
    <phoneticPr fontId="5" type="noConversion"/>
  </si>
  <si>
    <r>
      <t>2</t>
    </r>
    <r>
      <rPr>
        <sz val="10"/>
        <color indexed="8"/>
        <rFont val="宋体"/>
        <family val="3"/>
        <charset val="134"/>
      </rPr>
      <t>015.12.29</t>
    </r>
    <phoneticPr fontId="5" type="noConversion"/>
  </si>
  <si>
    <r>
      <t>2</t>
    </r>
    <r>
      <rPr>
        <sz val="10"/>
        <color indexed="8"/>
        <rFont val="宋体"/>
        <family val="3"/>
        <charset val="134"/>
      </rPr>
      <t>016.12.28</t>
    </r>
    <phoneticPr fontId="5" type="noConversion"/>
  </si>
  <si>
    <t>2015.12.29-2016.12.28</t>
    <phoneticPr fontId="5" type="noConversion"/>
  </si>
  <si>
    <r>
      <t>2</t>
    </r>
    <r>
      <rPr>
        <sz val="10"/>
        <color indexed="8"/>
        <rFont val="宋体"/>
        <family val="3"/>
        <charset val="134"/>
      </rPr>
      <t>015.12.23</t>
    </r>
    <phoneticPr fontId="5" type="noConversion"/>
  </si>
  <si>
    <r>
      <t>2</t>
    </r>
    <r>
      <rPr>
        <sz val="10"/>
        <color indexed="8"/>
        <rFont val="宋体"/>
        <family val="3"/>
        <charset val="134"/>
      </rPr>
      <t>015.12.24-2015.12.28</t>
    </r>
    <phoneticPr fontId="5" type="noConversion"/>
  </si>
  <si>
    <t>北京双诺测控技术有限公司</t>
    <phoneticPr fontId="5" type="noConversion"/>
  </si>
  <si>
    <t>(2015)年-SZCM2015601</t>
    <phoneticPr fontId="5" type="noConversion"/>
  </si>
  <si>
    <t>2015.01.27</t>
    <phoneticPr fontId="5" type="noConversion"/>
  </si>
  <si>
    <t>2017.01.26</t>
    <phoneticPr fontId="5" type="noConversion"/>
  </si>
  <si>
    <t>2015.01.27-2017.01.26</t>
    <phoneticPr fontId="5" type="noConversion"/>
  </si>
  <si>
    <t>1、4、7、10月交租金</t>
    <phoneticPr fontId="5" type="noConversion"/>
  </si>
  <si>
    <t>2015.01.12</t>
    <phoneticPr fontId="5" type="noConversion"/>
  </si>
  <si>
    <t>2015.01.12-2015.01.26</t>
    <phoneticPr fontId="5" type="noConversion"/>
  </si>
  <si>
    <t>北京华清伟业技术有限公司</t>
    <phoneticPr fontId="5" type="noConversion"/>
  </si>
  <si>
    <r>
      <t>(201</t>
    </r>
    <r>
      <rPr>
        <sz val="10"/>
        <color indexed="8"/>
        <rFont val="宋体"/>
        <family val="3"/>
        <charset val="134"/>
      </rPr>
      <t>5</t>
    </r>
    <r>
      <rPr>
        <sz val="10"/>
        <color indexed="8"/>
        <rFont val="宋体"/>
        <family val="3"/>
        <charset val="134"/>
      </rPr>
      <t>)年</t>
    </r>
    <r>
      <rPr>
        <sz val="10"/>
        <color indexed="8"/>
        <rFont val="宋体"/>
        <family val="3"/>
        <charset val="134"/>
      </rPr>
      <t>-SZCM</t>
    </r>
    <r>
      <rPr>
        <sz val="10"/>
        <color indexed="8"/>
        <rFont val="宋体"/>
        <family val="3"/>
        <charset val="134"/>
      </rPr>
      <t>201</t>
    </r>
    <r>
      <rPr>
        <sz val="10"/>
        <color indexed="8"/>
        <rFont val="宋体"/>
        <family val="3"/>
        <charset val="134"/>
      </rPr>
      <t>5</t>
    </r>
    <r>
      <rPr>
        <sz val="10"/>
        <color indexed="8"/>
        <rFont val="宋体"/>
        <family val="3"/>
        <charset val="134"/>
      </rPr>
      <t>602</t>
    </r>
    <phoneticPr fontId="5" type="noConversion"/>
  </si>
  <si>
    <r>
      <t>2015</t>
    </r>
    <r>
      <rPr>
        <sz val="10"/>
        <color indexed="8"/>
        <rFont val="宋体"/>
        <family val="3"/>
        <charset val="134"/>
      </rPr>
      <t>.07.21</t>
    </r>
    <phoneticPr fontId="5" type="noConversion"/>
  </si>
  <si>
    <r>
      <t>2016</t>
    </r>
    <r>
      <rPr>
        <sz val="10"/>
        <rFont val="宋体"/>
        <family val="3"/>
        <charset val="134"/>
      </rPr>
      <t>.07.20</t>
    </r>
    <phoneticPr fontId="5" type="noConversion"/>
  </si>
  <si>
    <t>2015.07.21-2016.07.20</t>
    <phoneticPr fontId="5" type="noConversion"/>
  </si>
  <si>
    <r>
      <t>2015.</t>
    </r>
    <r>
      <rPr>
        <sz val="10"/>
        <color indexed="8"/>
        <rFont val="宋体"/>
        <family val="3"/>
        <charset val="134"/>
      </rPr>
      <t>0</t>
    </r>
    <r>
      <rPr>
        <sz val="10"/>
        <color indexed="8"/>
        <rFont val="宋体"/>
        <family val="3"/>
        <charset val="134"/>
      </rPr>
      <t>6.</t>
    </r>
    <r>
      <rPr>
        <sz val="10"/>
        <color indexed="8"/>
        <rFont val="宋体"/>
        <family val="3"/>
        <charset val="134"/>
      </rPr>
      <t>0</t>
    </r>
    <r>
      <rPr>
        <sz val="10"/>
        <color indexed="8"/>
        <rFont val="宋体"/>
        <family val="3"/>
        <charset val="134"/>
      </rPr>
      <t>4</t>
    </r>
    <phoneticPr fontId="5" type="noConversion"/>
  </si>
  <si>
    <t>广州五舟科技股份有限公司</t>
    <phoneticPr fontId="5" type="noConversion"/>
  </si>
  <si>
    <t>(2015)年-SZCM2015603</t>
    <phoneticPr fontId="5" type="noConversion"/>
  </si>
  <si>
    <t>2015.05.16</t>
    <phoneticPr fontId="5" type="noConversion"/>
  </si>
  <si>
    <t>2017.05.15</t>
    <phoneticPr fontId="5" type="noConversion"/>
  </si>
  <si>
    <t>2015.05.16-2017.05.15</t>
    <phoneticPr fontId="5" type="noConversion"/>
  </si>
  <si>
    <t>2、5、8、11月交租金</t>
    <phoneticPr fontId="5" type="noConversion"/>
  </si>
  <si>
    <t>2015.05.07</t>
    <phoneticPr fontId="5" type="noConversion"/>
  </si>
  <si>
    <t>2015.05.08-2015.05.15</t>
    <phoneticPr fontId="5" type="noConversion"/>
  </si>
  <si>
    <t>中关村民营科技企业家协会</t>
    <phoneticPr fontId="5" type="noConversion"/>
  </si>
  <si>
    <t>(2015)年-SZCM2015605</t>
    <phoneticPr fontId="5" type="noConversion"/>
  </si>
  <si>
    <t>2015.06.02</t>
    <phoneticPr fontId="5" type="noConversion"/>
  </si>
  <si>
    <t>(2015)年-SZCM2015606</t>
    <phoneticPr fontId="5" type="noConversion"/>
  </si>
  <si>
    <t>2014.06.05</t>
    <phoneticPr fontId="5" type="noConversion"/>
  </si>
  <si>
    <t>河北台康通信技术有限公司</t>
    <phoneticPr fontId="5" type="noConversion"/>
  </si>
  <si>
    <t>(2015)年Z-SZCM2015608</t>
    <phoneticPr fontId="5" type="noConversion"/>
  </si>
  <si>
    <t>2015.07.20</t>
    <phoneticPr fontId="5" type="noConversion"/>
  </si>
  <si>
    <t>2016.07.19</t>
    <phoneticPr fontId="5" type="noConversion"/>
  </si>
  <si>
    <t>2015.07.20-2016.07.19</t>
    <phoneticPr fontId="5" type="noConversion"/>
  </si>
  <si>
    <t>2015.06.19</t>
    <phoneticPr fontId="5" type="noConversion"/>
  </si>
  <si>
    <t>北京正华广域软件有限公司</t>
    <phoneticPr fontId="5" type="noConversion"/>
  </si>
  <si>
    <t>(2015)年-SZCM2015615</t>
  </si>
  <si>
    <t>2015.05.11</t>
    <phoneticPr fontId="5" type="noConversion"/>
  </si>
  <si>
    <t>2016.05.10</t>
    <phoneticPr fontId="5" type="noConversion"/>
  </si>
  <si>
    <t>2015.05.11-2016.05.10</t>
    <phoneticPr fontId="5" type="noConversion"/>
  </si>
  <si>
    <t>2015.04.23</t>
    <phoneticPr fontId="5" type="noConversion"/>
  </si>
  <si>
    <t>2015.05.06-2015.05.10</t>
    <phoneticPr fontId="5" type="noConversion"/>
  </si>
  <si>
    <t>北京微人科技有限公司</t>
    <phoneticPr fontId="5" type="noConversion"/>
  </si>
  <si>
    <t>(2015)年-SZCM2015616</t>
    <phoneticPr fontId="5" type="noConversion"/>
  </si>
  <si>
    <t>2017.03.08</t>
    <phoneticPr fontId="5" type="noConversion"/>
  </si>
  <si>
    <t>2015.03.09-2017.03.08</t>
    <phoneticPr fontId="5" type="noConversion"/>
  </si>
  <si>
    <t>2015.02.10</t>
    <phoneticPr fontId="5" type="noConversion"/>
  </si>
  <si>
    <t>2015.02.09-2015.03.08</t>
    <phoneticPr fontId="5" type="noConversion"/>
  </si>
  <si>
    <t>北京合作医联健康管理有限公司</t>
    <phoneticPr fontId="5" type="noConversion"/>
  </si>
  <si>
    <t>(2015)年-SZCM2015617</t>
    <phoneticPr fontId="5" type="noConversion"/>
  </si>
  <si>
    <r>
      <t>2015.12.</t>
    </r>
    <r>
      <rPr>
        <sz val="10"/>
        <color indexed="8"/>
        <rFont val="宋体"/>
        <family val="3"/>
        <charset val="134"/>
      </rPr>
      <t>21</t>
    </r>
    <phoneticPr fontId="5" type="noConversion"/>
  </si>
  <si>
    <r>
      <t>2016.</t>
    </r>
    <r>
      <rPr>
        <sz val="10"/>
        <rFont val="宋体"/>
        <family val="3"/>
        <charset val="134"/>
      </rPr>
      <t>12.20</t>
    </r>
    <phoneticPr fontId="5" type="noConversion"/>
  </si>
  <si>
    <r>
      <t>201</t>
    </r>
    <r>
      <rPr>
        <sz val="10"/>
        <color indexed="8"/>
        <rFont val="宋体"/>
        <family val="3"/>
        <charset val="134"/>
      </rPr>
      <t>5</t>
    </r>
    <r>
      <rPr>
        <sz val="10"/>
        <color indexed="8"/>
        <rFont val="宋体"/>
        <family val="3"/>
        <charset val="134"/>
      </rPr>
      <t>.12.</t>
    </r>
    <r>
      <rPr>
        <sz val="10"/>
        <color indexed="8"/>
        <rFont val="宋体"/>
        <family val="3"/>
        <charset val="134"/>
      </rPr>
      <t>21</t>
    </r>
    <r>
      <rPr>
        <sz val="10"/>
        <color indexed="8"/>
        <rFont val="宋体"/>
        <family val="3"/>
        <charset val="134"/>
      </rPr>
      <t>-2016.1</t>
    </r>
    <r>
      <rPr>
        <sz val="10"/>
        <color indexed="8"/>
        <rFont val="宋体"/>
        <family val="3"/>
        <charset val="134"/>
      </rPr>
      <t>2</t>
    </r>
    <r>
      <rPr>
        <sz val="10"/>
        <color indexed="8"/>
        <rFont val="宋体"/>
        <family val="3"/>
        <charset val="134"/>
      </rPr>
      <t>.</t>
    </r>
    <r>
      <rPr>
        <sz val="10"/>
        <color indexed="8"/>
        <rFont val="宋体"/>
        <family val="3"/>
        <charset val="134"/>
      </rPr>
      <t>20</t>
    </r>
    <phoneticPr fontId="5" type="noConversion"/>
  </si>
  <si>
    <r>
      <t>2015.</t>
    </r>
    <r>
      <rPr>
        <sz val="10"/>
        <color indexed="8"/>
        <rFont val="宋体"/>
        <family val="3"/>
        <charset val="134"/>
      </rPr>
      <t>12</t>
    </r>
    <r>
      <rPr>
        <sz val="10"/>
        <color indexed="8"/>
        <rFont val="宋体"/>
        <family val="3"/>
        <charset val="134"/>
      </rPr>
      <t>.0</t>
    </r>
    <r>
      <rPr>
        <sz val="10"/>
        <color indexed="8"/>
        <rFont val="宋体"/>
        <family val="3"/>
        <charset val="134"/>
      </rPr>
      <t>7</t>
    </r>
    <phoneticPr fontId="5" type="noConversion"/>
  </si>
  <si>
    <t>北京华汇信通科技有限公司</t>
    <phoneticPr fontId="5" type="noConversion"/>
  </si>
  <si>
    <t>(2015)年-SZCM2015619</t>
    <phoneticPr fontId="5" type="noConversion"/>
  </si>
  <si>
    <t>5月交租金</t>
    <phoneticPr fontId="5" type="noConversion"/>
  </si>
  <si>
    <t>2号楼D1</t>
    <phoneticPr fontId="5" type="noConversion"/>
  </si>
  <si>
    <t>北京悠攸米粉有限公司</t>
    <phoneticPr fontId="5" type="noConversion"/>
  </si>
  <si>
    <t>(2015)年SZCM2号楼D1</t>
    <phoneticPr fontId="5" type="noConversion"/>
  </si>
  <si>
    <t>2016.02.09</t>
    <phoneticPr fontId="5" type="noConversion"/>
  </si>
  <si>
    <t>2021.02.08</t>
    <phoneticPr fontId="5" type="noConversion"/>
  </si>
  <si>
    <t>2016.02.09-2017.02.08</t>
    <phoneticPr fontId="5" type="noConversion"/>
  </si>
  <si>
    <t>2015.11.10</t>
    <phoneticPr fontId="5" type="noConversion"/>
  </si>
  <si>
    <t>2015.11.10-2015.12.24</t>
    <phoneticPr fontId="5" type="noConversion"/>
  </si>
  <si>
    <t>2017.02.08-2018.02.09</t>
    <phoneticPr fontId="5" type="noConversion"/>
  </si>
  <si>
    <t>2018.02.09-2019.02.08</t>
    <phoneticPr fontId="5" type="noConversion"/>
  </si>
  <si>
    <t>2019.02.09-2020.02.08</t>
    <phoneticPr fontId="5" type="noConversion"/>
  </si>
  <si>
    <t>2020.02.09-2021.02.08</t>
    <phoneticPr fontId="5" type="noConversion"/>
  </si>
  <si>
    <t>2号楼1、2层</t>
    <phoneticPr fontId="5" type="noConversion"/>
  </si>
  <si>
    <t>北京睿银华信科技有限公司</t>
    <phoneticPr fontId="5" type="noConversion"/>
  </si>
  <si>
    <t>(2014)年-XXKG-2-1、2</t>
    <phoneticPr fontId="5" type="noConversion"/>
  </si>
  <si>
    <t>2015.02.23</t>
    <phoneticPr fontId="5" type="noConversion"/>
  </si>
  <si>
    <t>2018.02.22</t>
    <phoneticPr fontId="5" type="noConversion"/>
  </si>
  <si>
    <t>2015.02.23-2016.02.22</t>
    <phoneticPr fontId="5" type="noConversion"/>
  </si>
  <si>
    <t>2014.12.08</t>
    <phoneticPr fontId="5" type="noConversion"/>
  </si>
  <si>
    <t>2014.12.08-2015.02.22</t>
    <phoneticPr fontId="5" type="noConversion"/>
  </si>
  <si>
    <t>2016.02.23-2017.02.22</t>
    <phoneticPr fontId="5" type="noConversion"/>
  </si>
  <si>
    <t>2017.02.23-2018.02.22</t>
    <phoneticPr fontId="5" type="noConversion"/>
  </si>
  <si>
    <t>2号楼3层</t>
    <phoneticPr fontId="5" type="noConversion"/>
  </si>
  <si>
    <t>(2014)年-XXKG-2-3</t>
    <phoneticPr fontId="5" type="noConversion"/>
  </si>
  <si>
    <t>2号楼4层</t>
    <phoneticPr fontId="5" type="noConversion"/>
  </si>
  <si>
    <t>唯客（北京）科技有限公司</t>
    <phoneticPr fontId="5" type="noConversion"/>
  </si>
  <si>
    <t>(2014)年-XXKG-2-4</t>
    <phoneticPr fontId="5" type="noConversion"/>
  </si>
  <si>
    <t>2014.12.05</t>
    <phoneticPr fontId="5" type="noConversion"/>
  </si>
  <si>
    <t>2号楼5层</t>
    <phoneticPr fontId="5" type="noConversion"/>
  </si>
  <si>
    <t>北京雷格科技有限公司</t>
    <phoneticPr fontId="5" type="noConversion"/>
  </si>
  <si>
    <t>(2014)年-XXKG-2-5</t>
    <phoneticPr fontId="5" type="noConversion"/>
  </si>
  <si>
    <t>2号楼601A</t>
    <phoneticPr fontId="5" type="noConversion"/>
  </si>
  <si>
    <t>北京博广仁合科技有限公司</t>
    <phoneticPr fontId="5" type="noConversion"/>
  </si>
  <si>
    <t>(2014)年-XXKG-2号楼601A</t>
    <phoneticPr fontId="5" type="noConversion"/>
  </si>
  <si>
    <t>2号楼601B</t>
    <phoneticPr fontId="5" type="noConversion"/>
  </si>
  <si>
    <t>(2014)年-XXKG-2号楼601B</t>
    <phoneticPr fontId="5" type="noConversion"/>
  </si>
  <si>
    <t>2号楼701</t>
    <phoneticPr fontId="5" type="noConversion"/>
  </si>
  <si>
    <t>金华秀吧信息科技有限公司北京分公司</t>
    <phoneticPr fontId="5" type="noConversion"/>
  </si>
  <si>
    <t>(2014)年Z-FHQ2014092号楼701</t>
    <phoneticPr fontId="5" type="noConversion"/>
  </si>
  <si>
    <t>2014.09.08</t>
    <phoneticPr fontId="5" type="noConversion"/>
  </si>
  <si>
    <t>2016.09.7</t>
    <phoneticPr fontId="5" type="noConversion"/>
  </si>
  <si>
    <t>2014.09.08-2016.09.07</t>
    <phoneticPr fontId="5" type="noConversion"/>
  </si>
  <si>
    <t>2014.09.05</t>
    <phoneticPr fontId="5" type="noConversion"/>
  </si>
  <si>
    <t>2号楼801</t>
    <phoneticPr fontId="5" type="noConversion"/>
  </si>
  <si>
    <t>北京微网通联信息技术有限公司</t>
    <phoneticPr fontId="5" type="noConversion"/>
  </si>
  <si>
    <t>(2014)年Z-FHQ20142号楼801</t>
    <phoneticPr fontId="5" type="noConversion"/>
  </si>
  <si>
    <t>2014.06.16</t>
    <phoneticPr fontId="5" type="noConversion"/>
  </si>
  <si>
    <t>2014.06.16-2016.06.15</t>
    <phoneticPr fontId="5" type="noConversion"/>
  </si>
  <si>
    <t>2014.05.08</t>
    <phoneticPr fontId="5" type="noConversion"/>
  </si>
  <si>
    <t>2016.06.16</t>
    <phoneticPr fontId="5" type="noConversion"/>
  </si>
  <si>
    <t>2017.06.15</t>
    <phoneticPr fontId="5" type="noConversion"/>
  </si>
  <si>
    <t>2016.06.16-2017.06.15</t>
    <phoneticPr fontId="5" type="noConversion"/>
  </si>
  <si>
    <t>2号楼901</t>
    <phoneticPr fontId="5" type="noConversion"/>
  </si>
  <si>
    <t>(2015)年-SZCM20152号楼901</t>
    <phoneticPr fontId="5" type="noConversion"/>
  </si>
  <si>
    <t>2015.03.16</t>
    <phoneticPr fontId="5" type="noConversion"/>
  </si>
  <si>
    <t>2015.03.16-2016.06.15</t>
    <phoneticPr fontId="5" type="noConversion"/>
  </si>
  <si>
    <t>2015.03.12</t>
    <phoneticPr fontId="5" type="noConversion"/>
  </si>
  <si>
    <t>2016.03.16</t>
    <phoneticPr fontId="5" type="noConversion"/>
  </si>
  <si>
    <t>2号楼</t>
    <phoneticPr fontId="5" type="noConversion"/>
  </si>
  <si>
    <t>合计</t>
    <phoneticPr fontId="5" type="noConversion"/>
  </si>
  <si>
    <t>面积</t>
    <phoneticPr fontId="147" type="noConversion"/>
  </si>
  <si>
    <t>单价</t>
    <phoneticPr fontId="147" type="noConversion"/>
  </si>
  <si>
    <t>总价</t>
    <phoneticPr fontId="147" type="noConversion"/>
  </si>
  <si>
    <t>一层</t>
    <phoneticPr fontId="147" type="noConversion"/>
  </si>
  <si>
    <t>二层</t>
    <phoneticPr fontId="147" type="noConversion"/>
  </si>
  <si>
    <t>房产税</t>
    <phoneticPr fontId="5" type="noConversion"/>
  </si>
  <si>
    <t>产权为自然人，免征</t>
    <phoneticPr fontId="5" type="noConversion"/>
  </si>
  <si>
    <r>
      <rPr>
        <sz val="10"/>
        <color indexed="8"/>
        <rFont val="宋体"/>
        <family val="3"/>
        <charset val="134"/>
      </rPr>
      <t>0.2%-0.3%</t>
    </r>
    <phoneticPr fontId="5" type="noConversion"/>
  </si>
  <si>
    <r>
      <t>市场租金（元/</t>
    </r>
    <r>
      <rPr>
        <sz val="10"/>
        <color indexed="10"/>
        <rFont val="仿宋_GB2312"/>
        <family val="3"/>
        <charset val="134"/>
      </rPr>
      <t>建筑</t>
    </r>
    <r>
      <rPr>
        <sz val="10"/>
        <color indexed="8"/>
        <rFont val="仿宋_GB2312"/>
        <family val="3"/>
        <charset val="134"/>
      </rPr>
      <t>㎡·月）</t>
    </r>
    <phoneticPr fontId="5" type="noConversion"/>
  </si>
  <si>
    <r>
      <t>估价对象</t>
    </r>
    <r>
      <rPr>
        <sz val="9"/>
        <rFont val="宋体"/>
        <family val="3"/>
        <charset val="134"/>
      </rPr>
      <t>结果一览表</t>
    </r>
    <phoneticPr fontId="5" type="noConversion"/>
  </si>
  <si>
    <t>租金（元/㎡·月）</t>
    <phoneticPr fontId="5" type="noConversion"/>
  </si>
  <si>
    <t>权重单价（元/平方米/月）</t>
    <phoneticPr fontId="5" type="noConversion"/>
  </si>
  <si>
    <t>盈创动力大厦</t>
    <phoneticPr fontId="291" type="noConversion"/>
  </si>
  <si>
    <t>中关村环保园</t>
    <phoneticPr fontId="291" type="noConversion"/>
  </si>
  <si>
    <t>环洋大厦</t>
    <phoneticPr fontId="291" type="noConversion"/>
  </si>
  <si>
    <t>北京立思辰科研楼</t>
    <phoneticPr fontId="291" type="noConversion"/>
  </si>
  <si>
    <t>中关村软件园（尚东数字谷）</t>
    <phoneticPr fontId="291" type="noConversion"/>
  </si>
  <si>
    <t>办公</t>
    <phoneticPr fontId="291" type="noConversion"/>
  </si>
  <si>
    <t>科研</t>
    <phoneticPr fontId="291" type="noConversion"/>
  </si>
  <si>
    <t>工业</t>
    <phoneticPr fontId="291" type="noConversion"/>
  </si>
  <si>
    <t>海淀区上地西路6号</t>
    <phoneticPr fontId="291" type="noConversion"/>
  </si>
  <si>
    <t>联想北研大厦（快手总部）</t>
    <phoneticPr fontId="291" type="noConversion"/>
  </si>
  <si>
    <t>20223-1-0322</t>
    <phoneticPr fontId="291" type="noConversion"/>
  </si>
  <si>
    <t>厂房</t>
    <phoneticPr fontId="291" type="noConversion"/>
  </si>
  <si>
    <t>海淀区上地信息基地创业路6号</t>
    <phoneticPr fontId="291" type="noConversion"/>
  </si>
  <si>
    <t>自主创新大厦</t>
    <phoneticPr fontId="291" type="noConversion"/>
  </si>
  <si>
    <t>1.5-4</t>
    <phoneticPr fontId="291" type="noConversion"/>
  </si>
  <si>
    <t>综合</t>
    <phoneticPr fontId="291" type="noConversion"/>
  </si>
  <si>
    <t>综合（科研）</t>
    <phoneticPr fontId="291" type="noConversion"/>
  </si>
  <si>
    <t>海淀区开拓路5号</t>
    <phoneticPr fontId="291" type="noConversion"/>
  </si>
  <si>
    <t>中关村生物医药园</t>
    <phoneticPr fontId="291" type="noConversion"/>
  </si>
  <si>
    <t>2022-1-0345</t>
    <phoneticPr fontId="291" type="noConversion"/>
  </si>
  <si>
    <t>2006年建成</t>
    <phoneticPr fontId="291" type="noConversion"/>
  </si>
  <si>
    <t>办公用房</t>
    <phoneticPr fontId="291" type="noConversion"/>
  </si>
  <si>
    <t>海淀区上地九街9号</t>
    <phoneticPr fontId="291" type="noConversion"/>
  </si>
  <si>
    <t>数码科技广场（上地数码广场）</t>
    <phoneticPr fontId="291" type="noConversion"/>
  </si>
  <si>
    <t>2019-1-0066</t>
    <phoneticPr fontId="291" type="noConversion"/>
  </si>
  <si>
    <t>含物业费</t>
    <phoneticPr fontId="291" type="noConversion"/>
  </si>
  <si>
    <t>海淀区上地信息路2号院2号楼12A</t>
    <phoneticPr fontId="291" type="noConversion"/>
  </si>
  <si>
    <t>海淀区上地信息路1号院2号楼805</t>
    <phoneticPr fontId="291" type="noConversion"/>
  </si>
  <si>
    <t>国际科技创业园</t>
    <phoneticPr fontId="291" type="noConversion"/>
  </si>
  <si>
    <t>2023-1-0174</t>
    <phoneticPr fontId="291" type="noConversion"/>
  </si>
  <si>
    <t>日租金</t>
    <phoneticPr fontId="291" type="noConversion"/>
  </si>
  <si>
    <t>月租金</t>
    <phoneticPr fontId="291" type="noConversion"/>
  </si>
  <si>
    <t>租赁期</t>
    <phoneticPr fontId="291" type="noConversion"/>
  </si>
  <si>
    <t>现状用途</t>
    <phoneticPr fontId="291" type="noConversion"/>
  </si>
  <si>
    <t>房屋用途</t>
    <phoneticPr fontId="291" type="noConversion"/>
  </si>
  <si>
    <t>土地用途</t>
    <phoneticPr fontId="291" type="noConversion"/>
  </si>
  <si>
    <t>建筑面积</t>
    <phoneticPr fontId="291" type="noConversion"/>
  </si>
  <si>
    <t>项目位置</t>
    <phoneticPr fontId="291" type="noConversion"/>
  </si>
  <si>
    <t>项目名称</t>
    <phoneticPr fontId="291" type="noConversion"/>
  </si>
  <si>
    <t>多层板楼</t>
    <phoneticPr fontId="27" type="noConversion"/>
  </si>
  <si>
    <t>标准层高</t>
  </si>
  <si>
    <t>标准层高</t>
    <phoneticPr fontId="27" type="noConversion"/>
  </si>
  <si>
    <t>估价对象位于上地商圈，周边办公楼项目有上地研华科技大厦、许继大厦、华为大厦、华环大厦、自主创新大厦等，入驻率高，办公集聚程度较好。</t>
    <phoneticPr fontId="5" type="noConversion"/>
  </si>
  <si>
    <t>银行：农村商业银行、北京银行（上地支行）、中国工商银行（北京中关村支行）、中国银行（北京上地信息路支行）等金融场所；
商业设施：北京华联上地购物中心、数字山谷下沉商业广场等商业设施；
教育机构：北京八维研修学院、北京市上地实验学校、中关村第一小学（西二旗分校）、北京市海淀区第二实验小学（当代校区）、美和园幼儿园（智学苑分园）等教育机构；
医疗机构：北京市上地医院、北京市海淀区清河街道西二旗社区卫生服务站等医疗机构；
估价对象所在区域公共配套设施齐备情况较好。</t>
    <phoneticPr fontId="21" type="noConversion"/>
  </si>
  <si>
    <t>区域自然环境：上地公园、快乐成长家庭人口文化园等；人文环境；周边人文设施较少；
综合评价环境状况一般。</t>
    <phoneticPr fontId="5" type="noConversion"/>
  </si>
  <si>
    <t>有合同</t>
    <phoneticPr fontId="147" type="noConversion"/>
  </si>
  <si>
    <t>公司名称</t>
  </si>
  <si>
    <t>面积</t>
  </si>
  <si>
    <t>单价1</t>
  </si>
  <si>
    <t>单价2</t>
  </si>
  <si>
    <t>免租期</t>
  </si>
  <si>
    <t>北京神州数码云角信息技术有限公司</t>
  </si>
  <si>
    <t>2018年12月31日-2019年12月31日</t>
  </si>
  <si>
    <t>神州数码通用软件（北京）有限公司</t>
  </si>
  <si>
    <t>2017年5月25日-2019年5月24日</t>
  </si>
  <si>
    <t>2018年12月15日-2019年5月24日</t>
  </si>
  <si>
    <t>2018年9月12日-2019年5月24日</t>
  </si>
  <si>
    <t>北京鼎捷软件有限公司</t>
  </si>
  <si>
    <t>2017年4月1日-2019年3月31日</t>
  </si>
  <si>
    <t>北京艾摩瑞策科技有限公司</t>
  </si>
  <si>
    <t>2018年10月1日-2019年9月30日</t>
  </si>
  <si>
    <t>北京企名片科技有限公司</t>
  </si>
  <si>
    <t>2017年11月10日-2020年11月9日</t>
  </si>
  <si>
    <t>鸿秦（北京）科技有限公司</t>
  </si>
  <si>
    <t>2017年7月1日-2019年6月30日</t>
  </si>
  <si>
    <t>2018年3月19日-2020年3月18日</t>
  </si>
  <si>
    <t>山东富锐光学科技有限公司北京分公司</t>
  </si>
  <si>
    <t>中和荣华环保科技（北京）有限公司</t>
  </si>
  <si>
    <t>中和利华投资管理（北京）有限公司</t>
  </si>
  <si>
    <t>北京御风翱翔科技有限公司</t>
  </si>
  <si>
    <t>2018年3月19-2019年3月18日</t>
  </si>
  <si>
    <t>2018年10月8-2019年10月7日</t>
  </si>
  <si>
    <t>北京水木畅想网络科技有限公司</t>
  </si>
  <si>
    <t>2018年3月15-2020年3月14日</t>
  </si>
  <si>
    <t>ITS-服务（7888）</t>
  </si>
  <si>
    <t>2019年1月1日-2019年12月31日</t>
  </si>
  <si>
    <t>控股信息化管理部</t>
  </si>
  <si>
    <t xml:space="preserve">神州数码（中国）有限公司  </t>
  </si>
  <si>
    <t>北京神州数码有限公司</t>
  </si>
  <si>
    <t>北京神州数码供应链服务有限公司</t>
  </si>
  <si>
    <t xml:space="preserve">神州数码集团股份有限公司 </t>
  </si>
  <si>
    <t>神州数码集团股份有限公司北京分公司</t>
  </si>
  <si>
    <t>北京神州数码云计算有限公司</t>
  </si>
  <si>
    <t xml:space="preserve">北京神州数码云科信息技术有限公司   </t>
  </si>
  <si>
    <t>北京享购信息技术有限公司</t>
  </si>
  <si>
    <t>2018年2月1日-2020年1月31日</t>
  </si>
  <si>
    <t>北京神州数码港汇联贸易有限公司</t>
  </si>
  <si>
    <t>北京神州数码品众科技有限公司</t>
  </si>
  <si>
    <t>北京纺联信息有限公司</t>
  </si>
  <si>
    <t>2018年7月1日-2020年6月30日</t>
  </si>
  <si>
    <t xml:space="preserve">神州顶联科技有限公司 </t>
  </si>
  <si>
    <t>ITS-财经办投资</t>
  </si>
  <si>
    <t>控股投资管理部</t>
  </si>
  <si>
    <t>控股行政部</t>
  </si>
  <si>
    <t>控股创新中心</t>
  </si>
  <si>
    <t>DCG机房</t>
  </si>
  <si>
    <t>领航动力信息系统有限公司北京分公司</t>
  </si>
  <si>
    <t>北京华誉维诚技术服务有限公司</t>
  </si>
  <si>
    <t>2017年8月1日-2020年7月31日</t>
  </si>
  <si>
    <t>北京泛微科技有限公司</t>
  </si>
  <si>
    <t>2018年10月30日-2019年10月29日</t>
  </si>
  <si>
    <t xml:space="preserve">北京神州数码科捷技术服务有限公司  </t>
  </si>
  <si>
    <t>北京科捷物流有限公司</t>
  </si>
  <si>
    <t>北京科捷智云技术服务有限公司</t>
  </si>
  <si>
    <t>网际星辰文化传媒(北京)有限公司</t>
  </si>
  <si>
    <t>上海友而信市场信息咨询有限公司北京海淀分公司</t>
  </si>
  <si>
    <t>2017年8月1日-2019年7月31日</t>
  </si>
  <si>
    <t>2018年3月26日-2020年3月25日</t>
  </si>
  <si>
    <t>优先（北京）科技有限公司</t>
  </si>
  <si>
    <t>2018年11月15日-2019年11月14日</t>
  </si>
  <si>
    <t>北京华唐中科科技集团有限公司</t>
  </si>
  <si>
    <t>2017年10月1日-2020年9月30日</t>
  </si>
  <si>
    <t>神州智造教育科技（北京）有限公司</t>
  </si>
  <si>
    <t>2018年10月1日-2021年9月30日</t>
  </si>
  <si>
    <t>麦博未来（北京）教育科技有限公司</t>
  </si>
  <si>
    <t>2017年10月23日至2020年10月22日</t>
  </si>
  <si>
    <t>精励联讯（北京）信息技术有限公司</t>
  </si>
  <si>
    <t>2017年3月6日-2020年3月5日</t>
  </si>
  <si>
    <t>精讯凌思（北京）信息技术有限公司</t>
  </si>
  <si>
    <t>2017年11月1日-2020年3月5日</t>
  </si>
  <si>
    <t>北京爱和健康科技有限公司</t>
  </si>
  <si>
    <t>2018年6月25日-2020年6月24日</t>
  </si>
  <si>
    <t>海南新软软件有限公司北京分公司</t>
  </si>
  <si>
    <t>海南盈东网络技术有限公司</t>
  </si>
  <si>
    <t>2019年1月1日-2020年3月18日</t>
  </si>
  <si>
    <t>合同编号</t>
  </si>
  <si>
    <t>起止日期</t>
  </si>
  <si>
    <r>
      <rPr>
        <b/>
        <sz val="9"/>
        <color indexed="8"/>
        <rFont val="宋体"/>
        <family val="3"/>
        <charset val="134"/>
      </rPr>
      <t>房间位置</t>
    </r>
    <r>
      <rPr>
        <sz val="9"/>
        <color indexed="8"/>
        <rFont val="宋体"/>
        <family val="3"/>
        <charset val="134"/>
      </rPr>
      <t>（面积/价格）</t>
    </r>
  </si>
  <si>
    <t>房租单价</t>
  </si>
  <si>
    <t>物业费单价</t>
  </si>
  <si>
    <t>房租季度</t>
  </si>
  <si>
    <t>物业费季度</t>
  </si>
  <si>
    <t>S-21-001-X（B-2)</t>
  </si>
  <si>
    <t xml:space="preserve">B区1层B110-B111室            </t>
  </si>
  <si>
    <t>S-21-002-X（B-2)</t>
  </si>
  <si>
    <t xml:space="preserve">A区4层A402室      </t>
  </si>
  <si>
    <t>S-21-003-X （B-1)</t>
  </si>
  <si>
    <t xml:space="preserve">A区3层A305室    </t>
  </si>
  <si>
    <t>S-21-004-S（B-2)</t>
  </si>
  <si>
    <t xml:space="preserve">B区2层B211实验室             </t>
  </si>
  <si>
    <t>S-21-005-X（B-2)</t>
  </si>
  <si>
    <t xml:space="preserve">A区3层A303室  </t>
  </si>
  <si>
    <t>S-21-006-S（A-2)</t>
  </si>
  <si>
    <t xml:space="preserve">B区4层B406（B408）实验室    </t>
  </si>
  <si>
    <t>S-21-007-X（B-2）</t>
  </si>
  <si>
    <t xml:space="preserve">A区3层A306室          </t>
  </si>
  <si>
    <t>S-21-008-X（B-2）</t>
  </si>
  <si>
    <t xml:space="preserve">B区1层B101室          </t>
  </si>
  <si>
    <t>S-21-009-S（B-2）</t>
  </si>
  <si>
    <t xml:space="preserve">B区4层B401（B403）实验室         </t>
  </si>
  <si>
    <t>S-21-010-X1（B-2）</t>
  </si>
  <si>
    <t xml:space="preserve">A区3层A318室        </t>
  </si>
  <si>
    <t>S-21-010-X2（B-2)</t>
  </si>
  <si>
    <t>A区3层A307（A308）、A309室</t>
  </si>
  <si>
    <t>S-21-010-S（B-2)</t>
  </si>
  <si>
    <t xml:space="preserve">B区3层B312（B314）、B313（B315）实验室                </t>
  </si>
  <si>
    <t>S-21-011-X（B-2）</t>
    <phoneticPr fontId="5" type="noConversion"/>
  </si>
  <si>
    <t xml:space="preserve">A区2层A201室      </t>
  </si>
  <si>
    <t>S-21-012-X（B-2）</t>
    <phoneticPr fontId="5" type="noConversion"/>
  </si>
  <si>
    <t xml:space="preserve">A区3层A315室          </t>
  </si>
  <si>
    <t>S-21-013-S（B-2）</t>
  </si>
  <si>
    <t xml:space="preserve">B区3层B305（B307）   </t>
  </si>
  <si>
    <t>S-21-014-X（B-2）</t>
  </si>
  <si>
    <t xml:space="preserve">A区3层A317室            </t>
  </si>
  <si>
    <t>S-21-015-S（B-2）</t>
  </si>
  <si>
    <t xml:space="preserve">B区2层B217室         </t>
  </si>
  <si>
    <t>S-21-016-X（B-2）</t>
  </si>
  <si>
    <t xml:space="preserve">B区2层B222室           </t>
  </si>
  <si>
    <t>S-21-017-X（A-2）</t>
  </si>
  <si>
    <t xml:space="preserve">A区2层A204室         </t>
  </si>
  <si>
    <t>S-21-018-S (B-2)</t>
  </si>
  <si>
    <t xml:space="preserve">B区3层B311室        </t>
    <phoneticPr fontId="5" type="noConversion"/>
  </si>
  <si>
    <t>S-21-019-X (B-1)</t>
  </si>
  <si>
    <t xml:space="preserve">B区4层B422室           </t>
    <phoneticPr fontId="5" type="noConversion"/>
  </si>
  <si>
    <t>S-21-020-X (B-2)</t>
  </si>
  <si>
    <t xml:space="preserve">A区4层A416室       </t>
  </si>
  <si>
    <t>S-21-021-S (B-2)</t>
  </si>
  <si>
    <t>S-21-022-S1 (B-2)</t>
  </si>
  <si>
    <t xml:space="preserve">B区2层B209、B210实验室            </t>
    <phoneticPr fontId="5" type="noConversion"/>
  </si>
  <si>
    <t>S-21-023-X (B-2)</t>
  </si>
  <si>
    <t xml:space="preserve">A区3层A301(A310)室    </t>
  </si>
  <si>
    <t>S-21-023-S (B-2)</t>
  </si>
  <si>
    <t xml:space="preserve">B区3层B306（B308）实验室       </t>
  </si>
  <si>
    <t>S-21-024-X（B-2）</t>
  </si>
  <si>
    <t xml:space="preserve">A区4层A401（A410）室    </t>
  </si>
  <si>
    <t>S-21-024-S（B-2）</t>
  </si>
  <si>
    <t xml:space="preserve">B区4层B411实验室              </t>
  </si>
  <si>
    <t>S-21-025-S（B-2）</t>
  </si>
  <si>
    <t xml:space="preserve">B区3层B301（B303）、B302（B304）实验室             </t>
  </si>
  <si>
    <t>S-21-025-X（B-2）</t>
  </si>
  <si>
    <t xml:space="preserve">A区4层A407（408）、A409室            </t>
  </si>
  <si>
    <t>S-21-026-X （B-1）</t>
  </si>
  <si>
    <t xml:space="preserve">B区4层B423室          </t>
  </si>
  <si>
    <t>S-21-027-X （B-1）</t>
    <phoneticPr fontId="5" type="noConversion"/>
  </si>
  <si>
    <t xml:space="preserve">B区1层B108（B109）室    </t>
    <phoneticPr fontId="5" type="noConversion"/>
  </si>
  <si>
    <t>S-21-029-X （B-1）</t>
    <phoneticPr fontId="5" type="noConversion"/>
  </si>
  <si>
    <t xml:space="preserve">B区1层B102、B103室            </t>
    <phoneticPr fontId="5" type="noConversion"/>
  </si>
  <si>
    <t>S-21-029-X1 （B-1）</t>
  </si>
  <si>
    <t xml:space="preserve">A区3层A306室           </t>
    <phoneticPr fontId="5" type="noConversion"/>
  </si>
  <si>
    <t>S-21-029-S （B-1）</t>
  </si>
  <si>
    <t xml:space="preserve">B区3层B309、B310实验室            </t>
    <phoneticPr fontId="5" type="noConversion"/>
  </si>
  <si>
    <t>S-21-030-S （B-1）</t>
  </si>
  <si>
    <t xml:space="preserve">B区2层B205（B207）实验室     </t>
    <phoneticPr fontId="5" type="noConversion"/>
  </si>
  <si>
    <t>LS-21-001（B-1）</t>
    <phoneticPr fontId="5" type="noConversion"/>
  </si>
  <si>
    <t xml:space="preserve">B区地下一层三号库房      </t>
    <phoneticPr fontId="5" type="noConversion"/>
  </si>
  <si>
    <t>LS-21-002（B-1）</t>
  </si>
  <si>
    <t xml:space="preserve">B区地下一层一号库房-1        </t>
    <phoneticPr fontId="5" type="noConversion"/>
  </si>
  <si>
    <t>S-21-031-X （B-1）</t>
  </si>
  <si>
    <t xml:space="preserve">A区2层A207（A208）室   </t>
    <phoneticPr fontId="5" type="noConversion"/>
  </si>
  <si>
    <t>S-21-032-X （B-2）</t>
  </si>
  <si>
    <t xml:space="preserve">A区4层A415室            </t>
  </si>
  <si>
    <t>S-21-033-X (B-1)</t>
  </si>
  <si>
    <t xml:space="preserve">B区3层B323室             </t>
  </si>
  <si>
    <t>S-21-034-S (B-2)</t>
  </si>
  <si>
    <t>B区3层B316（B318）、B321实验室</t>
  </si>
  <si>
    <t>S-21-035-X (B-1)</t>
  </si>
  <si>
    <t xml:space="preserve">B区2层B223室              </t>
  </si>
  <si>
    <t>S-21-036-X (B-1)</t>
  </si>
  <si>
    <t xml:space="preserve">A区3层A316室             </t>
  </si>
  <si>
    <t>S-21-037-X (B-2)</t>
  </si>
  <si>
    <t xml:space="preserve">A区3层A301室             </t>
  </si>
  <si>
    <t>S-21-038-X (B-2)</t>
    <phoneticPr fontId="5" type="noConversion"/>
  </si>
  <si>
    <t xml:space="preserve">A区2层A204室          </t>
    <phoneticPr fontId="5" type="noConversion"/>
  </si>
  <si>
    <t>S-21-039-X (B-2)</t>
    <phoneticPr fontId="5" type="noConversion"/>
  </si>
  <si>
    <t xml:space="preserve">A区2层A205、A206室 </t>
    <phoneticPr fontId="5" type="noConversion"/>
  </si>
  <si>
    <t>S-21-040-X (B-2)</t>
  </si>
  <si>
    <t xml:space="preserve">B区1层B106（B107）室 </t>
  </si>
  <si>
    <t>S-21-040-S (B-2)</t>
  </si>
  <si>
    <t xml:space="preserve">B区2层B213室         </t>
  </si>
  <si>
    <t>S-21-041-X (B-2)</t>
  </si>
  <si>
    <t xml:space="preserve">A区3层A302室         </t>
  </si>
  <si>
    <t>S-21-042-S (B-2)</t>
  </si>
  <si>
    <t xml:space="preserve">B区4层B417室   </t>
  </si>
  <si>
    <t>S-21-043-X (B-2)</t>
  </si>
  <si>
    <t xml:space="preserve">A区4层A404室   </t>
  </si>
  <si>
    <t>S-21-044-S (B-2)</t>
  </si>
  <si>
    <t xml:space="preserve">B区3层B317（B319）室 </t>
  </si>
  <si>
    <t>S-21-045-X (B-2)</t>
  </si>
  <si>
    <t xml:space="preserve">A区2层A202室  </t>
  </si>
  <si>
    <t>S-21-046-S (B-2)</t>
  </si>
  <si>
    <t xml:space="preserve">B区2层B202(B204)室   </t>
  </si>
  <si>
    <t>S-21-047-S (B-2)</t>
  </si>
  <si>
    <t xml:space="preserve">B区4层B410室     </t>
  </si>
  <si>
    <t>S-21-048-S (B-2)</t>
  </si>
  <si>
    <t xml:space="preserve">B区2层B219室    </t>
  </si>
  <si>
    <t>S-21-049-S (B-2)</t>
  </si>
  <si>
    <t xml:space="preserve">B区2层B217室     </t>
  </si>
  <si>
    <t>S-21-050-X  (B-2)</t>
  </si>
  <si>
    <t xml:space="preserve">A区2层A209室      </t>
  </si>
  <si>
    <t>S-21-050-S1  (B-2)</t>
  </si>
  <si>
    <t xml:space="preserve">B区2层B201(B203)实验室       </t>
  </si>
  <si>
    <t>S-21-050-S2 (B-2)</t>
  </si>
  <si>
    <t xml:space="preserve">B区2层B206、B208实验室       </t>
  </si>
  <si>
    <t>S-21-051-S (B-2)</t>
  </si>
  <si>
    <t xml:space="preserve">B区4层B413实验室            </t>
  </si>
  <si>
    <t>S-21-052-S (B-2)</t>
  </si>
  <si>
    <t xml:space="preserve">B区4层B409实验室            </t>
  </si>
  <si>
    <t>S-21-053-X (B-2)</t>
  </si>
  <si>
    <t xml:space="preserve">B区1层B112（B113、B114）实验室                       </t>
  </si>
  <si>
    <t>S-21-054-X (B-2)</t>
  </si>
  <si>
    <t xml:space="preserve">A区4层A403室            </t>
  </si>
  <si>
    <t>S-21-055-X (B-2)</t>
  </si>
  <si>
    <t xml:space="preserve">A区3层A304室         </t>
  </si>
  <si>
    <t>S-21-056-X (B-2)</t>
  </si>
  <si>
    <t xml:space="preserve">A区4层A405（A406）室   </t>
  </si>
  <si>
    <t>S-21-056-S1 (B-2)</t>
  </si>
  <si>
    <t>B区4层B416(B418) 实验室、B419实验室</t>
  </si>
  <si>
    <t>S-21-056-S2 (B-2)</t>
  </si>
  <si>
    <t>B区4层B420实验室             (130㎡/4.0/1.5)</t>
  </si>
  <si>
    <t>S-21-057-X (B-2)</t>
  </si>
  <si>
    <t xml:space="preserve">B区3层B322室      </t>
  </si>
  <si>
    <t>S-21-058-S（B-2）</t>
  </si>
  <si>
    <t xml:space="preserve">B区4层B412（B414）、B415实验室         </t>
  </si>
  <si>
    <t>S-21-059-X（B-2）</t>
  </si>
  <si>
    <t xml:space="preserve">B区1层B104（B105）室 </t>
  </si>
  <si>
    <t>S-21-060-S（B-2）</t>
  </si>
  <si>
    <t xml:space="preserve">B区4层B421实验室 </t>
  </si>
  <si>
    <t>S-21-061-S（B-2）</t>
  </si>
  <si>
    <t xml:space="preserve">B区2层B216（B218）实验室  </t>
  </si>
  <si>
    <t>S-21-062-S （B-2）</t>
  </si>
  <si>
    <t>B区2层B220、B221实验室</t>
  </si>
  <si>
    <t>S-21-063-S（B-2）</t>
  </si>
  <si>
    <t>B区4层 B402（B404）实验室</t>
  </si>
  <si>
    <t>S-21-064-X（A-1）</t>
  </si>
  <si>
    <t xml:space="preserve">B区1层B101室         </t>
  </si>
  <si>
    <t>S-21-065-S（B-2）</t>
  </si>
  <si>
    <t xml:space="preserve">B区3层B320实验室   </t>
  </si>
  <si>
    <t>S-21-066-S（B-2）</t>
  </si>
  <si>
    <t>B区4层B405（B407）实验室</t>
  </si>
  <si>
    <t>S-21-067-S（B-2）</t>
  </si>
  <si>
    <t xml:space="preserve">B区2层B212/B214实验室  </t>
  </si>
  <si>
    <t>S-21-067-X（B-2）</t>
  </si>
  <si>
    <t xml:space="preserve">A区2层A203室     </t>
  </si>
  <si>
    <t>S-21-068-X（B-2）</t>
  </si>
  <si>
    <t>A417</t>
  </si>
  <si>
    <t>S-21-069-S</t>
  </si>
  <si>
    <t>B215</t>
  </si>
  <si>
    <t>S-21-070-X</t>
  </si>
  <si>
    <t>A418</t>
  </si>
  <si>
    <t>起始日期</t>
  </si>
  <si>
    <t>结束日期</t>
  </si>
  <si>
    <t>房间</t>
  </si>
  <si>
    <t>物业季度</t>
  </si>
  <si>
    <t>S-22-001-X（B-2)</t>
  </si>
  <si>
    <t>S-22-002-X（B-2)</t>
  </si>
  <si>
    <t xml:space="preserve">A区4层A402室            </t>
  </si>
  <si>
    <t>S-22-003-X （B-1)</t>
  </si>
  <si>
    <t xml:space="preserve">A区3层A305室            </t>
  </si>
  <si>
    <t>S-22-004-X （B-2)</t>
  </si>
  <si>
    <t xml:space="preserve">A区3层A303室            </t>
  </si>
  <si>
    <t>S-22-005-X(A-2)</t>
  </si>
  <si>
    <t>A317</t>
  </si>
  <si>
    <t>S-22-006-S(B-2)</t>
  </si>
  <si>
    <t>B211</t>
  </si>
  <si>
    <t>S-22-007-S(B-2)</t>
  </si>
  <si>
    <t>B401/B403</t>
  </si>
  <si>
    <t>S-22-008-X1（B-2）</t>
  </si>
  <si>
    <t xml:space="preserve">A区3层A318室              </t>
  </si>
  <si>
    <t>S-22-008-X2（B-2)</t>
  </si>
  <si>
    <t>S-22-008-S（B-2)</t>
  </si>
  <si>
    <t xml:space="preserve">B区3层B312（B314）、B313（B315）实验室                   </t>
  </si>
  <si>
    <t>S-22-009-X（B-2）</t>
    <phoneticPr fontId="5" type="noConversion"/>
  </si>
  <si>
    <t xml:space="preserve">A区2层A201室            </t>
  </si>
  <si>
    <t>S-22-010-X（A-2)</t>
  </si>
  <si>
    <t xml:space="preserve">A区3层A302室            </t>
  </si>
  <si>
    <t>S-22-011-X(B-2)</t>
    <phoneticPr fontId="5" type="noConversion"/>
  </si>
  <si>
    <t xml:space="preserve">B区1层    B106（B107）室            </t>
    <phoneticPr fontId="5" type="noConversion"/>
  </si>
  <si>
    <t>S-22-012-S(A-2)</t>
    <phoneticPr fontId="5" type="noConversion"/>
  </si>
  <si>
    <t>B区2层B213</t>
    <phoneticPr fontId="5" type="noConversion"/>
  </si>
  <si>
    <t>S-22-013-X</t>
    <phoneticPr fontId="5" type="noConversion"/>
  </si>
  <si>
    <t>A区3层A315</t>
    <phoneticPr fontId="5" type="noConversion"/>
  </si>
  <si>
    <t>S-22-014-S</t>
    <phoneticPr fontId="5" type="noConversion"/>
  </si>
  <si>
    <t>B区 3 层 B305（B307） 室</t>
    <phoneticPr fontId="5" type="noConversion"/>
  </si>
  <si>
    <t>S-22-015-X</t>
    <phoneticPr fontId="5" type="noConversion"/>
  </si>
  <si>
    <t xml:space="preserve">B区 2 层 B222 </t>
    <phoneticPr fontId="5" type="noConversion"/>
  </si>
  <si>
    <t>S-22-016-X</t>
    <phoneticPr fontId="5" type="noConversion"/>
  </si>
  <si>
    <t>A区 4 层 A416 室</t>
    <phoneticPr fontId="5" type="noConversion"/>
  </si>
  <si>
    <t>S-22-017-X</t>
    <phoneticPr fontId="5" type="noConversion"/>
  </si>
  <si>
    <t>A区 3 层 A301 室</t>
    <phoneticPr fontId="5" type="noConversion"/>
  </si>
  <si>
    <t>S-22-018-X</t>
  </si>
  <si>
    <t xml:space="preserve">B区4层B422室         </t>
  </si>
  <si>
    <t>S-22-019-S</t>
    <phoneticPr fontId="5" type="noConversion"/>
  </si>
  <si>
    <t xml:space="preserve">B区2层B209、B210    实验室            </t>
    <phoneticPr fontId="5" type="noConversion"/>
  </si>
  <si>
    <t>S-22-020-S</t>
    <phoneticPr fontId="5" type="noConversion"/>
  </si>
  <si>
    <t>S-22-021-S</t>
    <phoneticPr fontId="5" type="noConversion"/>
  </si>
  <si>
    <t>B区3层B306(B308)</t>
    <phoneticPr fontId="5" type="noConversion"/>
  </si>
  <si>
    <t>S-22-023-S</t>
    <phoneticPr fontId="5" type="noConversion"/>
  </si>
  <si>
    <t>B区3层B301(B303)、B302(B304)实验室</t>
    <phoneticPr fontId="5" type="noConversion"/>
  </si>
  <si>
    <t>S-22-023-X</t>
    <phoneticPr fontId="5" type="noConversion"/>
  </si>
  <si>
    <t>A区4层A407（A408）、A409室</t>
    <phoneticPr fontId="5" type="noConversion"/>
  </si>
  <si>
    <t>S-22-025-X</t>
    <phoneticPr fontId="5" type="noConversion"/>
  </si>
  <si>
    <t>A区4层A415室</t>
    <phoneticPr fontId="5" type="noConversion"/>
  </si>
  <si>
    <t>S-22-026-S</t>
    <phoneticPr fontId="5" type="noConversion"/>
  </si>
  <si>
    <t>B区2层B216(B218)室</t>
    <phoneticPr fontId="5" type="noConversion"/>
  </si>
  <si>
    <t>S-22-027-X</t>
    <phoneticPr fontId="5" type="noConversion"/>
  </si>
  <si>
    <t>A区2层A202室</t>
    <phoneticPr fontId="5" type="noConversion"/>
  </si>
  <si>
    <t>S-22-028-S</t>
    <phoneticPr fontId="5" type="noConversion"/>
  </si>
  <si>
    <t>B区2层B211室</t>
    <phoneticPr fontId="5" type="noConversion"/>
  </si>
  <si>
    <t>S-22-029-X</t>
    <phoneticPr fontId="5" type="noConversion"/>
  </si>
  <si>
    <t>A区3层A304室</t>
    <phoneticPr fontId="5" type="noConversion"/>
  </si>
  <si>
    <t>S-22-030-S</t>
    <phoneticPr fontId="5" type="noConversion"/>
  </si>
  <si>
    <t>B区3层B304室</t>
    <phoneticPr fontId="5" type="noConversion"/>
  </si>
  <si>
    <t>杰伟科技项目租赁明细表</t>
  </si>
  <si>
    <t>楼栋</t>
  </si>
  <si>
    <t>楼层</t>
  </si>
  <si>
    <t>出租情况</t>
  </si>
  <si>
    <t>租户名称</t>
  </si>
  <si>
    <t>合同面积</t>
  </si>
  <si>
    <t>合同日</t>
  </si>
  <si>
    <r>
      <t xml:space="preserve"> </t>
    </r>
    <r>
      <rPr>
        <sz val="9"/>
        <color rgb="FF000000"/>
        <rFont val="宋体"/>
        <family val="3"/>
        <charset val="134"/>
      </rPr>
      <t xml:space="preserve">最近月份租金单价 </t>
    </r>
  </si>
  <si>
    <t>年租金（元）</t>
  </si>
  <si>
    <t>（平方米）</t>
  </si>
  <si>
    <t>起始日</t>
  </si>
  <si>
    <t>终止日期</t>
  </si>
  <si>
    <r>
      <t xml:space="preserve">租金            </t>
    </r>
    <r>
      <rPr>
        <sz val="9"/>
        <color rgb="FF000000"/>
        <rFont val="宋体"/>
        <family val="3"/>
        <charset val="134"/>
      </rPr>
      <t xml:space="preserve">（元/平米/天） </t>
    </r>
  </si>
  <si>
    <r>
      <t xml:space="preserve">产业服务费           </t>
    </r>
    <r>
      <rPr>
        <sz val="9"/>
        <color rgb="FF000000"/>
        <rFont val="宋体"/>
        <family val="3"/>
        <charset val="134"/>
      </rPr>
      <t xml:space="preserve">（元/平米/天） </t>
    </r>
  </si>
  <si>
    <r>
      <t xml:space="preserve">物业费          </t>
    </r>
    <r>
      <rPr>
        <sz val="9"/>
        <color rgb="FF000000"/>
        <rFont val="宋体"/>
        <family val="3"/>
        <charset val="134"/>
      </rPr>
      <t>（元/平米/</t>
    </r>
    <r>
      <rPr>
        <sz val="9"/>
        <color rgb="FF000000"/>
        <rFont val="DengXian"/>
        <family val="3"/>
        <charset val="134"/>
        <scheme val="minor"/>
      </rPr>
      <t>月</t>
    </r>
    <r>
      <rPr>
        <sz val="9"/>
        <color rgb="FF000000"/>
        <rFont val="宋体"/>
        <family val="3"/>
        <charset val="134"/>
      </rPr>
      <t xml:space="preserve">） </t>
    </r>
  </si>
  <si>
    <t>产业服务费</t>
  </si>
  <si>
    <t>物业费</t>
  </si>
  <si>
    <t>写字楼</t>
  </si>
  <si>
    <t>北京嘀嘀无限科技发展有限公司</t>
  </si>
  <si>
    <t>2018.3.18</t>
  </si>
  <si>
    <t>2023.3.17</t>
  </si>
  <si>
    <t>2-5层</t>
  </si>
  <si>
    <t>2018.6.26</t>
  </si>
  <si>
    <t>2023.6.25</t>
  </si>
  <si>
    <t>105、107</t>
  </si>
  <si>
    <t>倍升互联（北京）科技有限公司</t>
  </si>
  <si>
    <t>2020.5.1</t>
  </si>
  <si>
    <t>2022.12.31</t>
  </si>
  <si>
    <t>1层</t>
  </si>
  <si>
    <t>北京尚东吉米科技发展有限公司</t>
  </si>
  <si>
    <t>2017.12.1</t>
  </si>
  <si>
    <t>2032.11.30</t>
  </si>
  <si>
    <t>3层</t>
  </si>
  <si>
    <t>北京中测安华科技有限公司</t>
  </si>
  <si>
    <t>2021.4.15</t>
  </si>
  <si>
    <t>2024.4.14</t>
  </si>
  <si>
    <t>401-407</t>
  </si>
  <si>
    <t>2019.12.18</t>
  </si>
  <si>
    <t>2022.12.17</t>
  </si>
  <si>
    <t>408-417</t>
  </si>
  <si>
    <t>北京润泽金松科技发展有限责任公司</t>
  </si>
  <si>
    <t>2019.5.1</t>
  </si>
  <si>
    <t>2022.4.30</t>
  </si>
  <si>
    <t>501-513</t>
  </si>
  <si>
    <t>时代集团公司</t>
  </si>
  <si>
    <t>2021.8.1</t>
  </si>
  <si>
    <t>2022.7.31</t>
  </si>
  <si>
    <t>514-517</t>
  </si>
  <si>
    <t>北京时代科技股份有限公司</t>
  </si>
  <si>
    <t>易家合众（北京）信息科技有限公司</t>
  </si>
  <si>
    <t>2016.1.20</t>
  </si>
  <si>
    <t>2026.1.19</t>
  </si>
  <si>
    <t>云印工场（北京）科技有限公司</t>
  </si>
  <si>
    <t>北京瑞蕾宜道口腔诊所有限公司</t>
  </si>
  <si>
    <t>2018.12.1</t>
  </si>
  <si>
    <t>2026.11.30</t>
  </si>
  <si>
    <t>2019.8.20</t>
  </si>
  <si>
    <t>2022.8.19</t>
  </si>
  <si>
    <t>北京梦想蜂连锁商业有限公司</t>
  </si>
  <si>
    <t>2019.11.15</t>
  </si>
  <si>
    <t>2024.12.29</t>
  </si>
  <si>
    <t>北京肯德基有限公司</t>
  </si>
  <si>
    <t>2019.8.15</t>
  </si>
  <si>
    <t>2029.10.31</t>
  </si>
  <si>
    <t>2021.9.15</t>
  </si>
  <si>
    <t>2024.9.14</t>
  </si>
  <si>
    <t>北京倍升信通科技有限公司</t>
  </si>
  <si>
    <t>1层大堂</t>
  </si>
  <si>
    <t>北京市海淀人民政府上地街道办事处</t>
  </si>
  <si>
    <t>2019.9.1</t>
  </si>
  <si>
    <t>2022.8.31</t>
  </si>
  <si>
    <t>北京优品酷卖科技有限公司</t>
  </si>
  <si>
    <t>2021.4.24</t>
  </si>
  <si>
    <t>2024.4.25</t>
  </si>
  <si>
    <t>北京炫彩名扬图文设计有限公司</t>
  </si>
  <si>
    <t>2020.10.15</t>
  </si>
  <si>
    <t>2023.10.14</t>
  </si>
  <si>
    <t>103、114、115</t>
  </si>
  <si>
    <t>2017.11.26</t>
  </si>
  <si>
    <t>北京小山娘餐饮有限公司（西南朋府）</t>
  </si>
  <si>
    <t>2020.7.15</t>
  </si>
  <si>
    <t>2025.7.14</t>
  </si>
  <si>
    <t>北京渔堂餐饮管理有限公司</t>
  </si>
  <si>
    <t>2017.6.10</t>
  </si>
  <si>
    <t>2022.6.9</t>
  </si>
  <si>
    <t>亲和（北京）医院管理有限公司</t>
  </si>
  <si>
    <t>2020.10.16</t>
  </si>
  <si>
    <t>2028.10.15</t>
  </si>
  <si>
    <t>北京市海淀区人民政府上地街道办事处</t>
  </si>
  <si>
    <t>2017.10.1</t>
  </si>
  <si>
    <t>2022.9.30</t>
  </si>
  <si>
    <t>B2-01</t>
  </si>
  <si>
    <t>库房</t>
  </si>
  <si>
    <t>2020.4.26</t>
  </si>
  <si>
    <t>B2-01-06</t>
  </si>
  <si>
    <t>2020.6.26</t>
  </si>
  <si>
    <t>B2-08</t>
  </si>
  <si>
    <t>B2-09</t>
  </si>
  <si>
    <t>北京爱满满餐饮管理有限公司</t>
  </si>
  <si>
    <t>2021.7.1</t>
  </si>
  <si>
    <t>2022.6.30</t>
  </si>
  <si>
    <t>位置</t>
  </si>
  <si>
    <t>面积（㎡）</t>
  </si>
  <si>
    <t>租赁期</t>
  </si>
  <si>
    <r>
      <t>租金（元</t>
    </r>
    <r>
      <rPr>
        <sz val="9"/>
        <color rgb="FF000000"/>
        <rFont val="Arial"/>
        <family val="2"/>
      </rPr>
      <t>/</t>
    </r>
    <r>
      <rPr>
        <sz val="9"/>
        <color rgb="FF000000"/>
        <rFont val="华文细黑"/>
        <family val="3"/>
        <charset val="134"/>
      </rPr>
      <t>㎡·天）</t>
    </r>
  </si>
  <si>
    <t>租金增长率</t>
  </si>
  <si>
    <t>立思辰大厦</t>
    <phoneticPr fontId="291" type="noConversion"/>
  </si>
  <si>
    <t>北京壹贰叁肆伍陆商贸有限公司</t>
  </si>
  <si>
    <r>
      <t>1</t>
    </r>
    <r>
      <rPr>
        <sz val="9"/>
        <color rgb="FF000000"/>
        <rFont val="华文细黑"/>
        <family val="3"/>
        <charset val="134"/>
      </rPr>
      <t>层</t>
    </r>
  </si>
  <si>
    <t>2020.11.13-2025-11.12</t>
  </si>
  <si>
    <r>
      <t>5000/</t>
    </r>
    <r>
      <rPr>
        <sz val="9"/>
        <color rgb="FF000000"/>
        <rFont val="华文细黑"/>
        <family val="3"/>
        <charset val="134"/>
      </rPr>
      <t>月</t>
    </r>
  </si>
  <si>
    <t>包含物业费</t>
  </si>
  <si>
    <t>北京欧珀通信有限公司</t>
  </si>
  <si>
    <r>
      <t>2</t>
    </r>
    <r>
      <rPr>
        <sz val="9"/>
        <color rgb="FF000000"/>
        <rFont val="华文细黑"/>
        <family val="3"/>
        <charset val="134"/>
      </rPr>
      <t>层</t>
    </r>
  </si>
  <si>
    <t>2020.10.01-2023.09.30</t>
  </si>
  <si>
    <r>
      <t>前三年无增长，第四年增长</t>
    </r>
    <r>
      <rPr>
        <sz val="9"/>
        <color rgb="FF000000"/>
        <rFont val="Arial"/>
        <family val="2"/>
      </rPr>
      <t>6%</t>
    </r>
  </si>
  <si>
    <t>曙光数据基础设施创新技术（北京）股份有限公司</t>
  </si>
  <si>
    <r>
      <t>4</t>
    </r>
    <r>
      <rPr>
        <sz val="9"/>
        <color rgb="FF000000"/>
        <rFont val="华文细黑"/>
        <family val="3"/>
        <charset val="134"/>
      </rPr>
      <t>层</t>
    </r>
  </si>
  <si>
    <t>2021.08.15-2023.08.14</t>
  </si>
  <si>
    <t>无增长</t>
  </si>
  <si>
    <t>2020.08.15-2023.08.14</t>
  </si>
  <si>
    <r>
      <t>前两年无增长，第三年增长</t>
    </r>
    <r>
      <rPr>
        <sz val="9"/>
        <color rgb="FF000000"/>
        <rFont val="Arial"/>
        <family val="2"/>
      </rPr>
      <t>5%</t>
    </r>
  </si>
  <si>
    <t>宁畅信息产业（北京）有限公司</t>
  </si>
  <si>
    <r>
      <t>3</t>
    </r>
    <r>
      <rPr>
        <sz val="9"/>
        <color rgb="FF000000"/>
        <rFont val="华文细黑"/>
        <family val="3"/>
        <charset val="134"/>
      </rPr>
      <t>层</t>
    </r>
  </si>
  <si>
    <t>2020.01.01-2024.12.31</t>
  </si>
  <si>
    <r>
      <t>前两年无增长，第三年增长</t>
    </r>
    <r>
      <rPr>
        <sz val="9"/>
        <color rgb="FF000000"/>
        <rFont val="Arial"/>
        <family val="2"/>
      </rPr>
      <t>6%</t>
    </r>
  </si>
  <si>
    <t>北京达佳互联信息技术有限公司</t>
  </si>
  <si>
    <t>2021.08.15-2022.09.30</t>
  </si>
  <si>
    <t>百年英才（北京）教育科技有限公司</t>
  </si>
  <si>
    <t>2021.01.01-2021.12.31</t>
  </si>
  <si>
    <t>北京跨学网教育科技有限公司</t>
  </si>
  <si>
    <t>捷特盛世（北京）科技有限公司</t>
  </si>
  <si>
    <t>北京康邦科技有限公司</t>
  </si>
  <si>
    <r>
      <t>2021.8</t>
    </r>
    <r>
      <rPr>
        <sz val="9"/>
        <color rgb="FF000000"/>
        <rFont val="华文细黑"/>
        <family val="3"/>
        <charset val="134"/>
      </rPr>
      <t>月</t>
    </r>
    <r>
      <rPr>
        <sz val="9"/>
        <color rgb="FF000000"/>
        <rFont val="Arial"/>
        <family val="2"/>
      </rPr>
      <t>15</t>
    </r>
    <r>
      <rPr>
        <sz val="9"/>
        <color rgb="FF000000"/>
        <rFont val="华文细黑"/>
        <family val="3"/>
        <charset val="134"/>
      </rPr>
      <t>日起</t>
    </r>
  </si>
  <si>
    <t>年租金</t>
    <phoneticPr fontId="147" type="noConversion"/>
  </si>
  <si>
    <t>月租金总额</t>
    <phoneticPr fontId="147" type="noConversion"/>
  </si>
  <si>
    <t>月租金</t>
    <phoneticPr fontId="147" type="noConversion"/>
  </si>
  <si>
    <t>日租金</t>
    <phoneticPr fontId="147" type="noConversion"/>
  </si>
  <si>
    <t>收益年期</t>
    <phoneticPr fontId="147" type="noConversion"/>
  </si>
  <si>
    <t>B栋</t>
    <phoneticPr fontId="147" type="noConversion"/>
  </si>
  <si>
    <t>A栋</t>
    <phoneticPr fontId="147" type="noConversion"/>
  </si>
  <si>
    <t>C栋</t>
    <phoneticPr fontId="147" type="noConversion"/>
  </si>
  <si>
    <t>序号</t>
    <phoneticPr fontId="147" type="noConversion"/>
  </si>
  <si>
    <t>承租方</t>
    <phoneticPr fontId="147" type="noConversion"/>
  </si>
  <si>
    <t>位置</t>
    <phoneticPr fontId="147" type="noConversion"/>
  </si>
  <si>
    <t>面积（㎡）</t>
    <phoneticPr fontId="147" type="noConversion"/>
  </si>
  <si>
    <t>租赁期</t>
    <phoneticPr fontId="147" type="noConversion"/>
  </si>
  <si>
    <t>备注</t>
    <phoneticPr fontId="147" type="noConversion"/>
  </si>
  <si>
    <t>易家合众（北京）信息科技有限公司</t>
    <phoneticPr fontId="147" type="noConversion"/>
  </si>
  <si>
    <t>2018-5-9至2021-5-8</t>
    <phoneticPr fontId="147" type="noConversion"/>
  </si>
  <si>
    <t>北京欧珀通信有限公司</t>
    <phoneticPr fontId="147" type="noConversion"/>
  </si>
  <si>
    <t>2层</t>
    <phoneticPr fontId="147" type="noConversion"/>
  </si>
  <si>
    <t>2019-10-1至2024-9-30</t>
    <phoneticPr fontId="147" type="noConversion"/>
  </si>
  <si>
    <t>从第四年起涨幅6%</t>
    <phoneticPr fontId="147" type="noConversion"/>
  </si>
  <si>
    <t>曙光节能技术（北京）股份有限公司</t>
    <phoneticPr fontId="147" type="noConversion"/>
  </si>
  <si>
    <t>2层204、205、206、207</t>
    <phoneticPr fontId="147" type="noConversion"/>
  </si>
  <si>
    <t>2020-8-15至2023-8-14</t>
    <phoneticPr fontId="147" type="noConversion"/>
  </si>
  <si>
    <t>从第三年起涨幅5%</t>
    <phoneticPr fontId="147" type="noConversion"/>
  </si>
  <si>
    <t>含物业费（1元/㎡·天）</t>
    <phoneticPr fontId="147" type="noConversion"/>
  </si>
  <si>
    <t>百年英才（北京）教育科技有限公司</t>
    <phoneticPr fontId="147" type="noConversion"/>
  </si>
  <si>
    <t>3层320、310</t>
    <phoneticPr fontId="147" type="noConversion"/>
  </si>
  <si>
    <t>2020-1-1至2020-12-31</t>
    <phoneticPr fontId="147" type="noConversion"/>
  </si>
  <si>
    <t>北京华睿互动广告有限公司</t>
    <phoneticPr fontId="147" type="noConversion"/>
  </si>
  <si>
    <t>3层307</t>
    <phoneticPr fontId="147" type="noConversion"/>
  </si>
  <si>
    <t>2020-2-1至2022-1-31</t>
    <phoneticPr fontId="147" type="noConversion"/>
  </si>
  <si>
    <t>北京极速传媒广告有限公司</t>
    <phoneticPr fontId="147" type="noConversion"/>
  </si>
  <si>
    <t>北京跨学网教育科技有限公司</t>
    <phoneticPr fontId="147" type="noConversion"/>
  </si>
  <si>
    <t>3层</t>
    <phoneticPr fontId="147" type="noConversion"/>
  </si>
  <si>
    <t>宁畅信息产业（北京）有限公司</t>
    <phoneticPr fontId="147" type="noConversion"/>
  </si>
  <si>
    <t>2020-1-1至2024-12-31</t>
    <phoneticPr fontId="147" type="noConversion"/>
  </si>
  <si>
    <t>从第三年起涨幅6%</t>
    <phoneticPr fontId="147" type="noConversion"/>
  </si>
  <si>
    <t>北京清帆科技有限公司</t>
    <phoneticPr fontId="147" type="noConversion"/>
  </si>
  <si>
    <t>2020-2-1至2021-1-31</t>
    <phoneticPr fontId="147" type="noConversion"/>
  </si>
  <si>
    <t>北京康邦科技有限公司</t>
    <phoneticPr fontId="147" type="noConversion"/>
  </si>
  <si>
    <t>4层</t>
    <phoneticPr fontId="147" type="noConversion"/>
  </si>
  <si>
    <t>估价对象临近高速路-京新高速，紧邻城市主干道-信息路，距离清河火车站、地铁昌平线、13号线清河站约900米，周边有320路、365路、446路、447路、495路等公交线路通达，停车便捷程度较好，综合评价交通便捷度好。</t>
    <phoneticPr fontId="5" type="noConversion"/>
  </si>
  <si>
    <t>2017年现有客户统计表（2017年12月31日）</t>
    <phoneticPr fontId="291" type="noConversion"/>
  </si>
  <si>
    <t>房号</t>
  </si>
  <si>
    <t>签约面积（㎡）</t>
  </si>
  <si>
    <t>单价
（ 元/天/㎡）</t>
    <phoneticPr fontId="291" type="noConversion"/>
  </si>
  <si>
    <t>合同起租时间</t>
  </si>
  <si>
    <t>合同截止时间</t>
  </si>
  <si>
    <t>北京正奇联讯科技有限公司</t>
    <phoneticPr fontId="291" type="noConversion"/>
  </si>
  <si>
    <t>2016.06.01</t>
  </si>
  <si>
    <t>2018.05.31</t>
  </si>
  <si>
    <t>北京和合谷餐饮管理有限公司</t>
    <phoneticPr fontId="291" type="noConversion"/>
  </si>
  <si>
    <t>2017.12.09</t>
    <phoneticPr fontId="291" type="noConversion"/>
  </si>
  <si>
    <t>2022.12.08</t>
    <phoneticPr fontId="291" type="noConversion"/>
  </si>
  <si>
    <t>北京思家餐饮管理有限公司</t>
    <phoneticPr fontId="291" type="noConversion"/>
  </si>
  <si>
    <t>2018.01.01</t>
    <phoneticPr fontId="291" type="noConversion"/>
  </si>
  <si>
    <t>2022.12.31</t>
    <phoneticPr fontId="291" type="noConversion"/>
  </si>
  <si>
    <t>北京寻客餐饮有限责任公司</t>
    <phoneticPr fontId="291" type="noConversion"/>
  </si>
  <si>
    <t>109、110</t>
    <phoneticPr fontId="291" type="noConversion"/>
  </si>
  <si>
    <t>易家合众（北京）信息科技有限公司</t>
    <phoneticPr fontId="291" type="noConversion"/>
  </si>
  <si>
    <t>2017.12.18</t>
    <phoneticPr fontId="291" type="noConversion"/>
  </si>
  <si>
    <t>2022.12.17</t>
    <phoneticPr fontId="291" type="noConversion"/>
  </si>
  <si>
    <t>北京迈克森斯医疗科技有限公司</t>
  </si>
  <si>
    <t>2016.07.01</t>
    <phoneticPr fontId="291" type="noConversion"/>
  </si>
  <si>
    <t>2018.06.30</t>
    <phoneticPr fontId="291" type="noConversion"/>
  </si>
  <si>
    <t>乐宜丰科技（北京）有限公司（佳沃茶楼）</t>
    <phoneticPr fontId="291" type="noConversion"/>
  </si>
  <si>
    <t>2015.11.06</t>
  </si>
  <si>
    <t>2017.11.05</t>
  </si>
  <si>
    <t>2017.11.06</t>
  </si>
  <si>
    <t>2018.11.05</t>
  </si>
  <si>
    <t>2018.11.06</t>
  </si>
  <si>
    <t>2019.11.05</t>
  </si>
  <si>
    <t>2019.11.06</t>
  </si>
  <si>
    <t>2021.01.05</t>
  </si>
  <si>
    <t>北京金博瑞丰经贸有限公司</t>
  </si>
  <si>
    <t>2017.05.18</t>
    <phoneticPr fontId="291" type="noConversion"/>
  </si>
  <si>
    <t>2018.05.17</t>
    <phoneticPr fontId="291" type="noConversion"/>
  </si>
  <si>
    <t>北京微创空间科技孵化器有限公司</t>
    <phoneticPr fontId="291" type="noConversion"/>
  </si>
  <si>
    <t>2015.08.31</t>
  </si>
  <si>
    <t>2020.08.31</t>
  </si>
  <si>
    <t>北京东舟技术股份有限公司</t>
    <phoneticPr fontId="291" type="noConversion"/>
  </si>
  <si>
    <t>2017.12.16</t>
    <phoneticPr fontId="291" type="noConversion"/>
  </si>
  <si>
    <t>2018.12.15</t>
    <phoneticPr fontId="291" type="noConversion"/>
  </si>
  <si>
    <t>2018.12.16</t>
    <phoneticPr fontId="291" type="noConversion"/>
  </si>
  <si>
    <t>2019.12.15</t>
    <phoneticPr fontId="291" type="noConversion"/>
  </si>
  <si>
    <t>2019.12.16</t>
    <phoneticPr fontId="291" type="noConversion"/>
  </si>
  <si>
    <t>2020.12.15</t>
    <phoneticPr fontId="291" type="noConversion"/>
  </si>
  <si>
    <t>北京信达优创通信技术有限公司</t>
    <phoneticPr fontId="291" type="noConversion"/>
  </si>
  <si>
    <t>2017.11.09</t>
    <phoneticPr fontId="291" type="noConversion"/>
  </si>
  <si>
    <t>2018.11.08</t>
    <phoneticPr fontId="291" type="noConversion"/>
  </si>
  <si>
    <t>华鑫万力科技发展有限公司</t>
    <phoneticPr fontId="291" type="noConversion"/>
  </si>
  <si>
    <t>2017.08.19</t>
    <phoneticPr fontId="291" type="noConversion"/>
  </si>
  <si>
    <t>2018.08.18</t>
    <phoneticPr fontId="291" type="noConversion"/>
  </si>
  <si>
    <t>朱守根</t>
    <phoneticPr fontId="291" type="noConversion"/>
  </si>
  <si>
    <t>2017.12.25</t>
    <phoneticPr fontId="291" type="noConversion"/>
  </si>
  <si>
    <t>2018.12.24</t>
    <phoneticPr fontId="291" type="noConversion"/>
  </si>
  <si>
    <t>2018.12.25</t>
    <phoneticPr fontId="291" type="noConversion"/>
  </si>
  <si>
    <t>2019.12.24</t>
    <phoneticPr fontId="291" type="noConversion"/>
  </si>
  <si>
    <t>2019.12.25</t>
    <phoneticPr fontId="291" type="noConversion"/>
  </si>
  <si>
    <t>2020.12.24</t>
    <phoneticPr fontId="291" type="noConversion"/>
  </si>
  <si>
    <t>深圳市海威思科技有限公司</t>
  </si>
  <si>
    <t>2017.08.30</t>
    <phoneticPr fontId="291" type="noConversion"/>
  </si>
  <si>
    <t>2018.08.29</t>
    <phoneticPr fontId="291" type="noConversion"/>
  </si>
  <si>
    <r>
      <rPr>
        <sz val="10"/>
        <rFont val="宋体"/>
        <family val="3"/>
        <charset val="134"/>
      </rPr>
      <t>基本租赁信息</t>
    </r>
  </si>
  <si>
    <t>现行价格</t>
  </si>
  <si>
    <t>签约租金及物业费</t>
  </si>
  <si>
    <t>租金递增情况</t>
  </si>
  <si>
    <t>单元号</t>
  </si>
  <si>
    <t>所属行业</t>
  </si>
  <si>
    <t>合同类型</t>
  </si>
  <si>
    <r>
      <rPr>
        <sz val="10"/>
        <rFont val="宋体"/>
        <family val="3"/>
        <charset val="134"/>
      </rPr>
      <t>建筑面积</t>
    </r>
    <r>
      <rPr>
        <sz val="10"/>
        <rFont val="Times New Roman"/>
        <family val="1"/>
      </rPr>
      <t xml:space="preserve"> (sqm)</t>
    </r>
  </si>
  <si>
    <t>开始日期</t>
  </si>
  <si>
    <t>租期（天）</t>
  </si>
  <si>
    <t>日租金</t>
  </si>
  <si>
    <r>
      <rPr>
        <sz val="10"/>
        <rFont val="宋体"/>
        <family val="3"/>
        <charset val="134"/>
      </rPr>
      <t>日租金</t>
    </r>
    <r>
      <rPr>
        <sz val="10"/>
        <rFont val="Times New Roman"/>
        <family val="1"/>
      </rPr>
      <t xml:space="preserve"> </t>
    </r>
  </si>
  <si>
    <t>月租金</t>
  </si>
  <si>
    <t>月管理费</t>
  </si>
  <si>
    <t>第一次涨租日期</t>
  </si>
  <si>
    <r>
      <rPr>
        <sz val="10"/>
        <rFont val="宋体"/>
        <family val="3"/>
        <charset val="134"/>
      </rPr>
      <t>增幅</t>
    </r>
  </si>
  <si>
    <t>调整后日租金</t>
  </si>
  <si>
    <t>调整后月租金</t>
  </si>
  <si>
    <t>第二次涨租日期</t>
  </si>
  <si>
    <t>第三次涨租日期</t>
  </si>
  <si>
    <t>第四次涨租日期</t>
  </si>
  <si>
    <t>18-2-1001</t>
  </si>
  <si>
    <t>北京天水来餐饮管理有限公司</t>
  </si>
  <si>
    <t>零售业（含餐饮）</t>
  </si>
  <si>
    <t>18-2-1002</t>
  </si>
  <si>
    <t>北京和合谷餐饮管理有限公司</t>
  </si>
  <si>
    <t>18-2-1003</t>
  </si>
  <si>
    <t>北京思家餐饮管理有限公司</t>
  </si>
  <si>
    <t>18-2-1005</t>
  </si>
  <si>
    <t>北京晋风情餐饮有限责任公司</t>
  </si>
  <si>
    <r>
      <rPr>
        <sz val="10"/>
        <rFont val="Times New Roman"/>
        <family val="1"/>
      </rPr>
      <t>18-2-1006</t>
    </r>
    <r>
      <rPr>
        <sz val="10"/>
        <rFont val="宋体"/>
        <family val="3"/>
        <charset val="134"/>
      </rPr>
      <t xml:space="preserve">
</t>
    </r>
    <r>
      <rPr>
        <sz val="10"/>
        <rFont val="Times New Roman"/>
        <family val="1"/>
      </rPr>
      <t>18-2-1007</t>
    </r>
  </si>
  <si>
    <r>
      <rPr>
        <sz val="10"/>
        <rFont val="Times New Roman"/>
        <family val="1"/>
      </rPr>
      <t>18-2-1008</t>
    </r>
    <r>
      <rPr>
        <sz val="10"/>
        <rFont val="宋体"/>
        <family val="3"/>
        <charset val="134"/>
      </rPr>
      <t xml:space="preserve">
</t>
    </r>
    <r>
      <rPr>
        <sz val="10"/>
        <rFont val="Times New Roman"/>
        <family val="1"/>
      </rPr>
      <t>18-2-1009</t>
    </r>
  </si>
  <si>
    <t>乐宜丰科技（北京）有限公司</t>
  </si>
  <si>
    <t>N/A</t>
  </si>
  <si>
    <t>18-2-1010</t>
  </si>
  <si>
    <t>贝壳找房（北京）科技有限公司</t>
    <phoneticPr fontId="276" type="noConversion"/>
  </si>
  <si>
    <t>专业服务业</t>
  </si>
  <si>
    <t>18-2-1015</t>
  </si>
  <si>
    <t>贝壳技术有限公司</t>
    <phoneticPr fontId="276" type="noConversion"/>
  </si>
  <si>
    <t>18-1-1025</t>
  </si>
  <si>
    <t>北京瑞吉咖啡有限公司</t>
  </si>
  <si>
    <t>18-2-2001</t>
  </si>
  <si>
    <t>北京韦尔科技有限公司</t>
  </si>
  <si>
    <t>IT及高科技</t>
  </si>
  <si>
    <r>
      <rPr>
        <sz val="10"/>
        <rFont val="Times New Roman"/>
        <family val="1"/>
      </rPr>
      <t>18-2-2002</t>
    </r>
    <r>
      <rPr>
        <sz val="10"/>
        <rFont val="宋体"/>
        <family val="3"/>
        <charset val="134"/>
      </rPr>
      <t xml:space="preserve">
</t>
    </r>
    <r>
      <rPr>
        <sz val="10"/>
        <rFont val="Times New Roman"/>
        <family val="1"/>
      </rPr>
      <t>18-2-2003</t>
    </r>
  </si>
  <si>
    <t>北京东舟技术股份有限公司</t>
  </si>
  <si>
    <t>18-2-2005</t>
  </si>
  <si>
    <t>东舟启明（北京）技术有限公司</t>
  </si>
  <si>
    <t>18-2-2006</t>
  </si>
  <si>
    <t>北京勤梦钉钉技术服务有限公司</t>
    <phoneticPr fontId="276" type="noConversion"/>
  </si>
  <si>
    <t>贸易</t>
  </si>
  <si>
    <t>18-2-2007</t>
  </si>
  <si>
    <t>北京北纬恒达商贸有限公司</t>
  </si>
  <si>
    <t>18-2-2008</t>
  </si>
  <si>
    <t>北京中恒驿站数码信息技术有限公司</t>
  </si>
  <si>
    <t>18-2-2009</t>
  </si>
  <si>
    <t>小船出海教育科技（北京）有限公司</t>
  </si>
  <si>
    <t>教育</t>
  </si>
  <si>
    <t>18-1-2016</t>
    <phoneticPr fontId="276" type="noConversion"/>
  </si>
  <si>
    <t>三亿汇印（北京）信息科技有限责任公司</t>
    <phoneticPr fontId="276" type="noConversion"/>
  </si>
  <si>
    <t>18-1-2017</t>
  </si>
  <si>
    <t>北京信达优创通信技术有限公司</t>
  </si>
  <si>
    <t>18-1-2018</t>
  </si>
  <si>
    <t>华鑫万力科技发展有限公司</t>
  </si>
  <si>
    <r>
      <rPr>
        <sz val="10"/>
        <rFont val="宋体"/>
        <family val="3"/>
        <charset val="134"/>
      </rPr>
      <t>租赁期限</t>
    </r>
  </si>
  <si>
    <r>
      <rPr>
        <sz val="10"/>
        <rFont val="宋体"/>
        <family val="3"/>
        <charset val="134"/>
      </rPr>
      <t>现行价格</t>
    </r>
  </si>
  <si>
    <r>
      <rPr>
        <sz val="10"/>
        <rFont val="宋体"/>
        <family val="3"/>
        <charset val="134"/>
      </rPr>
      <t>签约租金及物业费</t>
    </r>
  </si>
  <si>
    <r>
      <rPr>
        <sz val="10"/>
        <rFont val="宋体"/>
        <family val="3"/>
        <charset val="134"/>
      </rPr>
      <t>租金递增情况</t>
    </r>
  </si>
  <si>
    <r>
      <rPr>
        <sz val="10"/>
        <rFont val="宋体"/>
        <family val="3"/>
        <charset val="134"/>
      </rPr>
      <t>序号</t>
    </r>
  </si>
  <si>
    <r>
      <rPr>
        <sz val="10"/>
        <rFont val="宋体"/>
        <family val="3"/>
        <charset val="134"/>
      </rPr>
      <t>楼层</t>
    </r>
  </si>
  <si>
    <r>
      <rPr>
        <sz val="10"/>
        <rFont val="宋体"/>
        <family val="3"/>
        <charset val="134"/>
      </rPr>
      <t>单元号</t>
    </r>
  </si>
  <si>
    <r>
      <rPr>
        <sz val="10"/>
        <rFont val="宋体"/>
        <family val="3"/>
        <charset val="134"/>
      </rPr>
      <t>租户名称</t>
    </r>
  </si>
  <si>
    <r>
      <rPr>
        <sz val="10"/>
        <rFont val="宋体"/>
        <family val="3"/>
        <charset val="134"/>
      </rPr>
      <t>所属行业</t>
    </r>
  </si>
  <si>
    <r>
      <rPr>
        <sz val="10"/>
        <rFont val="宋体"/>
        <family val="3"/>
        <charset val="134"/>
      </rPr>
      <t>合同类型</t>
    </r>
  </si>
  <si>
    <r>
      <rPr>
        <sz val="10"/>
        <rFont val="宋体"/>
        <family val="3"/>
        <charset val="134"/>
      </rPr>
      <t>开始日期</t>
    </r>
  </si>
  <si>
    <r>
      <rPr>
        <sz val="10"/>
        <rFont val="宋体"/>
        <family val="3"/>
        <charset val="134"/>
      </rPr>
      <t>结束日期</t>
    </r>
  </si>
  <si>
    <r>
      <rPr>
        <sz val="10"/>
        <rFont val="宋体"/>
        <family val="3"/>
        <charset val="134"/>
      </rPr>
      <t>租期（天）</t>
    </r>
  </si>
  <si>
    <r>
      <rPr>
        <sz val="10"/>
        <rFont val="宋体"/>
        <family val="3"/>
        <charset val="134"/>
      </rPr>
      <t>日租金</t>
    </r>
  </si>
  <si>
    <r>
      <rPr>
        <sz val="10"/>
        <rFont val="宋体"/>
        <family val="3"/>
        <charset val="134"/>
      </rPr>
      <t>月租金</t>
    </r>
  </si>
  <si>
    <r>
      <rPr>
        <sz val="10"/>
        <rFont val="宋体"/>
        <family val="3"/>
        <charset val="134"/>
      </rPr>
      <t>月管理费</t>
    </r>
  </si>
  <si>
    <r>
      <rPr>
        <sz val="10"/>
        <rFont val="宋体"/>
        <family val="3"/>
        <charset val="134"/>
      </rPr>
      <t>第一次涨租日期</t>
    </r>
  </si>
  <si>
    <r>
      <rPr>
        <sz val="10"/>
        <rFont val="宋体"/>
        <family val="3"/>
        <charset val="134"/>
      </rPr>
      <t>调整后日租金</t>
    </r>
  </si>
  <si>
    <r>
      <rPr>
        <sz val="10"/>
        <rFont val="宋体"/>
        <family val="3"/>
        <charset val="134"/>
      </rPr>
      <t>调整后月租金</t>
    </r>
  </si>
  <si>
    <r>
      <rPr>
        <sz val="10"/>
        <rFont val="宋体"/>
        <family val="3"/>
        <charset val="134"/>
      </rPr>
      <t>第二次涨租日期</t>
    </r>
  </si>
  <si>
    <r>
      <rPr>
        <sz val="10"/>
        <rFont val="宋体"/>
        <family val="3"/>
        <charset val="134"/>
      </rPr>
      <t>第三次涨租日期</t>
    </r>
  </si>
  <si>
    <r>
      <rPr>
        <sz val="10"/>
        <rFont val="宋体"/>
        <family val="3"/>
        <charset val="134"/>
      </rPr>
      <t>第四次涨租日期</t>
    </r>
  </si>
  <si>
    <r>
      <rPr>
        <sz val="10"/>
        <rFont val="微软雅黑"/>
        <family val="2"/>
        <charset val="134"/>
      </rPr>
      <t>北京天水来餐饮管理有限公司</t>
    </r>
  </si>
  <si>
    <r>
      <rPr>
        <sz val="10"/>
        <rFont val="宋体"/>
        <family val="3"/>
        <charset val="134"/>
      </rPr>
      <t>零售业（含餐饮）</t>
    </r>
  </si>
  <si>
    <r>
      <rPr>
        <sz val="10"/>
        <rFont val="微软雅黑"/>
        <family val="2"/>
        <charset val="134"/>
      </rPr>
      <t>北京和合谷餐饮管理有限公司</t>
    </r>
  </si>
  <si>
    <r>
      <rPr>
        <sz val="10"/>
        <rFont val="微软雅黑"/>
        <family val="2"/>
        <charset val="134"/>
      </rPr>
      <t>北京思家餐饮管理有限公司</t>
    </r>
  </si>
  <si>
    <r>
      <rPr>
        <sz val="10"/>
        <rFont val="微软雅黑"/>
        <family val="2"/>
        <charset val="134"/>
      </rPr>
      <t>北京晋风情餐饮有限责任公司</t>
    </r>
  </si>
  <si>
    <t>18-2-1006
18-2-1007</t>
  </si>
  <si>
    <r>
      <rPr>
        <sz val="10"/>
        <rFont val="微软雅黑"/>
        <family val="2"/>
        <charset val="134"/>
      </rPr>
      <t>易家合众（北京）信息科技有限公司</t>
    </r>
  </si>
  <si>
    <t>18-2-1008
18-2-1009</t>
  </si>
  <si>
    <r>
      <rPr>
        <sz val="10"/>
        <rFont val="微软雅黑"/>
        <family val="2"/>
        <charset val="134"/>
      </rPr>
      <t>乐宜丰科技（北京）有限公司</t>
    </r>
  </si>
  <si>
    <r>
      <rPr>
        <sz val="10"/>
        <rFont val="微软雅黑"/>
        <family val="2"/>
        <charset val="134"/>
      </rPr>
      <t>贝壳找房（北京）科技有限公司</t>
    </r>
  </si>
  <si>
    <r>
      <rPr>
        <sz val="10"/>
        <rFont val="宋体"/>
        <family val="3"/>
        <charset val="134"/>
      </rPr>
      <t>专业服务业</t>
    </r>
  </si>
  <si>
    <r>
      <rPr>
        <sz val="10"/>
        <rFont val="宋体"/>
        <family val="3"/>
        <charset val="134"/>
      </rPr>
      <t>办公</t>
    </r>
  </si>
  <si>
    <t>贝壳技术有限公司</t>
  </si>
  <si>
    <r>
      <rPr>
        <sz val="10"/>
        <rFont val="微软雅黑"/>
        <family val="2"/>
        <charset val="134"/>
      </rPr>
      <t>北京瑞吉咖啡有限公司</t>
    </r>
  </si>
  <si>
    <r>
      <rPr>
        <sz val="10"/>
        <rFont val="微软雅黑"/>
        <family val="2"/>
        <charset val="134"/>
      </rPr>
      <t>北京韦尔科技有限公司</t>
    </r>
  </si>
  <si>
    <r>
      <rPr>
        <sz val="10"/>
        <rFont val="Times New Roman"/>
        <family val="1"/>
      </rPr>
      <t>IT</t>
    </r>
    <r>
      <rPr>
        <sz val="10"/>
        <rFont val="宋体"/>
        <family val="3"/>
        <charset val="134"/>
      </rPr>
      <t>及高科技</t>
    </r>
  </si>
  <si>
    <t>18-2-2002
18-2-2003</t>
  </si>
  <si>
    <r>
      <rPr>
        <sz val="10"/>
        <rFont val="微软雅黑"/>
        <family val="2"/>
        <charset val="134"/>
      </rPr>
      <t>北京东舟技术股份有限公司</t>
    </r>
  </si>
  <si>
    <r>
      <rPr>
        <sz val="10"/>
        <rFont val="微软雅黑"/>
        <family val="2"/>
        <charset val="134"/>
      </rPr>
      <t>东舟启明（北京）技术有限公司</t>
    </r>
  </si>
  <si>
    <r>
      <rPr>
        <sz val="10"/>
        <rFont val="微软雅黑"/>
        <family val="2"/>
        <charset val="134"/>
      </rPr>
      <t>北京勤梦钉钉技术服务有限公司</t>
    </r>
  </si>
  <si>
    <r>
      <rPr>
        <sz val="10"/>
        <rFont val="宋体"/>
        <family val="3"/>
        <charset val="134"/>
      </rPr>
      <t>贸易</t>
    </r>
  </si>
  <si>
    <r>
      <rPr>
        <sz val="10"/>
        <rFont val="微软雅黑"/>
        <family val="2"/>
        <charset val="134"/>
      </rPr>
      <t>北京北纬恒达商贸有限公司</t>
    </r>
  </si>
  <si>
    <t>18-1-2016</t>
  </si>
  <si>
    <t>三亿汇智（北京）科技有限责任公司</t>
  </si>
  <si>
    <r>
      <rPr>
        <sz val="10"/>
        <rFont val="微软雅黑"/>
        <family val="2"/>
        <charset val="134"/>
      </rPr>
      <t>北京信达优创通信技术有限公司</t>
    </r>
  </si>
  <si>
    <r>
      <rPr>
        <sz val="10"/>
        <rFont val="微软雅黑"/>
        <family val="2"/>
        <charset val="134"/>
      </rPr>
      <t>华鑫万力科技发展有限公司</t>
    </r>
  </si>
  <si>
    <t>建筑面积 (sqm)</t>
  </si>
  <si>
    <t xml:space="preserve">日租金 </t>
  </si>
  <si>
    <t>增幅</t>
  </si>
  <si>
    <t>18-2-2002</t>
  </si>
  <si>
    <t>基本租赁信息</t>
  </si>
  <si>
    <t>天好（北京）餐饮服务有限公司</t>
  </si>
  <si>
    <t>2001-2008</t>
  </si>
  <si>
    <t>大连塞特斯科技有限公司</t>
  </si>
  <si>
    <t>22016-2019</t>
  </si>
  <si>
    <t>大连浮点科技有限公司</t>
  </si>
  <si>
    <t>租赁租户</t>
  </si>
  <si>
    <t>北京酝堇商贸有限公司</t>
  </si>
  <si>
    <t>18-2-1006-1007</t>
  </si>
  <si>
    <r>
      <rPr>
        <sz val="10"/>
        <rFont val="微软雅黑"/>
        <family val="2"/>
        <charset val="134"/>
      </rPr>
      <t>北京西部马华餐饮有限公司</t>
    </r>
    <r>
      <rPr>
        <u/>
        <sz val="12"/>
        <rFont val="Times New Roman"/>
        <family val="1"/>
      </rPr>
      <t xml:space="preserve"> </t>
    </r>
  </si>
  <si>
    <t>1层</t>
    <phoneticPr fontId="147" type="noConversion"/>
  </si>
  <si>
    <t>建筑面积</t>
    <phoneticPr fontId="147" type="noConversion"/>
  </si>
  <si>
    <t>用途</t>
    <phoneticPr fontId="147" type="noConversion"/>
  </si>
  <si>
    <t>北京航铁通科技有限公司</t>
    <phoneticPr fontId="147" type="noConversion"/>
  </si>
  <si>
    <r>
      <t>海淀区上地信息路7号数字传媒大厦一层</t>
    </r>
    <r>
      <rPr>
        <sz val="11"/>
        <color theme="1"/>
        <rFont val="DengXian"/>
        <scheme val="minor"/>
      </rPr>
      <t>003号</t>
    </r>
    <phoneticPr fontId="147" type="noConversion"/>
  </si>
  <si>
    <t>3个月</t>
    <phoneticPr fontId="147" type="noConversion"/>
  </si>
  <si>
    <t>租金单价（元/建筑平方米/日）</t>
    <phoneticPr fontId="147" type="noConversion"/>
  </si>
  <si>
    <t>含物业费1.2元/建筑平方米/日</t>
    <phoneticPr fontId="147" type="noConversion"/>
  </si>
  <si>
    <t>净租金</t>
    <phoneticPr fontId="147" type="noConversion"/>
  </si>
  <si>
    <t>北京开心互娱信息技术有限公司</t>
    <phoneticPr fontId="147" type="noConversion"/>
  </si>
  <si>
    <t>海淀区上地信息路7号数字传媒大厦一层101号</t>
    <phoneticPr fontId="147" type="noConversion"/>
  </si>
  <si>
    <t>3年</t>
    <phoneticPr fontId="147" type="noConversion"/>
  </si>
  <si>
    <t>北京丽丽日夜小商品店</t>
    <phoneticPr fontId="147" type="noConversion"/>
  </si>
  <si>
    <t>海淀区上地信息路7号数字传媒大厦一层002号</t>
    <phoneticPr fontId="147" type="noConversion"/>
  </si>
  <si>
    <t>北京世玩互娱信息技术有限公司</t>
    <phoneticPr fontId="147" type="noConversion"/>
  </si>
  <si>
    <t>海淀区上地信息路7号数字传媒大厦一层008号</t>
    <phoneticPr fontId="147" type="noConversion"/>
  </si>
  <si>
    <t>北京正奇联讯科技有限公司</t>
    <phoneticPr fontId="147" type="noConversion"/>
  </si>
  <si>
    <t>海淀区上地信息路7号数字传媒大厦一层102号</t>
    <phoneticPr fontId="147" type="noConversion"/>
  </si>
  <si>
    <t>2年</t>
    <phoneticPr fontId="147" type="noConversion"/>
  </si>
  <si>
    <t>北京和合谷餐饮管理有限公司</t>
    <phoneticPr fontId="147" type="noConversion"/>
  </si>
  <si>
    <t>餐饮</t>
    <phoneticPr fontId="147" type="noConversion"/>
  </si>
  <si>
    <t>5年</t>
    <phoneticPr fontId="147" type="noConversion"/>
  </si>
  <si>
    <t>北京思家餐饮管理有限公司（小恒水饺）</t>
    <phoneticPr fontId="147" type="noConversion"/>
  </si>
  <si>
    <t>海淀区上地信息路7号1层18-2-103</t>
    <phoneticPr fontId="147" type="noConversion"/>
  </si>
  <si>
    <t>海淀区上地信息路7号1层18-2-106</t>
    <phoneticPr fontId="147" type="noConversion"/>
  </si>
  <si>
    <t>海淀区上地信息路7号1层18-2-108</t>
    <phoneticPr fontId="147" type="noConversion"/>
  </si>
  <si>
    <t>北京寻客餐饮有限责任公司（他二哥刀削面）</t>
    <phoneticPr fontId="147" type="noConversion"/>
  </si>
  <si>
    <t>海淀区上地信息路7号1层18-2-109、110</t>
    <phoneticPr fontId="147" type="noConversion"/>
  </si>
  <si>
    <t>超市</t>
    <phoneticPr fontId="147" type="noConversion"/>
  </si>
  <si>
    <t>易家合众（北京）信息科技有限公司（超市天天易家）</t>
    <phoneticPr fontId="147" type="noConversion"/>
  </si>
  <si>
    <t>海淀区上地信息路7号数字传媒大厦一层111号</t>
    <phoneticPr fontId="147" type="noConversion"/>
  </si>
  <si>
    <t>办公、商务及展示</t>
    <phoneticPr fontId="147" type="noConversion"/>
  </si>
  <si>
    <t>5年2个月（免租两个月）</t>
    <phoneticPr fontId="147" type="noConversion"/>
  </si>
  <si>
    <t>链家网（北京）科技有限公司</t>
    <phoneticPr fontId="147" type="noConversion"/>
  </si>
  <si>
    <t>海淀区上地信息路7号1层18-2-109、1010</t>
    <phoneticPr fontId="147" type="noConversion"/>
  </si>
  <si>
    <t>办公</t>
    <phoneticPr fontId="147" type="noConversion"/>
  </si>
  <si>
    <r>
      <t>3</t>
    </r>
    <r>
      <rPr>
        <sz val="11"/>
        <color theme="1"/>
        <rFont val="DengXian"/>
        <scheme val="minor"/>
      </rPr>
      <t>6个月</t>
    </r>
    <phoneticPr fontId="147" type="noConversion"/>
  </si>
  <si>
    <t>海淀区上地信息路7号弘源首著大厦1号楼一层中庭部分面积</t>
    <phoneticPr fontId="147" type="noConversion"/>
  </si>
  <si>
    <t>商业</t>
    <phoneticPr fontId="147" type="noConversion"/>
  </si>
  <si>
    <t>北京瑞吉咖啡有限公司（瑞幸咖啡）</t>
    <phoneticPr fontId="147" type="noConversion"/>
  </si>
  <si>
    <t>北京西部马华餐饮有限公司</t>
    <phoneticPr fontId="147" type="noConversion"/>
  </si>
  <si>
    <t>海淀区上地信息路7号弘源首著项目1层18-2-1006至18-2-1007</t>
    <phoneticPr fontId="147" type="noConversion"/>
  </si>
  <si>
    <r>
      <t>6</t>
    </r>
    <r>
      <rPr>
        <sz val="11"/>
        <color theme="1"/>
        <rFont val="DengXian"/>
        <scheme val="minor"/>
      </rPr>
      <t>0个月</t>
    </r>
    <phoneticPr fontId="147" type="noConversion"/>
  </si>
  <si>
    <t>海淀区上地信息路7号弘源首著项目1层中庭部分面积</t>
    <phoneticPr fontId="147" type="noConversion"/>
  </si>
  <si>
    <t>天好（北京）餐饮服务有限公司（Tims coffee)</t>
    <phoneticPr fontId="147" type="noConversion"/>
  </si>
  <si>
    <t>海淀区上地信息路7号1层18-2-1001</t>
    <phoneticPr fontId="147" type="noConversion"/>
  </si>
  <si>
    <t>北京天水来餐饮管理有限公司（仔皇煲）</t>
    <phoneticPr fontId="147" type="noConversion"/>
  </si>
  <si>
    <t>任小庆</t>
    <phoneticPr fontId="147" type="noConversion"/>
  </si>
  <si>
    <t>海淀区上地信息路7号弘源首著项目1层18-2-1005</t>
    <phoneticPr fontId="147" type="noConversion"/>
  </si>
  <si>
    <t>海淀区上地信息路7号弘源首著项目1层18-2-1008</t>
    <phoneticPr fontId="147" type="noConversion"/>
  </si>
  <si>
    <t>乐宜丰科技（北京）有限公司(佳沃茶社）</t>
    <phoneticPr fontId="147" type="noConversion"/>
  </si>
  <si>
    <t>办公</t>
    <phoneticPr fontId="147" type="noConversion"/>
  </si>
  <si>
    <t>弘源首著大厦</t>
    <phoneticPr fontId="5" type="noConversion"/>
  </si>
  <si>
    <r>
      <t>101</t>
    </r>
    <r>
      <rPr>
        <sz val="11"/>
        <color theme="9" tint="-0.249977111117893"/>
        <rFont val="宋体"/>
        <family val="3"/>
        <charset val="134"/>
      </rPr>
      <t>、</t>
    </r>
    <r>
      <rPr>
        <sz val="11"/>
        <color theme="9" tint="-0.249977111117893"/>
        <rFont val="Arial"/>
        <family val="2"/>
      </rPr>
      <t>102</t>
    </r>
    <phoneticPr fontId="27" type="noConversion"/>
  </si>
  <si>
    <t>数字传媒大厦</t>
    <phoneticPr fontId="27" type="noConversion"/>
  </si>
  <si>
    <t>城市主干道-信息路</t>
    <phoneticPr fontId="5" type="noConversion"/>
  </si>
  <si>
    <t>城市支路-上地六街</t>
    <phoneticPr fontId="27" type="noConversion"/>
  </si>
  <si>
    <t>城市支路</t>
  </si>
  <si>
    <t>城市支路</t>
    <phoneticPr fontId="27" type="noConversion"/>
  </si>
  <si>
    <t>主干道</t>
  </si>
  <si>
    <t>主干道—信息路</t>
    <phoneticPr fontId="27" type="noConversion"/>
  </si>
  <si>
    <t>1层</t>
    <phoneticPr fontId="27" type="noConversion"/>
  </si>
  <si>
    <t>2层</t>
  </si>
  <si>
    <t>2层</t>
    <phoneticPr fontId="27" type="noConversion"/>
  </si>
  <si>
    <t>次甲级</t>
    <phoneticPr fontId="27" type="noConversion"/>
  </si>
  <si>
    <t>物业类型</t>
    <phoneticPr fontId="27" type="noConversion"/>
  </si>
  <si>
    <t>银行网点</t>
    <phoneticPr fontId="27" type="noConversion"/>
  </si>
  <si>
    <r>
      <rPr>
        <sz val="11"/>
        <color indexed="8"/>
        <rFont val="宋体"/>
        <family val="3"/>
        <charset val="134"/>
      </rPr>
      <t>日常办公</t>
    </r>
    <r>
      <rPr>
        <sz val="11"/>
        <color indexed="8"/>
        <rFont val="Arial"/>
        <family val="2"/>
      </rPr>
      <t>/</t>
    </r>
    <r>
      <rPr>
        <sz val="11"/>
        <color indexed="8"/>
        <rFont val="宋体"/>
        <family val="3"/>
        <charset val="134"/>
      </rPr>
      <t>餐饮</t>
    </r>
    <phoneticPr fontId="27" type="noConversion"/>
  </si>
  <si>
    <t>日常办公/餐饮</t>
    <phoneticPr fontId="27" type="noConversion"/>
  </si>
  <si>
    <t>较好</t>
    <phoneticPr fontId="27" type="noConversion"/>
  </si>
  <si>
    <t>一般</t>
    <phoneticPr fontId="27" type="noConversion"/>
  </si>
  <si>
    <t>可视度</t>
    <phoneticPr fontId="27" type="noConversion"/>
  </si>
  <si>
    <r>
      <t>201</t>
    </r>
    <r>
      <rPr>
        <sz val="11"/>
        <color theme="9" tint="-0.249977111117893"/>
        <rFont val="宋体"/>
        <family val="3"/>
        <charset val="134"/>
      </rPr>
      <t>、</t>
    </r>
    <r>
      <rPr>
        <sz val="11"/>
        <color theme="9" tint="-0.249977111117893"/>
        <rFont val="Arial"/>
        <family val="2"/>
      </rPr>
      <t>202</t>
    </r>
    <phoneticPr fontId="27" type="noConversion"/>
  </si>
  <si>
    <t>1层</t>
    <phoneticPr fontId="147" type="noConversion"/>
  </si>
  <si>
    <t>2层</t>
    <phoneticPr fontId="147" type="noConversion"/>
  </si>
  <si>
    <t>增长率（%）</t>
    <phoneticPr fontId="147" type="noConversion"/>
  </si>
  <si>
    <t>租期</t>
    <phoneticPr fontId="147" type="noConversion"/>
  </si>
  <si>
    <t>租金（元/㎡/天）</t>
    <phoneticPr fontId="147" type="noConversion"/>
  </si>
  <si>
    <t>面积（㎡）</t>
    <phoneticPr fontId="147" type="noConversion"/>
  </si>
  <si>
    <t>-</t>
    <phoneticPr fontId="147" type="noConversion"/>
  </si>
  <si>
    <t>36个月</t>
    <phoneticPr fontId="147" type="noConversion"/>
  </si>
  <si>
    <t>60个月</t>
    <phoneticPr fontId="147" type="noConversion"/>
  </si>
  <si>
    <t>总租金（万元）</t>
    <phoneticPr fontId="147" type="noConversion"/>
  </si>
  <si>
    <t>物业费（万元）</t>
    <phoneticPr fontId="147" type="noConversion"/>
  </si>
  <si>
    <t>小计</t>
    <phoneticPr fontId="147" type="noConversion"/>
  </si>
  <si>
    <t>合计</t>
    <phoneticPr fontId="147" type="noConversion"/>
  </si>
  <si>
    <t>2015.05.01-2015.12.31</t>
    <phoneticPr fontId="5" type="noConversion"/>
  </si>
  <si>
    <t>北京世玩互娱信息技术有限公司</t>
    <phoneticPr fontId="27" type="noConversion"/>
  </si>
  <si>
    <t>乐宜丰科技（北京）有限公司</t>
    <phoneticPr fontId="27" type="noConversion"/>
  </si>
  <si>
    <t>北京配天技术有限公司</t>
    <phoneticPr fontId="147" type="noConversion"/>
  </si>
  <si>
    <t>北京微创空间科技孵化器有限公司</t>
    <phoneticPr fontId="147" type="noConversion"/>
  </si>
  <si>
    <t>城市支路-上地六街</t>
    <phoneticPr fontId="147" type="noConversion"/>
  </si>
  <si>
    <t>银行网点</t>
    <phoneticPr fontId="147" type="noConversion"/>
  </si>
  <si>
    <t>日常办公</t>
    <phoneticPr fontId="147" type="noConversion"/>
  </si>
  <si>
    <r>
      <rPr>
        <sz val="11"/>
        <color indexed="8"/>
        <rFont val="宋体"/>
        <family val="3"/>
        <charset val="134"/>
      </rPr>
      <t>日常办公</t>
    </r>
    <r>
      <rPr>
        <sz val="11"/>
        <color indexed="8"/>
        <rFont val="Arial"/>
        <family val="2"/>
      </rPr>
      <t/>
    </r>
    <phoneticPr fontId="27" type="noConversion"/>
  </si>
  <si>
    <t>一般</t>
    <phoneticPr fontId="147" type="noConversion"/>
  </si>
  <si>
    <t>台账</t>
    <phoneticPr fontId="147" type="noConversion"/>
  </si>
  <si>
    <t>1层</t>
    <phoneticPr fontId="147" type="noConversion"/>
  </si>
  <si>
    <t>2层</t>
    <phoneticPr fontId="147" type="noConversion"/>
  </si>
  <si>
    <t>-</t>
    <phoneticPr fontId="147" type="noConversion"/>
  </si>
  <si>
    <t>合同租金（2015-2023物业费均为1.2）</t>
    <phoneticPr fontId="147" type="noConversion"/>
  </si>
  <si>
    <r>
      <t>203</t>
    </r>
    <r>
      <rPr>
        <sz val="11"/>
        <color theme="9" tint="-0.249977111117893"/>
        <rFont val="宋体"/>
        <family val="3"/>
        <charset val="134"/>
      </rPr>
      <t>北京东舟技术股份有限公司</t>
    </r>
    <phoneticPr fontId="147" type="noConversion"/>
  </si>
  <si>
    <r>
      <t>209</t>
    </r>
    <r>
      <rPr>
        <sz val="11"/>
        <color theme="9" tint="-0.249977111117893"/>
        <rFont val="宋体"/>
        <family val="3"/>
        <charset val="134"/>
      </rPr>
      <t>朱守根</t>
    </r>
    <phoneticPr fontId="147" type="noConversion"/>
  </si>
  <si>
    <t>数码科技广场（上地数码广场）</t>
    <phoneticPr fontId="147" type="noConversion"/>
  </si>
  <si>
    <t>城市支路-上地九街</t>
    <phoneticPr fontId="147" type="noConversion"/>
  </si>
  <si>
    <t>乙级</t>
  </si>
  <si>
    <t>较好</t>
    <phoneticPr fontId="147" type="noConversion"/>
  </si>
  <si>
    <t>含物业费单价</t>
    <phoneticPr fontId="147" type="noConversion"/>
  </si>
  <si>
    <t>含物业费总价</t>
    <phoneticPr fontId="147" type="noConversion"/>
  </si>
  <si>
    <t>2014年基准地价商业用途楼层修正系数</t>
    <phoneticPr fontId="147" type="noConversion"/>
  </si>
  <si>
    <t>地上1层</t>
    <phoneticPr fontId="147" type="noConversion"/>
  </si>
  <si>
    <t>地上2层</t>
    <phoneticPr fontId="147" type="noConversion"/>
  </si>
  <si>
    <t>3-7级</t>
    <phoneticPr fontId="147" type="noConversion"/>
  </si>
  <si>
    <t>年</t>
    <phoneticPr fontId="147" type="noConversion"/>
  </si>
  <si>
    <t>天</t>
    <phoneticPr fontId="147" type="noConversion"/>
  </si>
  <si>
    <t>毛坯</t>
  </si>
  <si>
    <t>塔楼</t>
  </si>
  <si>
    <t>甲级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</si>
</sst>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4" formatCode="_ &quot;¥&quot;* #,##0.00_ ;_ &quot;¥&quot;* \-#,##0.00_ ;_ &quot;¥&quot;* &quot;-&quot;??_ ;_ @_ "/>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 numFmtId="196" formatCode="#,##0.00_ "/>
    <numFmt numFmtId="197" formatCode="0.00_);\(0.00\)"/>
    <numFmt numFmtId="198" formatCode="[$-409]d/mmm/yyyy;@"/>
    <numFmt numFmtId="199" formatCode="[$-409]d/mmm/yy;@"/>
  </numFmts>
  <fonts count="339">
    <font>
      <sz val="11"/>
      <color theme="1"/>
      <name val="DengXian"/>
      <charset val="134"/>
      <scheme val="minor"/>
    </font>
    <font>
      <sz val="11"/>
      <color theme="1"/>
      <name val="DengXian"/>
      <family val="2"/>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DengXian"/>
      <family val="3"/>
      <charset val="134"/>
      <scheme val="minor"/>
    </font>
    <font>
      <b/>
      <sz val="11"/>
      <color theme="1"/>
      <name val="DengXian"/>
      <family val="3"/>
      <charset val="134"/>
      <scheme val="minor"/>
    </font>
    <font>
      <sz val="11"/>
      <color rgb="FFFF0000"/>
      <name val="DengXian"/>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DengXian"/>
      <family val="3"/>
      <charset val="134"/>
      <scheme val="minor"/>
    </font>
    <font>
      <b/>
      <sz val="11"/>
      <color rgb="FFFF0000"/>
      <name val="DengXian"/>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DengXian"/>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DengXian"/>
      <family val="3"/>
      <charset val="134"/>
      <scheme val="minor"/>
    </font>
    <font>
      <b/>
      <sz val="16"/>
      <color rgb="FFFF0000"/>
      <name val="DengXian Light"/>
      <family val="3"/>
      <charset val="134"/>
      <scheme val="major"/>
    </font>
    <font>
      <b/>
      <sz val="16"/>
      <color theme="1"/>
      <name val="DengXian Light"/>
      <family val="3"/>
      <charset val="134"/>
      <scheme val="major"/>
    </font>
    <font>
      <sz val="16"/>
      <color theme="1"/>
      <name val="DengXian"/>
      <family val="3"/>
      <charset val="134"/>
      <scheme val="minor"/>
    </font>
    <font>
      <b/>
      <sz val="16"/>
      <color theme="1"/>
      <name val="DengXian"/>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DengXian"/>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DengXian"/>
      <family val="3"/>
      <charset val="134"/>
      <scheme val="minor"/>
    </font>
    <font>
      <sz val="12"/>
      <color theme="1"/>
      <name val="DengXian"/>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DengXian"/>
      <family val="3"/>
      <charset val="134"/>
      <scheme val="minor"/>
    </font>
    <font>
      <sz val="11"/>
      <color theme="1"/>
      <name val="DengXian"/>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DengXian"/>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DengXian"/>
      <family val="3"/>
      <charset val="134"/>
      <scheme val="minor"/>
    </font>
    <font>
      <sz val="14"/>
      <color theme="1"/>
      <name val="DengXian"/>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DengXian"/>
      <family val="3"/>
      <charset val="134"/>
      <scheme val="minor"/>
    </font>
    <font>
      <sz val="10"/>
      <color indexed="8"/>
      <name val="DengXian"/>
      <family val="3"/>
      <charset val="134"/>
      <scheme val="minor"/>
    </font>
    <font>
      <b/>
      <sz val="12"/>
      <color rgb="FF000000"/>
      <name val="DengXian"/>
      <family val="3"/>
      <charset val="134"/>
      <scheme val="minor"/>
    </font>
    <font>
      <sz val="12"/>
      <color indexed="8"/>
      <name val="DengXian"/>
      <family val="3"/>
      <charset val="134"/>
      <scheme val="minor"/>
    </font>
    <font>
      <sz val="12"/>
      <color rgb="FF000000"/>
      <name val="DengXian"/>
      <family val="3"/>
      <charset val="134"/>
      <scheme val="minor"/>
    </font>
    <font>
      <b/>
      <i/>
      <sz val="12"/>
      <color theme="3" tint="0.39997558519241921"/>
      <name val="DengXian"/>
      <family val="3"/>
      <charset val="134"/>
      <scheme val="minor"/>
    </font>
    <font>
      <sz val="14"/>
      <color theme="9" tint="-0.249977111117893"/>
      <name val="DengXian"/>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DengXian"/>
      <family val="3"/>
      <charset val="134"/>
      <scheme val="minor"/>
    </font>
    <font>
      <sz val="10"/>
      <color rgb="FFE36C0A"/>
      <name val="DengXian"/>
      <family val="3"/>
      <charset val="134"/>
      <scheme val="minor"/>
    </font>
    <font>
      <sz val="10"/>
      <color rgb="FF000000"/>
      <name val="DengXian"/>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DengXian"/>
      <family val="3"/>
      <charset val="134"/>
      <scheme val="minor"/>
    </font>
    <font>
      <sz val="16"/>
      <color theme="1"/>
      <name val="Arial"/>
      <family val="2"/>
    </font>
    <font>
      <b/>
      <sz val="14"/>
      <color rgb="FFFF0000"/>
      <name val="DengXian"/>
      <family val="3"/>
      <charset val="134"/>
      <scheme val="minor"/>
    </font>
    <font>
      <sz val="10"/>
      <name val="DengXian"/>
      <family val="3"/>
      <charset val="134"/>
      <scheme val="minor"/>
    </font>
    <font>
      <sz val="10"/>
      <color rgb="FFFF0000"/>
      <name val="DengXian"/>
      <family val="3"/>
      <charset val="134"/>
      <scheme val="minor"/>
    </font>
    <font>
      <vertAlign val="superscript"/>
      <sz val="10"/>
      <color indexed="8"/>
      <name val="仿宋_GB2312"/>
      <family val="3"/>
      <charset val="134"/>
    </font>
    <font>
      <sz val="10"/>
      <color indexed="8"/>
      <name val="仿宋_GB2312"/>
      <family val="3"/>
      <charset val="134"/>
    </font>
    <font>
      <sz val="10"/>
      <color rgb="FFFF0000"/>
      <name val="仿宋_GB2312"/>
      <family val="3"/>
      <charset val="134"/>
    </font>
    <font>
      <b/>
      <sz val="10"/>
      <name val="DengXian Light"/>
      <family val="3"/>
      <charset val="134"/>
      <scheme val="major"/>
    </font>
    <font>
      <sz val="10"/>
      <name val="DengXian Light"/>
      <family val="3"/>
      <charset val="134"/>
      <scheme val="major"/>
    </font>
    <font>
      <sz val="9"/>
      <color theme="1"/>
      <name val="DengXian"/>
      <family val="3"/>
      <charset val="134"/>
      <scheme val="minor"/>
    </font>
    <font>
      <sz val="10"/>
      <color indexed="10"/>
      <name val="仿宋_GB2312"/>
      <family val="3"/>
      <charset val="134"/>
    </font>
    <font>
      <b/>
      <sz val="9"/>
      <name val="DengXian"/>
      <family val="3"/>
      <charset val="134"/>
      <scheme val="minor"/>
    </font>
    <font>
      <b/>
      <sz val="9"/>
      <color indexed="10"/>
      <name val="宋体"/>
      <family val="3"/>
      <charset val="134"/>
    </font>
    <font>
      <b/>
      <sz val="9"/>
      <name val="宋体"/>
      <family val="3"/>
      <charset val="134"/>
    </font>
    <font>
      <sz val="9"/>
      <color rgb="FFFF0000"/>
      <name val="DengXian"/>
      <family val="3"/>
      <charset val="134"/>
      <scheme val="minor"/>
    </font>
    <font>
      <b/>
      <sz val="14"/>
      <name val="仿宋_GB2312"/>
      <family val="3"/>
      <charset val="134"/>
    </font>
    <font>
      <sz val="9"/>
      <name val="仿宋_GB2312"/>
      <family val="3"/>
      <charset val="134"/>
    </font>
    <font>
      <sz val="11"/>
      <name val="仿宋_GB2312"/>
      <family val="3"/>
      <charset val="134"/>
    </font>
    <font>
      <vertAlign val="superscript"/>
      <sz val="12"/>
      <name val="仿宋_GB2312"/>
      <family val="3"/>
      <charset val="134"/>
    </font>
    <font>
      <vertAlign val="subscript"/>
      <sz val="12"/>
      <name val="仿宋_GB2312"/>
      <family val="3"/>
      <charset val="134"/>
    </font>
    <font>
      <sz val="12"/>
      <name val="仿宋_GB2312"/>
      <family val="3"/>
      <charset val="134"/>
    </font>
    <font>
      <sz val="10"/>
      <name val="MS Sans Serif"/>
      <family val="2"/>
    </font>
    <font>
      <sz val="9"/>
      <name val="Times New Roman"/>
      <family val="1"/>
      <charset val="134"/>
    </font>
    <font>
      <sz val="9"/>
      <name val="Times New Roman"/>
      <family val="1"/>
    </font>
    <font>
      <sz val="9"/>
      <color indexed="8"/>
      <name val="Times New Roman"/>
      <family val="1"/>
      <charset val="134"/>
    </font>
    <font>
      <sz val="9"/>
      <color indexed="8"/>
      <name val="仿宋_GB2312"/>
      <family val="3"/>
      <charset val="134"/>
    </font>
    <font>
      <sz val="8"/>
      <color indexed="8"/>
      <name val="Times New Roman"/>
      <family val="1"/>
    </font>
    <font>
      <sz val="8"/>
      <name val="仿宋_GB2312"/>
      <family val="3"/>
      <charset val="134"/>
    </font>
    <font>
      <sz val="8"/>
      <name val="Times New Roman"/>
      <family val="1"/>
      <charset val="134"/>
    </font>
    <font>
      <sz val="9"/>
      <color rgb="FFFF0000"/>
      <name val="宋体"/>
      <family val="3"/>
      <charset val="134"/>
    </font>
    <font>
      <sz val="9"/>
      <color rgb="FFFF0000"/>
      <name val="仿宋_GB2312"/>
      <family val="3"/>
      <charset val="134"/>
    </font>
    <font>
      <sz val="9"/>
      <color rgb="FFFF0000"/>
      <name val="Times New Roman"/>
      <family val="1"/>
      <charset val="134"/>
    </font>
    <font>
      <sz val="8"/>
      <color rgb="FFFF0000"/>
      <name val="Times New Roman"/>
      <family val="1"/>
      <charset val="134"/>
    </font>
    <font>
      <sz val="9"/>
      <color rgb="FFFF0000"/>
      <name val="Times New Roman"/>
      <family val="1"/>
    </font>
    <font>
      <sz val="8"/>
      <color rgb="FFFF0000"/>
      <name val="Times New Roman"/>
      <family val="1"/>
    </font>
    <font>
      <b/>
      <sz val="18"/>
      <name val="宋体"/>
      <family val="3"/>
      <charset val="134"/>
    </font>
    <font>
      <sz val="11"/>
      <color indexed="8"/>
      <name val="Arial"/>
      <family val="3"/>
      <charset val="134"/>
    </font>
    <font>
      <u/>
      <sz val="11"/>
      <color theme="10"/>
      <name val="DengXian"/>
      <family val="3"/>
      <charset val="134"/>
      <scheme val="minor"/>
    </font>
    <font>
      <sz val="9"/>
      <name val="DengXian"/>
      <family val="2"/>
      <charset val="134"/>
      <scheme val="minor"/>
    </font>
    <font>
      <sz val="9"/>
      <color rgb="FF999999"/>
      <name val="Tahoma"/>
      <family val="2"/>
    </font>
    <font>
      <sz val="9"/>
      <color rgb="FF666666"/>
      <name val="Tahoma"/>
      <family val="2"/>
    </font>
    <font>
      <sz val="9"/>
      <color rgb="FFFF5256"/>
      <name val="Arial"/>
      <family val="2"/>
    </font>
    <font>
      <sz val="9"/>
      <color rgb="FF55A500"/>
      <name val="Arial"/>
      <family val="2"/>
    </font>
    <font>
      <sz val="11"/>
      <color rgb="FFFF0000"/>
      <name val="楷体_GB2312"/>
      <family val="3"/>
      <charset val="134"/>
    </font>
    <font>
      <sz val="11"/>
      <color indexed="10"/>
      <name val="楷体_GB2312"/>
      <family val="3"/>
      <charset val="134"/>
    </font>
    <font>
      <sz val="11"/>
      <name val="Arial"/>
      <family val="3"/>
      <charset val="134"/>
    </font>
    <font>
      <sz val="11"/>
      <color rgb="FFFF0000"/>
      <name val="DengXian"/>
      <family val="2"/>
      <charset val="134"/>
      <scheme val="minor"/>
    </font>
    <font>
      <sz val="11"/>
      <color theme="1"/>
      <name val="DengXian"/>
      <family val="2"/>
      <charset val="134"/>
      <scheme val="minor"/>
    </font>
    <font>
      <sz val="12"/>
      <color theme="1"/>
      <name val="DengXian"/>
      <family val="2"/>
      <charset val="134"/>
      <scheme val="minor"/>
    </font>
    <font>
      <sz val="12"/>
      <name val="DengXian"/>
      <family val="3"/>
      <charset val="134"/>
      <scheme val="minor"/>
    </font>
    <font>
      <b/>
      <sz val="20"/>
      <color indexed="10"/>
      <name val="宋体"/>
      <family val="3"/>
      <charset val="134"/>
    </font>
    <font>
      <sz val="11"/>
      <color indexed="60"/>
      <name val="宋体"/>
      <family val="3"/>
      <charset val="134"/>
    </font>
    <font>
      <sz val="11"/>
      <color indexed="20"/>
      <name val="宋体"/>
      <family val="3"/>
      <charset val="134"/>
    </font>
    <font>
      <sz val="10"/>
      <color theme="1"/>
      <name val="DengXian Light"/>
      <family val="3"/>
      <charset val="134"/>
      <scheme val="major"/>
    </font>
    <font>
      <b/>
      <sz val="9"/>
      <color rgb="FFFF0000"/>
      <name val="DengXian"/>
      <family val="3"/>
      <charset val="134"/>
      <scheme val="minor"/>
    </font>
    <font>
      <sz val="8"/>
      <color rgb="FF000000"/>
      <name val="黑体"/>
      <family val="3"/>
      <charset val="134"/>
    </font>
    <font>
      <sz val="8"/>
      <color rgb="FF000000"/>
      <name val="宋体"/>
      <family val="3"/>
      <charset val="134"/>
    </font>
    <font>
      <b/>
      <sz val="9"/>
      <color theme="1"/>
      <name val="宋体"/>
      <family val="3"/>
      <charset val="134"/>
    </font>
    <font>
      <b/>
      <sz val="9"/>
      <color indexed="8"/>
      <name val="宋体"/>
      <family val="3"/>
      <charset val="134"/>
    </font>
    <font>
      <sz val="9"/>
      <color theme="1"/>
      <name val="DengXian"/>
      <family val="2"/>
      <charset val="134"/>
      <scheme val="minor"/>
    </font>
    <font>
      <sz val="9"/>
      <color theme="1"/>
      <name val="宋体"/>
      <family val="3"/>
      <charset val="134"/>
    </font>
    <font>
      <b/>
      <sz val="9"/>
      <color theme="1"/>
      <name val="DengXian"/>
      <family val="3"/>
      <charset val="134"/>
      <scheme val="minor"/>
    </font>
    <font>
      <sz val="9"/>
      <color theme="1"/>
      <name val="Times New Roman"/>
      <family val="1"/>
    </font>
    <font>
      <u/>
      <sz val="9"/>
      <color rgb="FF0000FF"/>
      <name val="SimSun"/>
      <family val="3"/>
      <charset val="134"/>
    </font>
    <font>
      <b/>
      <sz val="9"/>
      <color rgb="FF000000"/>
      <name val="DengXian"/>
      <family val="3"/>
      <charset val="134"/>
      <scheme val="minor"/>
    </font>
    <font>
      <sz val="9"/>
      <color rgb="FF000000"/>
      <name val="DengXian"/>
      <family val="3"/>
      <charset val="134"/>
      <scheme val="minor"/>
    </font>
    <font>
      <sz val="9"/>
      <color rgb="FF000000"/>
      <name val="宋体"/>
      <family val="3"/>
      <charset val="134"/>
    </font>
    <font>
      <sz val="9"/>
      <color rgb="FF000000"/>
      <name val="华文细黑"/>
      <family val="3"/>
      <charset val="134"/>
    </font>
    <font>
      <sz val="9"/>
      <color rgb="FF000000"/>
      <name val="Arial"/>
      <family val="2"/>
    </font>
    <font>
      <sz val="11"/>
      <color theme="1"/>
      <name val="DengXian"/>
      <family val="3"/>
      <charset val="134"/>
      <scheme val="minor"/>
    </font>
    <font>
      <b/>
      <sz val="14"/>
      <color theme="1"/>
      <name val="华文楷体"/>
      <family val="3"/>
      <charset val="134"/>
    </font>
    <font>
      <sz val="10"/>
      <name val="华文楷体"/>
      <family val="3"/>
      <charset val="134"/>
    </font>
    <font>
      <sz val="10"/>
      <color indexed="8"/>
      <name val="华文楷体"/>
      <family val="3"/>
      <charset val="134"/>
    </font>
    <font>
      <sz val="10"/>
      <color theme="1" tint="4.9989318521683403E-2"/>
      <name val="华文楷体"/>
      <family val="3"/>
      <charset val="134"/>
    </font>
    <font>
      <sz val="10"/>
      <color rgb="FFFF0000"/>
      <name val="华文楷体"/>
      <family val="3"/>
      <charset val="134"/>
    </font>
    <font>
      <sz val="10"/>
      <name val="Times New Roman"/>
      <family val="1"/>
    </font>
    <font>
      <sz val="10"/>
      <name val="微软雅黑"/>
      <family val="2"/>
      <charset val="134"/>
    </font>
    <font>
      <b/>
      <sz val="12"/>
      <name val="微软雅黑"/>
      <family val="2"/>
      <charset val="134"/>
    </font>
    <font>
      <u/>
      <sz val="12"/>
      <name val="Times New Roman"/>
      <family val="1"/>
    </font>
    <font>
      <sz val="12"/>
      <name val="微软雅黑"/>
      <family val="2"/>
      <charset val="134"/>
    </font>
    <font>
      <b/>
      <sz val="10"/>
      <color theme="0"/>
      <name val="DengXian"/>
      <family val="3"/>
      <charset val="134"/>
      <scheme val="minor"/>
    </font>
    <font>
      <b/>
      <sz val="11"/>
      <color theme="0"/>
      <name val="DengXian"/>
      <family val="3"/>
      <charset val="134"/>
      <scheme val="minor"/>
    </font>
    <font>
      <b/>
      <sz val="10"/>
      <color rgb="FFFF0000"/>
      <name val="DengXian"/>
      <family val="3"/>
      <charset val="134"/>
      <scheme val="minor"/>
    </font>
    <font>
      <b/>
      <sz val="9"/>
      <color rgb="FFFFFFFF"/>
      <name val="华文楷体"/>
      <family val="3"/>
      <charset val="134"/>
    </font>
    <font>
      <sz val="8"/>
      <color rgb="FFFF0000"/>
      <name val="黑体"/>
      <family val="3"/>
      <charset val="134"/>
    </font>
    <font>
      <sz val="11"/>
      <color theme="1"/>
      <name val="DengXian"/>
      <scheme val="minor"/>
    </font>
  </fonts>
  <fills count="5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9" tint="0.79998168889431442"/>
        <bgColor indexed="64"/>
      </patternFill>
    </fill>
    <fill>
      <patternFill patternType="solid">
        <fgColor rgb="FF66CCFF"/>
        <bgColor indexed="64"/>
      </patternFill>
    </fill>
    <fill>
      <patternFill patternType="solid">
        <fgColor indexed="51"/>
        <bgColor indexed="64"/>
      </patternFill>
    </fill>
    <fill>
      <patternFill patternType="solid">
        <fgColor indexed="55"/>
        <bgColor indexed="64"/>
      </patternFill>
    </fill>
    <fill>
      <patternFill patternType="solid">
        <fgColor indexed="40"/>
        <bgColor indexed="64"/>
      </patternFill>
    </fill>
    <fill>
      <patternFill patternType="solid">
        <fgColor indexed="41"/>
        <bgColor indexed="64"/>
      </patternFill>
    </fill>
    <fill>
      <patternFill patternType="solid">
        <fgColor indexed="27"/>
        <bgColor indexed="64"/>
      </patternFill>
    </fill>
    <fill>
      <patternFill patternType="solid">
        <fgColor indexed="42"/>
        <bgColor indexed="64"/>
      </patternFill>
    </fill>
    <fill>
      <patternFill patternType="solid">
        <fgColor theme="7" tint="0.59999389629810485"/>
        <bgColor indexed="64"/>
      </patternFill>
    </fill>
    <fill>
      <patternFill patternType="solid">
        <fgColor indexed="47"/>
        <bgColor indexed="64"/>
      </patternFill>
    </fill>
    <fill>
      <patternFill patternType="solid">
        <fgColor rgb="FFF8F8F8"/>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79998168889431442"/>
        <bgColor indexed="64"/>
      </patternFill>
    </fill>
    <fill>
      <patternFill patternType="solid">
        <fgColor indexed="43"/>
        <bgColor indexed="64"/>
      </patternFill>
    </fill>
    <fill>
      <patternFill patternType="solid">
        <fgColor indexed="45"/>
        <bgColor indexed="64"/>
      </patternFill>
    </fill>
    <fill>
      <patternFill patternType="solid">
        <fgColor rgb="FFF0F0FA"/>
        <bgColor rgb="FFF0F0FA"/>
      </patternFill>
    </fill>
    <fill>
      <patternFill patternType="solid">
        <fgColor rgb="FF264E84"/>
        <bgColor indexed="64"/>
      </patternFill>
    </fill>
    <fill>
      <patternFill patternType="solid">
        <fgColor theme="8" tint="0.7993408001953185"/>
        <bgColor indexed="64"/>
      </patternFill>
    </fill>
    <fill>
      <patternFill patternType="solid">
        <fgColor theme="8" tint="0.79992065187536243"/>
        <bgColor indexed="64"/>
      </patternFill>
    </fill>
    <fill>
      <patternFill patternType="solid">
        <fgColor theme="8" tint="0.79995117038483843"/>
        <bgColor indexed="64"/>
      </patternFill>
    </fill>
    <fill>
      <patternFill patternType="solid">
        <fgColor theme="6" tint="-0.499984740745262"/>
        <bgColor indexed="64"/>
      </patternFill>
    </fill>
    <fill>
      <patternFill patternType="solid">
        <fgColor theme="3" tint="0.79998168889431442"/>
        <bgColor indexed="64"/>
      </patternFill>
    </fill>
  </fills>
  <borders count="20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top style="medium">
        <color auto="1"/>
      </top>
      <bottom style="thin">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thin">
        <color auto="1"/>
      </right>
      <top/>
      <bottom/>
      <diagonal/>
    </border>
    <border>
      <left style="medium">
        <color auto="1"/>
      </left>
      <right style="thin">
        <color auto="1"/>
      </right>
      <top/>
      <bottom/>
      <diagonal/>
    </border>
    <border>
      <left/>
      <right style="thin">
        <color auto="1"/>
      </right>
      <top style="thin">
        <color auto="1"/>
      </top>
      <bottom/>
      <diagonal/>
    </border>
    <border>
      <left/>
      <right style="thin">
        <color auto="1"/>
      </right>
      <top style="medium">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top style="thin">
        <color auto="1"/>
      </top>
      <bottom/>
      <diagonal/>
    </border>
    <border>
      <left/>
      <right/>
      <top style="medium">
        <color auto="1"/>
      </top>
      <bottom/>
      <diagonal/>
    </border>
    <border>
      <left/>
      <right style="medium">
        <color auto="1"/>
      </right>
      <top style="medium">
        <color auto="1"/>
      </top>
      <bottom style="thin">
        <color auto="1"/>
      </bottom>
      <diagonal/>
    </border>
    <border>
      <left style="medium">
        <color auto="1"/>
      </left>
      <right/>
      <top/>
      <bottom/>
      <diagonal/>
    </border>
    <border>
      <left/>
      <right/>
      <top/>
      <bottom style="medium">
        <color auto="1"/>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diagonal/>
    </border>
    <border>
      <left style="thin">
        <color auto="1"/>
      </left>
      <right style="medium">
        <color auto="1"/>
      </right>
      <top/>
      <bottom/>
      <diagonal/>
    </border>
    <border>
      <left/>
      <right/>
      <top style="thin">
        <color auto="1"/>
      </top>
      <bottom style="thin">
        <color auto="1"/>
      </bottom>
      <diagonal/>
    </border>
    <border>
      <left style="medium">
        <color auto="1"/>
      </left>
      <right/>
      <top style="thin">
        <color auto="1"/>
      </top>
      <bottom/>
      <diagonal/>
    </border>
    <border>
      <left/>
      <right style="medium">
        <color auto="1"/>
      </right>
      <top/>
      <bottom/>
      <diagonal/>
    </border>
    <border>
      <left style="thin">
        <color auto="1"/>
      </left>
      <right style="thin">
        <color auto="1"/>
      </right>
      <top style="double">
        <color auto="1"/>
      </top>
      <bottom/>
      <diagonal/>
    </border>
    <border>
      <left style="medium">
        <color auto="1"/>
      </left>
      <right/>
      <top style="medium">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top/>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style="thin">
        <color auto="1"/>
      </left>
      <right/>
      <top/>
      <bottom style="thin">
        <color auto="1"/>
      </bottom>
      <diagonal/>
    </border>
    <border>
      <left/>
      <right/>
      <top/>
      <bottom style="thin">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bottom style="thin">
        <color auto="1"/>
      </bottom>
      <diagonal/>
    </border>
    <border>
      <left style="medium">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double">
        <color auto="1"/>
      </top>
      <bottom/>
      <diagonal/>
    </border>
    <border>
      <left style="thin">
        <color auto="1"/>
      </left>
      <right style="thin">
        <color auto="1"/>
      </right>
      <top style="medium">
        <color auto="1"/>
      </top>
      <bottom style="medium">
        <color auto="1"/>
      </bottom>
      <diagonal/>
    </border>
    <border>
      <left style="thin">
        <color auto="1"/>
      </left>
      <right/>
      <top style="thin">
        <color auto="1"/>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right/>
      <top style="medium">
        <color auto="1"/>
      </top>
      <bottom style="double">
        <color auto="1"/>
      </bottom>
      <diagonal/>
    </border>
    <border>
      <left/>
      <right/>
      <top/>
      <bottom style="double">
        <color auto="1"/>
      </bottom>
      <diagonal/>
    </border>
    <border>
      <left/>
      <right style="thin">
        <color auto="1"/>
      </right>
      <top style="thin">
        <color auto="1"/>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Dashed">
        <color auto="1"/>
      </left>
      <right style="thin">
        <color auto="1"/>
      </right>
      <top style="thin">
        <color auto="1"/>
      </top>
      <bottom style="thin">
        <color auto="1"/>
      </bottom>
      <diagonal/>
    </border>
    <border>
      <left style="mediumDashed">
        <color auto="1"/>
      </left>
      <right/>
      <top style="thin">
        <color auto="1"/>
      </top>
      <bottom style="medium">
        <color auto="1"/>
      </bottom>
      <diagonal/>
    </border>
    <border>
      <left style="mediumDashed">
        <color auto="1"/>
      </left>
      <right style="thin">
        <color auto="1"/>
      </right>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thin">
        <color auto="1"/>
      </left>
      <right/>
      <top style="mediumDashed">
        <color auto="1"/>
      </top>
      <bottom style="thin">
        <color auto="1"/>
      </bottom>
      <diagonal/>
    </border>
    <border>
      <left/>
      <right style="medium">
        <color auto="1"/>
      </right>
      <top style="mediumDashed">
        <color auto="1"/>
      </top>
      <bottom/>
      <diagonal/>
    </border>
    <border>
      <left style="medium">
        <color auto="1"/>
      </left>
      <right/>
      <top style="mediumDashed">
        <color auto="1"/>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thin">
        <color auto="1"/>
      </top>
      <bottom style="mediumDashed">
        <color auto="1"/>
      </bottom>
      <diagonal/>
    </border>
    <border>
      <left/>
      <right/>
      <top style="dotted">
        <color auto="1"/>
      </top>
      <bottom/>
      <diagonal/>
    </border>
    <border>
      <left/>
      <right style="dotted">
        <color auto="1"/>
      </right>
      <top style="dotted">
        <color auto="1"/>
      </top>
      <bottom/>
      <diagonal/>
    </border>
    <border>
      <left style="thin">
        <color auto="1"/>
      </left>
      <right/>
      <top style="double">
        <color auto="1"/>
      </top>
      <bottom/>
      <diagonal/>
    </border>
    <border>
      <left/>
      <right style="thin">
        <color auto="1"/>
      </right>
      <top style="double">
        <color auto="1"/>
      </top>
      <bottom/>
      <diagonal/>
    </border>
    <border>
      <left style="dotted">
        <color auto="1"/>
      </left>
      <right/>
      <top/>
      <bottom/>
      <diagonal/>
    </border>
    <border>
      <left style="dotted">
        <color auto="1"/>
      </left>
      <right/>
      <top style="dotted">
        <color auto="1"/>
      </top>
      <bottom/>
      <diagonal/>
    </border>
    <border>
      <left style="double">
        <color auto="1"/>
      </left>
      <right style="double">
        <color auto="1"/>
      </right>
      <top style="double">
        <color auto="1"/>
      </top>
      <bottom style="double">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right/>
      <top style="mediumDashDot">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right/>
      <top style="thin">
        <color auto="1"/>
      </top>
      <bottom style="double">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auto="1"/>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left style="medium">
        <color auto="1"/>
      </left>
      <right/>
      <top/>
      <bottom style="double">
        <color auto="1"/>
      </bottom>
      <diagonal/>
    </border>
    <border>
      <left/>
      <right/>
      <top style="double">
        <color auto="1"/>
      </top>
      <bottom style="thin">
        <color auto="1"/>
      </bottom>
      <diagonal/>
    </border>
    <border>
      <left style="slantDashDot">
        <color auto="1"/>
      </left>
      <right style="thin">
        <color rgb="FFDFE8ED"/>
      </right>
      <top/>
      <bottom style="medium">
        <color rgb="FFDFE8ED"/>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auto="1"/>
      </left>
      <right style="thin">
        <color auto="1"/>
      </right>
      <top style="thin">
        <color auto="1"/>
      </top>
      <bottom style="thin">
        <color auto="1"/>
      </bottom>
      <diagonal/>
    </border>
    <border>
      <left style="double">
        <color auto="1"/>
      </left>
      <right/>
      <top style="thin">
        <color auto="1"/>
      </top>
      <bottom style="thin">
        <color auto="1"/>
      </bottom>
      <diagonal/>
    </border>
    <border>
      <left style="double">
        <color auto="1"/>
      </left>
      <right/>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left style="hair">
        <color auto="1"/>
      </left>
      <right style="hair">
        <color auto="1"/>
      </right>
      <top style="hair">
        <color auto="1"/>
      </top>
      <bottom style="hair">
        <color auto="1"/>
      </bottom>
      <diagonal/>
    </border>
    <border>
      <left style="thin">
        <color rgb="FF000000"/>
      </left>
      <right style="thin">
        <color rgb="FF000000"/>
      </right>
      <top style="thin">
        <color rgb="FF000000"/>
      </top>
      <bottom style="thin">
        <color rgb="FF000000"/>
      </bottom>
      <diagonal/>
    </border>
    <border>
      <left/>
      <right/>
      <top/>
      <bottom style="medium">
        <color rgb="FFFFFFFF"/>
      </bottom>
      <diagonal/>
    </border>
    <border>
      <left style="medium">
        <color rgb="FFFFFFFF"/>
      </left>
      <right style="medium">
        <color rgb="FFFFFFFF"/>
      </right>
      <top style="medium">
        <color rgb="FFFFFFFF"/>
      </top>
      <bottom/>
      <diagonal/>
    </border>
    <border>
      <left style="thin">
        <color auto="1"/>
      </left>
      <right style="hair">
        <color auto="1"/>
      </right>
      <top style="thin">
        <color auto="1"/>
      </top>
      <bottom style="double">
        <color auto="1"/>
      </bottom>
      <diagonal/>
    </border>
    <border>
      <left style="hair">
        <color auto="1"/>
      </left>
      <right style="hair">
        <color auto="1"/>
      </right>
      <top style="hair">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right style="hair">
        <color auto="1"/>
      </right>
      <top style="hair">
        <color auto="1"/>
      </top>
      <bottom style="double">
        <color auto="1"/>
      </bottom>
      <diagonal/>
    </border>
    <border>
      <left/>
      <right style="hair">
        <color auto="1"/>
      </right>
      <top style="thin">
        <color auto="1"/>
      </top>
      <bottom style="double">
        <color auto="1"/>
      </bottom>
      <diagonal/>
    </border>
    <border>
      <left/>
      <right/>
      <top style="hair">
        <color auto="1"/>
      </top>
      <bottom style="double">
        <color auto="1"/>
      </bottom>
      <diagonal/>
    </border>
    <border>
      <left/>
      <right style="hair">
        <color auto="1"/>
      </right>
      <top/>
      <bottom style="double">
        <color auto="1"/>
      </bottom>
      <diagonal/>
    </border>
    <border>
      <left style="thin">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diagonal/>
    </border>
  </borders>
  <cellStyleXfs count="37">
    <xf numFmtId="0" fontId="0" fillId="0" borderId="0">
      <alignment vertical="center"/>
    </xf>
    <xf numFmtId="0" fontId="94" fillId="0" borderId="0">
      <alignment vertical="center"/>
    </xf>
    <xf numFmtId="0" fontId="94" fillId="0" borderId="0"/>
    <xf numFmtId="0" fontId="94" fillId="0" borderId="0">
      <alignment vertical="center"/>
    </xf>
    <xf numFmtId="0" fontId="31" fillId="0" borderId="0"/>
    <xf numFmtId="0" fontId="94" fillId="0" borderId="0">
      <alignment vertical="center"/>
    </xf>
    <xf numFmtId="0" fontId="94" fillId="0" borderId="0">
      <alignment vertical="center"/>
    </xf>
    <xf numFmtId="0" fontId="4" fillId="0" borderId="0">
      <alignment vertical="center"/>
    </xf>
    <xf numFmtId="0" fontId="94" fillId="0" borderId="0">
      <alignment vertical="center"/>
    </xf>
    <xf numFmtId="0" fontId="94" fillId="0" borderId="0"/>
    <xf numFmtId="0" fontId="94" fillId="0" borderId="0">
      <alignment vertical="center"/>
    </xf>
    <xf numFmtId="0" fontId="3" fillId="0" borderId="0">
      <alignment vertical="center"/>
    </xf>
    <xf numFmtId="0" fontId="2" fillId="0" borderId="0">
      <alignment vertical="center"/>
    </xf>
    <xf numFmtId="0" fontId="171" fillId="0" borderId="0"/>
    <xf numFmtId="3" fontId="274" fillId="0" borderId="1"/>
    <xf numFmtId="3" fontId="274" fillId="0" borderId="1"/>
    <xf numFmtId="43" fontId="31" fillId="0" borderId="0" applyFont="0" applyFill="0" applyBorder="0" applyAlignment="0" applyProtection="0"/>
    <xf numFmtId="44" fontId="31" fillId="0" borderId="0" applyFont="0" applyFill="0" applyBorder="0" applyAlignment="0" applyProtection="0"/>
    <xf numFmtId="0" fontId="1" fillId="0" borderId="0"/>
    <xf numFmtId="43" fontId="1" fillId="0" borderId="0" applyFont="0" applyFill="0" applyBorder="0" applyAlignment="0" applyProtection="0">
      <alignment vertical="center"/>
    </xf>
    <xf numFmtId="43" fontId="31" fillId="0" borderId="0" applyFont="0" applyFill="0" applyBorder="0" applyAlignment="0" applyProtection="0">
      <alignment vertical="center"/>
    </xf>
    <xf numFmtId="0" fontId="290" fillId="0" borderId="0" applyNumberFormat="0" applyFill="0" applyBorder="0" applyAlignment="0" applyProtection="0">
      <alignment vertical="center"/>
    </xf>
    <xf numFmtId="9" fontId="94" fillId="0" borderId="0" applyFont="0" applyFill="0" applyBorder="0" applyAlignment="0" applyProtection="0">
      <alignment vertical="center"/>
    </xf>
    <xf numFmtId="0" fontId="31" fillId="0" borderId="0"/>
    <xf numFmtId="0" fontId="31" fillId="0" borderId="0"/>
    <xf numFmtId="0" fontId="31" fillId="0" borderId="0">
      <alignment vertical="center"/>
    </xf>
    <xf numFmtId="0" fontId="304" fillId="44" borderId="0" applyNumberFormat="0" applyBorder="0" applyAlignment="0" applyProtection="0">
      <alignment vertical="center"/>
    </xf>
    <xf numFmtId="0" fontId="305" fillId="45" borderId="0" applyNumberFormat="0" applyBorder="0" applyAlignment="0" applyProtection="0">
      <alignment vertical="center"/>
    </xf>
    <xf numFmtId="0" fontId="136" fillId="0" borderId="0">
      <alignment vertical="center"/>
    </xf>
    <xf numFmtId="0" fontId="300" fillId="0" borderId="0">
      <alignment vertical="center"/>
    </xf>
    <xf numFmtId="0" fontId="94" fillId="0" borderId="0">
      <alignment vertical="center"/>
    </xf>
    <xf numFmtId="43" fontId="322" fillId="0" borderId="0" applyFont="0" applyFill="0" applyBorder="0" applyAlignment="0" applyProtection="0">
      <alignment vertical="center"/>
    </xf>
    <xf numFmtId="9" fontId="322" fillId="0" borderId="0" applyFont="0" applyFill="0" applyBorder="0" applyAlignment="0" applyProtection="0">
      <alignment vertical="center"/>
    </xf>
    <xf numFmtId="0" fontId="300" fillId="0" borderId="0">
      <alignment vertical="center"/>
    </xf>
    <xf numFmtId="0" fontId="31" fillId="0" borderId="0"/>
    <xf numFmtId="198" fontId="49" fillId="0" borderId="0"/>
    <xf numFmtId="199" fontId="49" fillId="0" borderId="0"/>
  </cellStyleXfs>
  <cellXfs count="4934">
    <xf numFmtId="0" fontId="0" fillId="0" borderId="0" xfId="0">
      <alignment vertical="center"/>
    </xf>
    <xf numFmtId="0" fontId="0" fillId="0" borderId="0" xfId="0" applyAlignment="1">
      <alignment vertical="center" wrapText="1"/>
    </xf>
    <xf numFmtId="0" fontId="97" fillId="0" borderId="1" xfId="0" applyFont="1" applyBorder="1" applyAlignment="1">
      <alignment vertical="center" wrapText="1"/>
    </xf>
    <xf numFmtId="0" fontId="97" fillId="0" borderId="1" xfId="0" applyFont="1" applyBorder="1" applyAlignment="1">
      <alignment horizontal="center" vertical="center" wrapText="1"/>
    </xf>
    <xf numFmtId="0" fontId="99" fillId="5" borderId="49" xfId="0" applyFont="1" applyFill="1" applyBorder="1" applyAlignment="1" applyProtection="1">
      <alignment horizontal="center" vertical="center" wrapText="1"/>
    </xf>
    <xf numFmtId="0" fontId="99" fillId="5" borderId="0" xfId="0" applyFont="1" applyFill="1" applyAlignment="1" applyProtection="1">
      <alignment horizontal="center" vertical="center" wrapText="1"/>
    </xf>
    <xf numFmtId="0" fontId="40" fillId="5" borderId="0" xfId="0" applyNumberFormat="1" applyFont="1" applyFill="1" applyBorder="1" applyAlignment="1" applyProtection="1">
      <alignment horizontal="center" vertical="center" wrapText="1"/>
    </xf>
    <xf numFmtId="0" fontId="99" fillId="5" borderId="0" xfId="0" applyFont="1" applyFill="1" applyAlignment="1" applyProtection="1">
      <alignment horizontal="center" vertical="center"/>
    </xf>
    <xf numFmtId="0" fontId="99" fillId="5" borderId="0" xfId="0" applyFont="1" applyFill="1" applyBorder="1" applyAlignment="1" applyProtection="1">
      <alignment horizontal="center" vertical="center"/>
    </xf>
    <xf numFmtId="0" fontId="99" fillId="5" borderId="0" xfId="0" applyFont="1" applyFill="1" applyProtection="1">
      <alignment vertical="center"/>
    </xf>
    <xf numFmtId="0" fontId="43" fillId="5" borderId="1" xfId="0" applyFont="1" applyFill="1" applyBorder="1" applyAlignment="1" applyProtection="1">
      <alignment horizontal="center" vertical="center" wrapText="1"/>
    </xf>
    <xf numFmtId="0" fontId="43" fillId="0" borderId="0" xfId="0" applyFont="1" applyAlignment="1" applyProtection="1">
      <alignment horizontal="center" vertical="center" wrapText="1"/>
      <protection locked="0"/>
    </xf>
    <xf numFmtId="0" fontId="43" fillId="5" borderId="2" xfId="0" applyFont="1" applyFill="1" applyBorder="1" applyAlignment="1" applyProtection="1">
      <alignment horizontal="left" vertical="center"/>
    </xf>
    <xf numFmtId="0" fontId="43" fillId="5" borderId="1" xfId="0" applyFont="1" applyFill="1" applyBorder="1" applyAlignment="1" applyProtection="1">
      <alignment horizontal="center" vertical="center"/>
    </xf>
    <xf numFmtId="0" fontId="43" fillId="5" borderId="18" xfId="0" applyFont="1" applyFill="1" applyBorder="1" applyAlignment="1" applyProtection="1">
      <alignment horizontal="center" vertical="center"/>
    </xf>
    <xf numFmtId="0" fontId="43" fillId="5" borderId="41" xfId="0" applyFont="1" applyFill="1" applyBorder="1" applyAlignment="1" applyProtection="1">
      <alignment horizontal="center" vertical="center"/>
    </xf>
    <xf numFmtId="0" fontId="43" fillId="0" borderId="0" xfId="0" applyFont="1" applyAlignment="1" applyProtection="1">
      <alignment horizontal="center" vertical="center"/>
      <protection locked="0"/>
    </xf>
    <xf numFmtId="0" fontId="43" fillId="5" borderId="1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40" fillId="5" borderId="1" xfId="0" applyFont="1" applyFill="1" applyBorder="1" applyAlignment="1" applyProtection="1">
      <alignment horizontal="center" vertical="center"/>
    </xf>
    <xf numFmtId="0" fontId="43" fillId="0" borderId="1" xfId="0" applyFont="1" applyBorder="1" applyAlignment="1" applyProtection="1">
      <alignment horizontal="center" vertical="center"/>
      <protection locked="0"/>
    </xf>
    <xf numFmtId="0" fontId="42" fillId="5" borderId="10" xfId="0" applyFont="1" applyFill="1" applyBorder="1" applyAlignment="1" applyProtection="1">
      <alignment vertical="center" wrapText="1"/>
    </xf>
    <xf numFmtId="0" fontId="40" fillId="5" borderId="12"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0" fillId="5" borderId="13" xfId="0" applyFont="1" applyFill="1" applyBorder="1" applyAlignment="1" applyProtection="1">
      <alignment horizontal="center" vertical="center" wrapText="1"/>
    </xf>
    <xf numFmtId="0" fontId="40" fillId="0" borderId="0" xfId="0"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0" fontId="40" fillId="0" borderId="0" xfId="0" applyNumberFormat="1" applyFont="1" applyFill="1" applyBorder="1" applyAlignment="1" applyProtection="1">
      <alignment horizontal="center" vertical="center" wrapText="1"/>
      <protection locked="0"/>
    </xf>
    <xf numFmtId="0" fontId="40" fillId="5" borderId="31" xfId="0" applyNumberFormat="1" applyFont="1" applyFill="1" applyBorder="1" applyAlignment="1" applyProtection="1">
      <alignment horizontal="center" vertical="center" wrapText="1"/>
    </xf>
    <xf numFmtId="0" fontId="40" fillId="5" borderId="6" xfId="0" applyNumberFormat="1" applyFont="1" applyFill="1" applyBorder="1" applyAlignment="1" applyProtection="1">
      <alignment horizontal="center" vertical="center" wrapText="1"/>
    </xf>
    <xf numFmtId="0" fontId="40" fillId="5" borderId="43" xfId="0" applyNumberFormat="1" applyFont="1" applyFill="1" applyBorder="1" applyAlignment="1" applyProtection="1">
      <alignment horizontal="center" vertical="center" wrapText="1"/>
    </xf>
    <xf numFmtId="0" fontId="43" fillId="5" borderId="0" xfId="0" applyFont="1" applyFill="1" applyProtection="1">
      <alignment vertical="center"/>
      <protection locked="0"/>
    </xf>
    <xf numFmtId="0" fontId="43" fillId="0" borderId="0" xfId="0" applyFont="1" applyProtection="1">
      <alignment vertical="center"/>
      <protection locked="0"/>
    </xf>
    <xf numFmtId="0" fontId="43" fillId="5" borderId="2" xfId="0" applyFont="1" applyFill="1" applyBorder="1" applyAlignment="1" applyProtection="1">
      <alignment vertical="center"/>
    </xf>
    <xf numFmtId="0" fontId="43" fillId="5" borderId="1" xfId="0" applyFont="1" applyFill="1" applyBorder="1" applyProtection="1">
      <alignment vertical="center"/>
    </xf>
    <xf numFmtId="0" fontId="43" fillId="0" borderId="1" xfId="0" applyFont="1" applyBorder="1" applyProtection="1">
      <alignment vertical="center"/>
      <protection locked="0"/>
    </xf>
    <xf numFmtId="0" fontId="43" fillId="5" borderId="18" xfId="0" applyFont="1" applyFill="1" applyBorder="1" applyAlignment="1" applyProtection="1">
      <alignment vertical="center"/>
    </xf>
    <xf numFmtId="0" fontId="43" fillId="5" borderId="0" xfId="0" applyFont="1" applyFill="1" applyAlignment="1" applyProtection="1">
      <alignment horizontal="center" vertical="center"/>
      <protection locked="0"/>
    </xf>
    <xf numFmtId="0" fontId="48" fillId="5" borderId="39" xfId="0" applyFont="1" applyFill="1" applyBorder="1" applyAlignment="1" applyProtection="1">
      <alignment horizontal="left" vertical="center" wrapText="1"/>
    </xf>
    <xf numFmtId="0" fontId="48" fillId="5" borderId="65" xfId="0" applyFont="1" applyFill="1" applyBorder="1" applyAlignment="1" applyProtection="1">
      <alignment horizontal="left" vertical="center" wrapText="1"/>
    </xf>
    <xf numFmtId="0" fontId="48" fillId="5" borderId="24"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3" fillId="5" borderId="35" xfId="0" applyFont="1" applyFill="1" applyBorder="1" applyAlignment="1" applyProtection="1">
      <alignment vertical="center"/>
    </xf>
    <xf numFmtId="0" fontId="43" fillId="5" borderId="60" xfId="0" applyFont="1" applyFill="1" applyBorder="1" applyAlignment="1" applyProtection="1">
      <alignment vertical="center"/>
    </xf>
    <xf numFmtId="0" fontId="43" fillId="5" borderId="2" xfId="0" applyFont="1" applyFill="1" applyBorder="1" applyAlignment="1" applyProtection="1">
      <alignment horizontal="right" vertical="center"/>
    </xf>
    <xf numFmtId="0" fontId="43" fillId="5" borderId="31" xfId="0" applyFont="1" applyFill="1" applyBorder="1" applyAlignment="1" applyProtection="1">
      <alignment horizontal="left" vertical="center" wrapText="1"/>
    </xf>
    <xf numFmtId="0" fontId="50" fillId="5" borderId="23" xfId="0" applyFont="1" applyFill="1" applyBorder="1" applyAlignment="1" applyProtection="1">
      <alignment horizontal="left" vertical="center" wrapText="1"/>
    </xf>
    <xf numFmtId="0" fontId="50" fillId="5" borderId="17" xfId="0" applyFont="1" applyFill="1" applyBorder="1" applyAlignment="1" applyProtection="1">
      <alignment horizontal="left" vertical="center" wrapText="1"/>
    </xf>
    <xf numFmtId="0" fontId="43" fillId="5" borderId="34" xfId="0" applyFont="1" applyFill="1" applyBorder="1" applyAlignment="1" applyProtection="1">
      <alignment horizontal="left" vertical="center" wrapText="1"/>
    </xf>
    <xf numFmtId="49" fontId="43"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5" borderId="1" xfId="0" applyFont="1" applyFill="1" applyBorder="1" applyAlignment="1" applyProtection="1">
      <alignment horizontal="center" vertical="center" wrapText="1"/>
    </xf>
    <xf numFmtId="0" fontId="43" fillId="5" borderId="6" xfId="0" applyFont="1" applyFill="1" applyBorder="1" applyAlignment="1" applyProtection="1">
      <alignment horizontal="left" vertical="center" wrapText="1"/>
    </xf>
    <xf numFmtId="49" fontId="48" fillId="5" borderId="7" xfId="0" applyNumberFormat="1" applyFont="1" applyFill="1" applyBorder="1" applyAlignment="1" applyProtection="1">
      <alignment horizontal="left" vertical="center" wrapText="1"/>
    </xf>
    <xf numFmtId="0" fontId="50" fillId="5" borderId="1" xfId="0" applyFont="1" applyFill="1" applyBorder="1" applyAlignment="1" applyProtection="1">
      <alignment horizontal="left" vertical="center" wrapText="1"/>
    </xf>
    <xf numFmtId="49" fontId="48" fillId="5" borderId="8" xfId="0" applyNumberFormat="1" applyFont="1" applyFill="1" applyBorder="1" applyAlignment="1" applyProtection="1">
      <alignment horizontal="left" vertical="center" wrapText="1"/>
    </xf>
    <xf numFmtId="0" fontId="50" fillId="5" borderId="61" xfId="0" applyFont="1" applyFill="1" applyBorder="1" applyAlignment="1" applyProtection="1">
      <alignment horizontal="left" vertical="center" wrapText="1"/>
    </xf>
    <xf numFmtId="0" fontId="43" fillId="5" borderId="43" xfId="0" applyFont="1" applyFill="1" applyBorder="1" applyAlignment="1" applyProtection="1">
      <alignment horizontal="left" vertical="center"/>
    </xf>
    <xf numFmtId="0" fontId="43" fillId="5" borderId="13" xfId="0" applyFont="1" applyFill="1" applyBorder="1" applyAlignment="1" applyProtection="1">
      <alignment horizontal="left" vertical="center" wrapText="1"/>
    </xf>
    <xf numFmtId="0" fontId="43" fillId="5" borderId="47" xfId="0" applyFont="1" applyFill="1" applyBorder="1" applyAlignment="1" applyProtection="1">
      <alignment horizontal="left" vertical="center" wrapText="1"/>
    </xf>
    <xf numFmtId="0" fontId="40" fillId="5" borderId="38" xfId="2" applyFont="1" applyFill="1" applyBorder="1" applyAlignment="1" applyProtection="1">
      <alignment horizontal="left" vertical="center" wrapText="1"/>
    </xf>
    <xf numFmtId="0" fontId="50" fillId="5" borderId="7" xfId="0" applyFont="1" applyFill="1" applyBorder="1" applyAlignment="1" applyProtection="1">
      <alignment horizontal="left" vertical="center" wrapText="1"/>
    </xf>
    <xf numFmtId="0" fontId="40" fillId="5" borderId="41" xfId="2"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0" fontId="40" fillId="5" borderId="1" xfId="2"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49" fontId="48" fillId="5" borderId="8" xfId="0" applyNumberFormat="1" applyFont="1" applyFill="1" applyBorder="1" applyAlignment="1" applyProtection="1">
      <alignment vertical="center" wrapText="1"/>
    </xf>
    <xf numFmtId="0" fontId="48" fillId="5" borderId="61"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43" fillId="5" borderId="44" xfId="0" applyFont="1" applyFill="1" applyBorder="1" applyAlignment="1" applyProtection="1">
      <alignment horizontal="left" vertical="center"/>
    </xf>
    <xf numFmtId="0" fontId="43" fillId="5" borderId="48" xfId="0" applyFont="1" applyFill="1" applyBorder="1" applyAlignment="1" applyProtection="1">
      <alignment horizontal="left" vertical="center" wrapText="1"/>
    </xf>
    <xf numFmtId="0" fontId="40" fillId="5" borderId="62" xfId="2" applyFont="1" applyFill="1" applyBorder="1" applyAlignment="1" applyProtection="1">
      <alignment horizontal="left" vertical="center" wrapText="1"/>
    </xf>
    <xf numFmtId="0" fontId="43" fillId="5" borderId="38" xfId="2" applyFont="1" applyFill="1" applyBorder="1" applyAlignment="1" applyProtection="1">
      <alignment horizontal="left" vertical="center" wrapText="1"/>
    </xf>
    <xf numFmtId="0" fontId="43" fillId="5" borderId="41" xfId="2" applyFont="1" applyFill="1" applyBorder="1" applyAlignment="1" applyProtection="1">
      <alignment horizontal="left" vertical="center" wrapText="1"/>
    </xf>
    <xf numFmtId="10" fontId="43" fillId="5" borderId="2" xfId="0" applyNumberFormat="1" applyFont="1" applyFill="1" applyBorder="1" applyAlignment="1" applyProtection="1">
      <alignment horizontal="left" vertical="center"/>
    </xf>
    <xf numFmtId="0" fontId="51" fillId="5" borderId="0" xfId="0" applyFont="1" applyFill="1" applyBorder="1" applyAlignment="1" applyProtection="1">
      <alignment horizontal="left" vertical="center"/>
    </xf>
    <xf numFmtId="0" fontId="43" fillId="5" borderId="62" xfId="2" applyFont="1" applyFill="1" applyBorder="1" applyAlignment="1" applyProtection="1">
      <alignment horizontal="left" vertical="center" wrapText="1"/>
    </xf>
    <xf numFmtId="0" fontId="101" fillId="5" borderId="46" xfId="1" applyFont="1" applyFill="1" applyBorder="1" applyAlignment="1" applyProtection="1">
      <alignment vertical="center"/>
    </xf>
    <xf numFmtId="0" fontId="53" fillId="5" borderId="37" xfId="1" applyFont="1" applyFill="1" applyBorder="1" applyAlignment="1" applyProtection="1">
      <alignment vertical="center"/>
    </xf>
    <xf numFmtId="0" fontId="53" fillId="5" borderId="0" xfId="1" applyFont="1" applyFill="1" applyBorder="1" applyAlignment="1" applyProtection="1">
      <alignment vertical="center"/>
    </xf>
    <xf numFmtId="0" fontId="54" fillId="3" borderId="0" xfId="0" applyFont="1" applyFill="1" applyAlignment="1" applyProtection="1">
      <alignment vertical="center"/>
      <protection locked="0"/>
    </xf>
    <xf numFmtId="0" fontId="53" fillId="5" borderId="1" xfId="1" applyFont="1" applyFill="1" applyBorder="1" applyAlignment="1" applyProtection="1">
      <alignment vertical="center"/>
    </xf>
    <xf numFmtId="177" fontId="53" fillId="5" borderId="1" xfId="1" applyNumberFormat="1" applyFont="1" applyFill="1" applyBorder="1" applyAlignment="1" applyProtection="1">
      <alignment horizontal="right" vertical="center"/>
    </xf>
    <xf numFmtId="0" fontId="53" fillId="5" borderId="18" xfId="1" applyFont="1" applyFill="1" applyBorder="1" applyAlignment="1" applyProtection="1">
      <alignment vertical="center"/>
    </xf>
    <xf numFmtId="0" fontId="53" fillId="5" borderId="18" xfId="1" applyFont="1" applyFill="1" applyBorder="1" applyAlignment="1" applyProtection="1">
      <alignment horizontal="right" vertical="center"/>
    </xf>
    <xf numFmtId="49" fontId="53" fillId="5" borderId="46" xfId="1" applyNumberFormat="1" applyFont="1" applyFill="1" applyBorder="1" applyAlignment="1" applyProtection="1"/>
    <xf numFmtId="49" fontId="53" fillId="5" borderId="47" xfId="1" applyNumberFormat="1" applyFont="1" applyFill="1" applyBorder="1" applyAlignment="1" applyProtection="1"/>
    <xf numFmtId="49" fontId="53" fillId="5" borderId="38" xfId="1" applyNumberFormat="1" applyFont="1" applyFill="1" applyBorder="1" applyAlignment="1" applyProtection="1"/>
    <xf numFmtId="0" fontId="53" fillId="3" borderId="0" xfId="0" applyFont="1" applyFill="1" applyAlignment="1" applyProtection="1">
      <alignment vertical="center"/>
      <protection locked="0"/>
    </xf>
    <xf numFmtId="0" fontId="50" fillId="5" borderId="2" xfId="1" applyFont="1" applyFill="1" applyBorder="1" applyAlignment="1" applyProtection="1"/>
    <xf numFmtId="0" fontId="50" fillId="5" borderId="6" xfId="1" applyFont="1" applyFill="1" applyBorder="1" applyAlignment="1" applyProtection="1">
      <alignment horizontal="left"/>
    </xf>
    <xf numFmtId="0" fontId="50" fillId="3" borderId="0" xfId="0" applyFont="1" applyFill="1" applyAlignment="1" applyProtection="1">
      <alignment vertical="center"/>
      <protection locked="0"/>
    </xf>
    <xf numFmtId="49" fontId="49" fillId="5" borderId="7" xfId="1" applyNumberFormat="1" applyFont="1" applyFill="1" applyBorder="1" applyAlignment="1" applyProtection="1">
      <alignment horizontal="left"/>
    </xf>
    <xf numFmtId="0" fontId="49" fillId="5" borderId="2" xfId="1" applyFont="1" applyFill="1" applyBorder="1" applyAlignment="1" applyProtection="1"/>
    <xf numFmtId="0" fontId="49" fillId="5" borderId="1" xfId="1" applyFont="1" applyFill="1" applyBorder="1" applyAlignment="1" applyProtection="1">
      <alignment horizontal="center"/>
    </xf>
    <xf numFmtId="0" fontId="49" fillId="5" borderId="6" xfId="1" applyFont="1" applyFill="1" applyBorder="1" applyAlignment="1" applyProtection="1">
      <alignment horizontal="left"/>
    </xf>
    <xf numFmtId="0" fontId="50" fillId="0" borderId="0" xfId="0" applyFont="1" applyFill="1" applyAlignment="1" applyProtection="1">
      <alignment vertical="center"/>
      <protection locked="0"/>
    </xf>
    <xf numFmtId="0" fontId="55" fillId="5" borderId="2" xfId="1" applyFont="1" applyFill="1" applyBorder="1" applyAlignment="1" applyProtection="1"/>
    <xf numFmtId="0" fontId="49" fillId="5" borderId="6" xfId="1" applyFont="1" applyFill="1" applyBorder="1" applyAlignment="1" applyProtection="1">
      <alignment vertical="center" wrapText="1"/>
    </xf>
    <xf numFmtId="0" fontId="50" fillId="5" borderId="1" xfId="0" applyFont="1" applyFill="1" applyBorder="1" applyAlignment="1" applyProtection="1">
      <alignment horizontal="center" vertical="center"/>
    </xf>
    <xf numFmtId="0" fontId="50" fillId="5" borderId="6" xfId="0" applyFont="1" applyFill="1" applyBorder="1" applyAlignment="1" applyProtection="1">
      <alignment vertical="center"/>
    </xf>
    <xf numFmtId="0" fontId="50" fillId="5" borderId="1" xfId="0" applyFont="1" applyFill="1" applyBorder="1" applyAlignment="1" applyProtection="1">
      <alignment horizontal="right" vertical="center"/>
    </xf>
    <xf numFmtId="0" fontId="50" fillId="5" borderId="1" xfId="0" applyFont="1" applyFill="1" applyBorder="1" applyAlignment="1" applyProtection="1">
      <alignment horizontal="left" vertical="center"/>
    </xf>
    <xf numFmtId="10" fontId="50" fillId="5" borderId="2" xfId="1" applyNumberFormat="1" applyFont="1" applyFill="1" applyBorder="1" applyAlignment="1" applyProtection="1">
      <alignment horizontal="center" vertical="center"/>
    </xf>
    <xf numFmtId="0" fontId="49" fillId="5" borderId="1" xfId="0" applyFont="1" applyFill="1" applyBorder="1" applyAlignment="1" applyProtection="1">
      <alignment horizontal="center" vertical="center"/>
    </xf>
    <xf numFmtId="17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xf>
    <xf numFmtId="0" fontId="50" fillId="5" borderId="1" xfId="0" applyFont="1" applyFill="1" applyBorder="1" applyAlignment="1" applyProtection="1">
      <alignment vertical="center"/>
    </xf>
    <xf numFmtId="0" fontId="49" fillId="5" borderId="58" xfId="0" applyFont="1" applyFill="1" applyBorder="1" applyAlignment="1" applyProtection="1">
      <alignment vertical="center" wrapText="1"/>
    </xf>
    <xf numFmtId="0" fontId="49" fillId="5" borderId="34" xfId="0" applyFont="1" applyFill="1" applyBorder="1" applyAlignment="1" applyProtection="1">
      <alignment vertical="center"/>
    </xf>
    <xf numFmtId="0" fontId="50" fillId="5" borderId="2" xfId="1" applyFont="1" applyFill="1" applyBorder="1" applyAlignment="1" applyProtection="1">
      <alignment vertical="center"/>
    </xf>
    <xf numFmtId="177" fontId="50" fillId="5" borderId="1" xfId="1" applyNumberFormat="1" applyFont="1" applyFill="1" applyBorder="1" applyAlignment="1" applyProtection="1">
      <alignment horizontal="center" vertical="center"/>
    </xf>
    <xf numFmtId="9" fontId="50" fillId="5" borderId="2" xfId="1" applyNumberFormat="1" applyFont="1" applyFill="1" applyBorder="1" applyAlignment="1" applyProtection="1">
      <alignment horizontal="center" vertical="center"/>
    </xf>
    <xf numFmtId="0" fontId="50" fillId="5" borderId="6" xfId="0" applyFont="1" applyFill="1" applyBorder="1" applyAlignment="1" applyProtection="1">
      <alignment vertical="center" wrapText="1"/>
    </xf>
    <xf numFmtId="0" fontId="49" fillId="5" borderId="2" xfId="1" applyFont="1" applyFill="1" applyBorder="1" applyAlignment="1" applyProtection="1">
      <alignment horizontal="left"/>
    </xf>
    <xf numFmtId="177" fontId="49" fillId="5" borderId="1" xfId="1" applyNumberFormat="1" applyFont="1" applyFill="1" applyBorder="1" applyAlignment="1" applyProtection="1">
      <alignment horizontal="center" vertical="center"/>
    </xf>
    <xf numFmtId="0" fontId="49" fillId="3" borderId="0" xfId="0" applyFont="1" applyFill="1" applyAlignment="1" applyProtection="1">
      <alignment vertical="center"/>
      <protection locked="0"/>
    </xf>
    <xf numFmtId="49" fontId="53" fillId="5" borderId="19" xfId="1" applyNumberFormat="1" applyFont="1" applyFill="1" applyBorder="1" applyAlignment="1" applyProtection="1"/>
    <xf numFmtId="49" fontId="53" fillId="5" borderId="51" xfId="1" applyNumberFormat="1" applyFont="1" applyFill="1" applyBorder="1" applyAlignment="1" applyProtection="1"/>
    <xf numFmtId="49" fontId="53" fillId="5" borderId="41" xfId="1" applyNumberFormat="1" applyFont="1" applyFill="1" applyBorder="1" applyAlignment="1" applyProtection="1"/>
    <xf numFmtId="49" fontId="50" fillId="5" borderId="7" xfId="1" applyNumberFormat="1" applyFont="1" applyFill="1" applyBorder="1" applyAlignment="1" applyProtection="1">
      <alignment horizontal="left"/>
    </xf>
    <xf numFmtId="177" fontId="50" fillId="5" borderId="1" xfId="0"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0" fontId="49" fillId="5" borderId="6" xfId="0" applyFont="1" applyFill="1" applyBorder="1" applyAlignment="1" applyProtection="1">
      <alignment vertical="center" wrapText="1"/>
    </xf>
    <xf numFmtId="0" fontId="49" fillId="5" borderId="6" xfId="1" applyFont="1" applyFill="1" applyBorder="1" applyAlignment="1" applyProtection="1">
      <alignment horizontal="left" vertical="center"/>
    </xf>
    <xf numFmtId="185" fontId="50" fillId="5" borderId="1" xfId="0" applyNumberFormat="1" applyFont="1" applyFill="1" applyBorder="1" applyAlignment="1" applyProtection="1">
      <alignment horizontal="right" vertical="center"/>
    </xf>
    <xf numFmtId="10" fontId="50" fillId="5" borderId="1" xfId="1" applyNumberFormat="1" applyFont="1" applyFill="1" applyBorder="1" applyAlignment="1" applyProtection="1">
      <alignment horizontal="center" vertical="center"/>
    </xf>
    <xf numFmtId="49" fontId="53" fillId="5" borderId="20" xfId="1" applyNumberFormat="1" applyFont="1" applyFill="1" applyBorder="1" applyAlignment="1" applyProtection="1"/>
    <xf numFmtId="49" fontId="53" fillId="5" borderId="48" xfId="1" applyNumberFormat="1" applyFont="1" applyFill="1" applyBorder="1" applyAlignment="1" applyProtection="1"/>
    <xf numFmtId="177" fontId="50" fillId="5" borderId="61" xfId="0" applyNumberFormat="1" applyFont="1" applyFill="1" applyBorder="1" applyAlignment="1" applyProtection="1">
      <alignment horizontal="center" vertical="center"/>
    </xf>
    <xf numFmtId="49" fontId="53" fillId="5" borderId="62" xfId="1" applyNumberFormat="1" applyFont="1" applyFill="1" applyBorder="1" applyAlignment="1" applyProtection="1"/>
    <xf numFmtId="0" fontId="49" fillId="3" borderId="0" xfId="0" applyFont="1" applyFill="1" applyAlignment="1" applyProtection="1">
      <alignment horizontal="left" vertical="center"/>
      <protection locked="0"/>
    </xf>
    <xf numFmtId="0" fontId="56" fillId="5" borderId="1" xfId="0" applyFont="1" applyFill="1" applyBorder="1" applyAlignment="1" applyProtection="1">
      <alignment horizontal="left"/>
    </xf>
    <xf numFmtId="0" fontId="54" fillId="5" borderId="1" xfId="0" applyFont="1" applyFill="1" applyBorder="1" applyAlignment="1" applyProtection="1">
      <alignment horizontal="center" vertical="center"/>
    </xf>
    <xf numFmtId="0" fontId="49" fillId="3" borderId="0" xfId="0" applyFont="1" applyFill="1" applyAlignment="1" applyProtection="1">
      <alignment horizontal="center" vertical="center"/>
      <protection locked="0"/>
    </xf>
    <xf numFmtId="0" fontId="43" fillId="5" borderId="1" xfId="0" applyFont="1" applyFill="1" applyBorder="1" applyAlignment="1" applyProtection="1"/>
    <xf numFmtId="181" fontId="49" fillId="5" borderId="1" xfId="0" applyNumberFormat="1" applyFont="1" applyFill="1" applyBorder="1" applyAlignment="1" applyProtection="1">
      <alignment horizontal="center"/>
    </xf>
    <xf numFmtId="181" fontId="43" fillId="5" borderId="1" xfId="0" applyNumberFormat="1" applyFont="1" applyFill="1" applyBorder="1" applyAlignment="1" applyProtection="1">
      <alignment horizontal="center"/>
    </xf>
    <xf numFmtId="0" fontId="41" fillId="5" borderId="47" xfId="1" applyFont="1" applyFill="1" applyBorder="1" applyAlignment="1" applyProtection="1">
      <alignment vertical="center"/>
    </xf>
    <xf numFmtId="0" fontId="43" fillId="3" borderId="0" xfId="0" applyFont="1" applyFill="1" applyProtection="1">
      <alignment vertical="center"/>
      <protection locked="0"/>
    </xf>
    <xf numFmtId="0" fontId="41" fillId="5" borderId="46" xfId="0" applyFont="1" applyFill="1" applyBorder="1" applyAlignment="1" applyProtection="1"/>
    <xf numFmtId="0" fontId="41" fillId="5" borderId="47" xfId="0" applyFont="1" applyFill="1" applyBorder="1" applyAlignment="1" applyProtection="1"/>
    <xf numFmtId="0" fontId="41" fillId="5" borderId="38" xfId="0" applyFont="1" applyFill="1" applyBorder="1" applyAlignment="1" applyProtection="1"/>
    <xf numFmtId="0" fontId="57" fillId="3" borderId="0" xfId="0" applyFont="1" applyFill="1" applyAlignment="1" applyProtection="1">
      <protection locked="0"/>
    </xf>
    <xf numFmtId="0" fontId="42" fillId="5" borderId="7" xfId="0" applyFont="1" applyFill="1" applyBorder="1" applyAlignment="1" applyProtection="1">
      <alignment horizontal="center"/>
    </xf>
    <xf numFmtId="0" fontId="42" fillId="5" borderId="35" xfId="0" applyFont="1" applyFill="1" applyBorder="1" applyAlignment="1" applyProtection="1"/>
    <xf numFmtId="0" fontId="42" fillId="0" borderId="0" xfId="0" applyFont="1" applyFill="1" applyAlignment="1" applyProtection="1">
      <protection locked="0"/>
    </xf>
    <xf numFmtId="0" fontId="43" fillId="5" borderId="2" xfId="0" applyFont="1" applyFill="1" applyBorder="1" applyAlignment="1" applyProtection="1"/>
    <xf numFmtId="186" fontId="43" fillId="0" borderId="1" xfId="0" applyNumberFormat="1" applyFont="1" applyFill="1" applyBorder="1" applyAlignment="1" applyProtection="1">
      <alignment horizontal="center"/>
      <protection locked="0"/>
    </xf>
    <xf numFmtId="0" fontId="43" fillId="0" borderId="0" xfId="0" applyFont="1" applyFill="1" applyAlignment="1" applyProtection="1">
      <protection locked="0"/>
    </xf>
    <xf numFmtId="176" fontId="102" fillId="5" borderId="1" xfId="0" applyNumberFormat="1" applyFont="1" applyFill="1" applyBorder="1" applyAlignment="1" applyProtection="1">
      <alignment horizontal="center" vertical="center"/>
    </xf>
    <xf numFmtId="176" fontId="102" fillId="5" borderId="6" xfId="0" applyNumberFormat="1" applyFont="1" applyFill="1" applyBorder="1" applyAlignment="1" applyProtection="1">
      <alignment horizontal="center" vertical="center"/>
    </xf>
    <xf numFmtId="0" fontId="42" fillId="5" borderId="1" xfId="0" applyFont="1" applyFill="1" applyBorder="1" applyAlignment="1" applyProtection="1"/>
    <xf numFmtId="0" fontId="41" fillId="5" borderId="19" xfId="0" applyFont="1" applyFill="1" applyBorder="1" applyAlignment="1" applyProtection="1"/>
    <xf numFmtId="0" fontId="41" fillId="5" borderId="51" xfId="0" applyFont="1" applyFill="1" applyBorder="1" applyAlignment="1" applyProtection="1"/>
    <xf numFmtId="0" fontId="41" fillId="5" borderId="41" xfId="0" applyFont="1" applyFill="1" applyBorder="1" applyAlignment="1" applyProtection="1"/>
    <xf numFmtId="0" fontId="42" fillId="5" borderId="2" xfId="0" applyFont="1" applyFill="1" applyBorder="1" applyAlignment="1" applyProtection="1"/>
    <xf numFmtId="186" fontId="42" fillId="5" borderId="1" xfId="0" applyNumberFormat="1" applyFont="1" applyFill="1" applyBorder="1" applyAlignment="1" applyProtection="1">
      <alignment horizontal="center"/>
    </xf>
    <xf numFmtId="0" fontId="42" fillId="5" borderId="1" xfId="0" applyFont="1" applyFill="1" applyBorder="1" applyAlignment="1" applyProtection="1">
      <alignment horizontal="center"/>
    </xf>
    <xf numFmtId="0" fontId="42" fillId="5" borderId="51" xfId="0" applyFont="1" applyFill="1" applyBorder="1" applyAlignment="1" applyProtection="1"/>
    <xf numFmtId="0" fontId="42" fillId="5" borderId="41" xfId="0" applyFont="1" applyFill="1" applyBorder="1" applyAlignment="1" applyProtection="1"/>
    <xf numFmtId="0" fontId="40" fillId="3" borderId="0" xfId="0" applyFont="1" applyFill="1" applyAlignment="1" applyProtection="1">
      <protection locked="0"/>
    </xf>
    <xf numFmtId="0" fontId="43" fillId="5" borderId="2" xfId="1" applyFont="1" applyFill="1" applyBorder="1" applyAlignment="1" applyProtection="1"/>
    <xf numFmtId="177" fontId="43" fillId="5" borderId="1" xfId="0" applyNumberFormat="1" applyFont="1" applyFill="1" applyBorder="1" applyAlignment="1" applyProtection="1">
      <alignment horizontal="center" vertical="center"/>
    </xf>
    <xf numFmtId="179" fontId="43" fillId="5" borderId="1" xfId="1" applyNumberFormat="1" applyFont="1" applyFill="1" applyBorder="1" applyAlignment="1" applyProtection="1">
      <alignment horizontal="center"/>
    </xf>
    <xf numFmtId="181" fontId="43" fillId="5" borderId="1" xfId="1" applyNumberFormat="1" applyFont="1" applyFill="1" applyBorder="1" applyAlignment="1" applyProtection="1">
      <alignment horizontal="center"/>
    </xf>
    <xf numFmtId="0" fontId="45" fillId="3" borderId="0" xfId="0" applyFont="1" applyFill="1" applyProtection="1">
      <alignment vertical="center"/>
      <protection locked="0"/>
    </xf>
    <xf numFmtId="9" fontId="43" fillId="5" borderId="1" xfId="1" applyNumberFormat="1" applyFont="1" applyFill="1" applyBorder="1" applyAlignment="1" applyProtection="1">
      <alignment horizontal="center"/>
    </xf>
    <xf numFmtId="0" fontId="45" fillId="0" borderId="0" xfId="0" applyFont="1" applyFill="1" applyProtection="1">
      <alignment vertical="center"/>
      <protection locked="0"/>
    </xf>
    <xf numFmtId="177" fontId="43" fillId="5" borderId="1" xfId="1" applyNumberFormat="1" applyFont="1" applyFill="1" applyBorder="1" applyAlignment="1" applyProtection="1"/>
    <xf numFmtId="0" fontId="43" fillId="5" borderId="51" xfId="0" applyFont="1" applyFill="1" applyBorder="1" applyAlignment="1" applyProtection="1"/>
    <xf numFmtId="0" fontId="43" fillId="5" borderId="41" xfId="0" applyFont="1" applyFill="1" applyBorder="1" applyAlignment="1" applyProtection="1"/>
    <xf numFmtId="0" fontId="43" fillId="5" borderId="2" xfId="0" applyFont="1" applyFill="1" applyBorder="1" applyAlignment="1" applyProtection="1">
      <alignment horizontal="left"/>
    </xf>
    <xf numFmtId="0" fontId="43" fillId="5" borderId="51" xfId="0" applyFont="1" applyFill="1" applyBorder="1" applyAlignment="1" applyProtection="1">
      <alignment horizontal="left"/>
    </xf>
    <xf numFmtId="0" fontId="43" fillId="5" borderId="41" xfId="0" applyFont="1" applyFill="1" applyBorder="1" applyAlignment="1" applyProtection="1">
      <alignment horizontal="left"/>
    </xf>
    <xf numFmtId="177" fontId="43" fillId="5" borderId="1" xfId="1" applyNumberFormat="1" applyFont="1" applyFill="1" applyBorder="1" applyAlignment="1" applyProtection="1">
      <alignment horizontal="center"/>
    </xf>
    <xf numFmtId="10" fontId="43" fillId="5" borderId="1" xfId="1" applyNumberFormat="1" applyFont="1" applyFill="1" applyBorder="1" applyAlignment="1" applyProtection="1">
      <alignment horizontal="center"/>
    </xf>
    <xf numFmtId="0" fontId="42" fillId="5" borderId="2" xfId="1" applyFont="1" applyFill="1" applyBorder="1" applyAlignment="1" applyProtection="1"/>
    <xf numFmtId="177" fontId="42" fillId="5" borderId="1" xfId="1" applyNumberFormat="1" applyFont="1" applyFill="1" applyBorder="1" applyAlignment="1" applyProtection="1">
      <alignment horizontal="center"/>
    </xf>
    <xf numFmtId="0" fontId="42" fillId="5" borderId="1" xfId="1" applyFont="1" applyFill="1" applyBorder="1" applyAlignment="1" applyProtection="1"/>
    <xf numFmtId="177" fontId="42" fillId="5" borderId="1" xfId="1" applyNumberFormat="1" applyFont="1" applyFill="1" applyBorder="1" applyAlignment="1" applyProtection="1"/>
    <xf numFmtId="10" fontId="42" fillId="5" borderId="1" xfId="1" applyNumberFormat="1" applyFont="1" applyFill="1" applyBorder="1" applyAlignment="1" applyProtection="1">
      <alignment horizontal="center"/>
    </xf>
    <xf numFmtId="0" fontId="45" fillId="3" borderId="0" xfId="0" applyFont="1" applyFill="1" applyAlignment="1" applyProtection="1">
      <protection locked="0"/>
    </xf>
    <xf numFmtId="0" fontId="42" fillId="5" borderId="1" xfId="0" applyFont="1" applyFill="1" applyBorder="1" applyAlignment="1" applyProtection="1">
      <alignment horizontal="right" vertical="center"/>
    </xf>
    <xf numFmtId="177" fontId="42" fillId="5" borderId="1" xfId="1" applyNumberFormat="1" applyFont="1" applyFill="1" applyBorder="1" applyAlignment="1" applyProtection="1">
      <alignment vertical="center"/>
    </xf>
    <xf numFmtId="0" fontId="40" fillId="5" borderId="2"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177" fontId="42" fillId="5" borderId="0" xfId="0" applyNumberFormat="1" applyFont="1" applyFill="1" applyBorder="1" applyAlignment="1" applyProtection="1">
      <alignment horizont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5" borderId="1" xfId="1" applyFont="1" applyFill="1" applyBorder="1" applyAlignment="1" applyProtection="1">
      <alignment horizontal="left"/>
    </xf>
    <xf numFmtId="187" fontId="43" fillId="5" borderId="3" xfId="0" applyNumberFormat="1" applyFont="1" applyFill="1" applyBorder="1" applyAlignment="1" applyProtection="1">
      <alignment horizontal="center"/>
    </xf>
    <xf numFmtId="187" fontId="43" fillId="5" borderId="1" xfId="0" applyNumberFormat="1" applyFont="1" applyFill="1" applyBorder="1" applyAlignment="1" applyProtection="1">
      <alignment horizontal="center" vertical="center"/>
    </xf>
    <xf numFmtId="177" fontId="43" fillId="5" borderId="51" xfId="1" applyNumberFormat="1" applyFont="1" applyFill="1" applyBorder="1" applyAlignment="1" applyProtection="1">
      <alignment vertical="center"/>
    </xf>
    <xf numFmtId="10" fontId="43" fillId="5" borderId="18" xfId="0" applyNumberFormat="1" applyFont="1" applyFill="1" applyBorder="1" applyAlignment="1" applyProtection="1">
      <alignment horizontal="center" vertical="center"/>
    </xf>
    <xf numFmtId="0" fontId="44" fillId="3" borderId="0" xfId="0" applyFont="1" applyFill="1" applyAlignment="1" applyProtection="1">
      <protection locked="0"/>
    </xf>
    <xf numFmtId="177" fontId="43" fillId="5" borderId="0" xfId="0" applyNumberFormat="1" applyFont="1" applyFill="1" applyBorder="1" applyAlignment="1" applyProtection="1">
      <alignment horizontal="center"/>
    </xf>
    <xf numFmtId="0" fontId="42" fillId="5" borderId="1" xfId="1" applyFont="1" applyFill="1" applyBorder="1" applyAlignment="1" applyProtection="1">
      <alignment vertical="center" wrapText="1"/>
    </xf>
    <xf numFmtId="177" fontId="42" fillId="5" borderId="3" xfId="0" applyNumberFormat="1" applyFont="1" applyFill="1" applyBorder="1" applyAlignment="1" applyProtection="1">
      <alignment horizontal="center" vertical="center" wrapText="1"/>
    </xf>
    <xf numFmtId="10" fontId="42" fillId="5" borderId="1" xfId="0" applyNumberFormat="1" applyFont="1" applyFill="1" applyBorder="1" applyAlignment="1" applyProtection="1">
      <alignment horizontal="center" vertical="center" wrapText="1"/>
    </xf>
    <xf numFmtId="0" fontId="45" fillId="3" borderId="0" xfId="0" applyFont="1" applyFill="1" applyAlignment="1" applyProtection="1">
      <alignment vertical="center" wrapText="1"/>
      <protection locked="0"/>
    </xf>
    <xf numFmtId="0" fontId="43" fillId="5" borderId="2" xfId="1" applyFont="1" applyFill="1" applyBorder="1" applyAlignment="1" applyProtection="1">
      <alignment horizontal="left"/>
    </xf>
    <xf numFmtId="10" fontId="43"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177" fontId="43" fillId="5" borderId="1" xfId="0" applyNumberFormat="1" applyFont="1" applyFill="1" applyBorder="1" applyAlignment="1" applyProtection="1">
      <alignment horizontal="center" vertical="center" wrapText="1"/>
    </xf>
    <xf numFmtId="177" fontId="43" fillId="5" borderId="51" xfId="1" applyNumberFormat="1" applyFont="1" applyFill="1" applyBorder="1" applyAlignment="1" applyProtection="1"/>
    <xf numFmtId="177" fontId="42" fillId="5" borderId="1" xfId="0" applyNumberFormat="1" applyFont="1" applyFill="1" applyBorder="1" applyAlignment="1" applyProtection="1">
      <alignment horizontal="center"/>
    </xf>
    <xf numFmtId="177" fontId="42" fillId="5" borderId="1" xfId="0" applyNumberFormat="1" applyFont="1" applyFill="1" applyBorder="1" applyAlignment="1" applyProtection="1"/>
    <xf numFmtId="10" fontId="42" fillId="5" borderId="1" xfId="0" applyNumberFormat="1" applyFont="1" applyFill="1" applyBorder="1" applyAlignment="1" applyProtection="1">
      <alignment horizontal="center"/>
    </xf>
    <xf numFmtId="177" fontId="42" fillId="5" borderId="2" xfId="0" applyNumberFormat="1" applyFont="1" applyFill="1" applyBorder="1" applyAlignment="1" applyProtection="1"/>
    <xf numFmtId="177" fontId="42" fillId="5" borderId="51" xfId="0" applyNumberFormat="1" applyFont="1" applyFill="1" applyBorder="1" applyAlignment="1" applyProtection="1"/>
    <xf numFmtId="177" fontId="42" fillId="5" borderId="41" xfId="0" applyNumberFormat="1" applyFont="1" applyFill="1" applyBorder="1" applyAlignment="1" applyProtection="1"/>
    <xf numFmtId="0" fontId="42" fillId="5" borderId="20" xfId="0" applyFont="1" applyFill="1" applyBorder="1" applyAlignment="1" applyProtection="1"/>
    <xf numFmtId="0" fontId="42" fillId="5" borderId="48" xfId="0" applyFont="1" applyFill="1" applyBorder="1" applyAlignment="1" applyProtection="1"/>
    <xf numFmtId="186" fontId="41" fillId="5" borderId="61" xfId="0" applyNumberFormat="1" applyFont="1" applyFill="1" applyBorder="1" applyAlignment="1" applyProtection="1">
      <alignment horizontal="center"/>
    </xf>
    <xf numFmtId="0" fontId="41" fillId="5" borderId="44" xfId="0" applyFont="1" applyFill="1" applyBorder="1" applyAlignment="1" applyProtection="1"/>
    <xf numFmtId="0" fontId="42" fillId="5" borderId="62" xfId="0" applyFont="1" applyFill="1" applyBorder="1" applyAlignment="1" applyProtection="1"/>
    <xf numFmtId="0" fontId="43" fillId="3" borderId="0" xfId="0" applyFont="1" applyFill="1" applyAlignment="1" applyProtection="1">
      <alignment horizontal="center"/>
      <protection locked="0"/>
    </xf>
    <xf numFmtId="0" fontId="43" fillId="3" borderId="0" xfId="0" applyFont="1" applyFill="1" applyAlignment="1" applyProtection="1">
      <protection locked="0"/>
    </xf>
    <xf numFmtId="186" fontId="43" fillId="3" borderId="0" xfId="0" applyNumberFormat="1" applyFont="1" applyFill="1" applyAlignment="1" applyProtection="1">
      <alignment horizontal="center"/>
      <protection locked="0"/>
    </xf>
    <xf numFmtId="49" fontId="58" fillId="5" borderId="65" xfId="0" applyNumberFormat="1" applyFont="1" applyFill="1" applyBorder="1" applyAlignment="1" applyProtection="1"/>
    <xf numFmtId="0" fontId="59" fillId="5" borderId="0" xfId="0" applyFont="1" applyFill="1" applyAlignment="1" applyProtection="1">
      <alignment horizontal="center" vertical="center"/>
    </xf>
    <xf numFmtId="0" fontId="60" fillId="0" borderId="0" xfId="0" applyFont="1" applyFill="1" applyAlignment="1" applyProtection="1">
      <alignment vertical="center"/>
      <protection locked="0"/>
    </xf>
    <xf numFmtId="0" fontId="41" fillId="5" borderId="1" xfId="0" applyFont="1" applyFill="1" applyBorder="1" applyAlignment="1" applyProtection="1">
      <alignment horizontal="center" vertical="center"/>
    </xf>
    <xf numFmtId="0" fontId="54" fillId="0" borderId="0" xfId="0" applyFont="1" applyFill="1" applyAlignment="1" applyProtection="1">
      <alignment vertical="center"/>
      <protection locked="0"/>
    </xf>
    <xf numFmtId="0" fontId="53" fillId="5" borderId="61" xfId="1" applyFont="1" applyFill="1" applyBorder="1" applyAlignment="1" applyProtection="1">
      <alignment vertical="center"/>
    </xf>
    <xf numFmtId="49" fontId="58" fillId="5" borderId="0" xfId="0" applyNumberFormat="1" applyFont="1" applyFill="1" applyBorder="1" applyAlignment="1" applyProtection="1">
      <alignment horizontal="center"/>
    </xf>
    <xf numFmtId="49" fontId="43" fillId="5" borderId="4" xfId="0" applyNumberFormat="1" applyFont="1" applyFill="1" applyBorder="1" applyAlignment="1" applyProtection="1">
      <alignment horizontal="center" vertical="center"/>
    </xf>
    <xf numFmtId="0" fontId="43" fillId="5" borderId="11" xfId="0" applyFont="1" applyFill="1" applyBorder="1" applyAlignment="1" applyProtection="1">
      <alignment horizontal="center" vertical="center"/>
    </xf>
    <xf numFmtId="0" fontId="43" fillId="5" borderId="13" xfId="0" applyFont="1" applyFill="1" applyBorder="1" applyAlignment="1" applyProtection="1">
      <alignment horizontal="right" vertical="center"/>
    </xf>
    <xf numFmtId="0" fontId="43" fillId="5" borderId="38" xfId="0" applyFont="1" applyFill="1" applyBorder="1" applyAlignment="1" applyProtection="1">
      <alignment horizontal="center" vertical="center"/>
    </xf>
    <xf numFmtId="49" fontId="48" fillId="5" borderId="16" xfId="0" applyNumberFormat="1" applyFont="1" applyFill="1" applyBorder="1" applyAlignment="1" applyProtection="1">
      <alignment vertical="center"/>
    </xf>
    <xf numFmtId="0" fontId="48" fillId="5" borderId="18" xfId="0" applyFont="1" applyFill="1" applyBorder="1" applyAlignment="1" applyProtection="1">
      <alignment vertical="center" wrapText="1"/>
    </xf>
    <xf numFmtId="0" fontId="48" fillId="5" borderId="18" xfId="0" applyFont="1" applyFill="1" applyBorder="1" applyAlignment="1" applyProtection="1">
      <alignment horizontal="center" vertical="center"/>
    </xf>
    <xf numFmtId="0" fontId="43" fillId="5" borderId="1" xfId="0" applyFont="1" applyFill="1" applyBorder="1" applyAlignment="1" applyProtection="1">
      <alignment horizontal="left" vertical="center"/>
    </xf>
    <xf numFmtId="0" fontId="48" fillId="5" borderId="6" xfId="0" applyFont="1" applyFill="1" applyBorder="1" applyAlignment="1" applyProtection="1">
      <alignment horizontal="center" vertical="center"/>
    </xf>
    <xf numFmtId="49" fontId="48" fillId="5" borderId="26" xfId="0" applyNumberFormat="1" applyFont="1" applyFill="1" applyBorder="1" applyAlignment="1" applyProtection="1">
      <alignment vertical="center"/>
    </xf>
    <xf numFmtId="0" fontId="48" fillId="5" borderId="49" xfId="0" applyFont="1" applyFill="1" applyBorder="1" applyAlignment="1" applyProtection="1">
      <alignment vertical="center" wrapText="1"/>
    </xf>
    <xf numFmtId="0" fontId="48" fillId="5" borderId="49" xfId="0" applyFont="1" applyFill="1" applyBorder="1" applyAlignment="1" applyProtection="1">
      <alignment horizontal="center" vertical="center"/>
    </xf>
    <xf numFmtId="0" fontId="43" fillId="5" borderId="49" xfId="0" applyFont="1" applyFill="1" applyBorder="1" applyAlignment="1" applyProtection="1">
      <alignment vertical="center"/>
    </xf>
    <xf numFmtId="49" fontId="48" fillId="5" borderId="23" xfId="0" applyNumberFormat="1" applyFont="1" applyFill="1" applyBorder="1" applyAlignment="1" applyProtection="1">
      <alignment vertical="center"/>
    </xf>
    <xf numFmtId="0" fontId="48" fillId="5" borderId="17" xfId="0" applyFont="1" applyFill="1" applyBorder="1" applyAlignment="1" applyProtection="1">
      <alignment vertical="center" wrapText="1"/>
    </xf>
    <xf numFmtId="0" fontId="48" fillId="5" borderId="17" xfId="0" applyFont="1" applyFill="1" applyBorder="1" applyAlignment="1" applyProtection="1">
      <alignment horizontal="center" vertical="center"/>
    </xf>
    <xf numFmtId="0" fontId="43" fillId="5" borderId="17" xfId="0" applyFont="1" applyFill="1" applyBorder="1" applyAlignment="1" applyProtection="1">
      <alignment vertical="center"/>
    </xf>
    <xf numFmtId="181" fontId="48" fillId="5" borderId="6" xfId="0" applyNumberFormat="1" applyFont="1" applyFill="1" applyBorder="1" applyAlignment="1" applyProtection="1">
      <alignment horizontal="center" vertical="center"/>
    </xf>
    <xf numFmtId="0" fontId="43" fillId="5" borderId="18" xfId="0" applyFont="1" applyFill="1" applyBorder="1" applyAlignment="1" applyProtection="1">
      <alignment horizontal="left" vertical="center"/>
    </xf>
    <xf numFmtId="181" fontId="48" fillId="5" borderId="58" xfId="0" applyNumberFormat="1" applyFont="1" applyFill="1" applyBorder="1" applyAlignment="1" applyProtection="1">
      <alignment horizontal="center" vertical="center"/>
    </xf>
    <xf numFmtId="49" fontId="48" fillId="5" borderId="7" xfId="0" applyNumberFormat="1" applyFont="1" applyFill="1" applyBorder="1" applyAlignment="1" applyProtection="1">
      <alignment horizontal="left" vertical="center"/>
    </xf>
    <xf numFmtId="0" fontId="48" fillId="5" borderId="1" xfId="0" applyFont="1" applyFill="1" applyBorder="1" applyAlignment="1" applyProtection="1">
      <alignment horizontal="left" vertical="center"/>
    </xf>
    <xf numFmtId="0" fontId="48" fillId="5" borderId="1" xfId="0" applyFont="1" applyFill="1" applyBorder="1" applyAlignment="1" applyProtection="1">
      <alignment horizontal="center" vertical="center"/>
    </xf>
    <xf numFmtId="0" fontId="57" fillId="5" borderId="51" xfId="0" applyFont="1" applyFill="1" applyBorder="1" applyAlignment="1" applyProtection="1">
      <alignment vertical="center"/>
    </xf>
    <xf numFmtId="0" fontId="57" fillId="5" borderId="41" xfId="0" applyFont="1" applyFill="1" applyBorder="1" applyAlignment="1" applyProtection="1">
      <alignment vertical="center"/>
    </xf>
    <xf numFmtId="49" fontId="43" fillId="5" borderId="7" xfId="0" applyNumberFormat="1" applyFont="1" applyFill="1" applyBorder="1" applyAlignment="1" applyProtection="1">
      <alignment horizontal="left" vertical="center"/>
    </xf>
    <xf numFmtId="0" fontId="102" fillId="5" borderId="2" xfId="0" applyFont="1" applyFill="1" applyBorder="1" applyAlignment="1" applyProtection="1">
      <alignment horizontal="center" vertical="center"/>
    </xf>
    <xf numFmtId="0" fontId="43" fillId="5" borderId="17" xfId="0" applyFont="1" applyFill="1" applyBorder="1" applyAlignment="1" applyProtection="1">
      <alignment horizontal="left" vertical="center"/>
    </xf>
    <xf numFmtId="181" fontId="43" fillId="5" borderId="34" xfId="0" applyNumberFormat="1" applyFont="1" applyFill="1" applyBorder="1" applyAlignment="1" applyProtection="1">
      <alignment horizontal="center" vertical="center"/>
    </xf>
    <xf numFmtId="0" fontId="61" fillId="0" borderId="0" xfId="0" applyFont="1" applyFill="1" applyAlignment="1" applyProtection="1">
      <alignment vertical="center"/>
      <protection locked="0"/>
    </xf>
    <xf numFmtId="181" fontId="43" fillId="5" borderId="6" xfId="0" applyNumberFormat="1" applyFont="1" applyFill="1" applyBorder="1" applyAlignment="1" applyProtection="1">
      <alignment horizontal="center" vertical="center"/>
    </xf>
    <xf numFmtId="0" fontId="43" fillId="5" borderId="1" xfId="0" applyFont="1" applyFill="1" applyBorder="1" applyAlignment="1" applyProtection="1">
      <alignment vertical="center" wrapText="1"/>
    </xf>
    <xf numFmtId="49" fontId="43" fillId="5" borderId="16" xfId="0" applyNumberFormat="1" applyFont="1" applyFill="1" applyBorder="1" applyAlignment="1" applyProtection="1">
      <alignment vertical="center"/>
    </xf>
    <xf numFmtId="0" fontId="43" fillId="5" borderId="18" xfId="0" applyFont="1" applyFill="1" applyBorder="1" applyAlignment="1" applyProtection="1">
      <alignment horizontal="left" vertical="center" wrapText="1"/>
    </xf>
    <xf numFmtId="0" fontId="43" fillId="5" borderId="6" xfId="0" applyFont="1" applyFill="1" applyBorder="1" applyAlignment="1" applyProtection="1">
      <alignment horizontal="center" vertical="center"/>
    </xf>
    <xf numFmtId="49" fontId="43" fillId="5" borderId="23" xfId="0" applyNumberFormat="1" applyFont="1" applyFill="1" applyBorder="1" applyAlignment="1" applyProtection="1">
      <alignment vertical="center"/>
    </xf>
    <xf numFmtId="0" fontId="43" fillId="5" borderId="17" xfId="0" applyFont="1" applyFill="1" applyBorder="1" applyAlignment="1" applyProtection="1">
      <alignment horizontal="left" vertical="center" wrapText="1"/>
    </xf>
    <xf numFmtId="10" fontId="48" fillId="5" borderId="6" xfId="0" applyNumberFormat="1" applyFont="1" applyFill="1" applyBorder="1" applyAlignment="1" applyProtection="1">
      <alignment horizontal="center" vertical="center"/>
    </xf>
    <xf numFmtId="183" fontId="48" fillId="5" borderId="6" xfId="0" applyNumberFormat="1" applyFont="1" applyFill="1" applyBorder="1" applyAlignment="1" applyProtection="1">
      <alignment horizontal="center" vertical="center"/>
    </xf>
    <xf numFmtId="10" fontId="43" fillId="5" borderId="6" xfId="0" applyNumberFormat="1" applyFont="1" applyFill="1" applyBorder="1" applyAlignment="1" applyProtection="1">
      <alignment horizontal="center" vertical="center"/>
    </xf>
    <xf numFmtId="0" fontId="43" fillId="5" borderId="41" xfId="0" applyFont="1" applyFill="1" applyBorder="1" applyAlignment="1" applyProtection="1">
      <alignment horizontal="center" vertical="center" wrapText="1"/>
    </xf>
    <xf numFmtId="0" fontId="43" fillId="5" borderId="49" xfId="0" applyFont="1" applyFill="1" applyBorder="1" applyAlignment="1" applyProtection="1">
      <alignment horizontal="left" vertical="center" wrapText="1"/>
    </xf>
    <xf numFmtId="179" fontId="48" fillId="5" borderId="6" xfId="0" applyNumberFormat="1" applyFont="1" applyFill="1" applyBorder="1" applyAlignment="1" applyProtection="1">
      <alignment horizontal="center" vertical="center"/>
    </xf>
    <xf numFmtId="49" fontId="48" fillId="5" borderId="8" xfId="0" applyNumberFormat="1" applyFont="1" applyFill="1" applyBorder="1" applyAlignment="1" applyProtection="1">
      <alignment horizontal="left" vertical="center"/>
    </xf>
    <xf numFmtId="0" fontId="48" fillId="5" borderId="61" xfId="0" applyFont="1" applyFill="1" applyBorder="1" applyAlignment="1" applyProtection="1">
      <alignment horizontal="left" vertical="center"/>
    </xf>
    <xf numFmtId="0" fontId="48" fillId="5" borderId="61" xfId="0" applyFont="1" applyFill="1" applyBorder="1" applyAlignment="1" applyProtection="1">
      <alignment horizontal="center" vertical="center"/>
    </xf>
    <xf numFmtId="0" fontId="43" fillId="5" borderId="61" xfId="0" applyFont="1" applyFill="1" applyBorder="1" applyAlignment="1" applyProtection="1">
      <alignment vertical="center"/>
    </xf>
    <xf numFmtId="0" fontId="43" fillId="5" borderId="61" xfId="0" applyFont="1" applyFill="1" applyBorder="1" applyAlignment="1" applyProtection="1">
      <alignment horizontal="left" vertical="center"/>
    </xf>
    <xf numFmtId="179" fontId="48" fillId="5" borderId="43" xfId="0" applyNumberFormat="1" applyFont="1" applyFill="1" applyBorder="1" applyAlignment="1" applyProtection="1">
      <alignment horizontal="center" vertical="center"/>
    </xf>
    <xf numFmtId="0" fontId="54" fillId="0" borderId="0" xfId="0" applyFont="1" applyFill="1" applyAlignment="1" applyProtection="1">
      <alignment horizontal="left" vertical="center"/>
      <protection locked="0"/>
    </xf>
    <xf numFmtId="0" fontId="40" fillId="5" borderId="1" xfId="0" applyFont="1" applyFill="1" applyBorder="1" applyAlignment="1" applyProtection="1"/>
    <xf numFmtId="0" fontId="40" fillId="5" borderId="1" xfId="0" applyFont="1" applyFill="1" applyBorder="1" applyAlignment="1" applyProtection="1">
      <alignment horizontal="center"/>
    </xf>
    <xf numFmtId="0" fontId="49" fillId="5" borderId="1" xfId="0" applyFont="1" applyFill="1" applyBorder="1" applyAlignment="1" applyProtection="1">
      <alignment horizontal="left"/>
    </xf>
    <xf numFmtId="186" fontId="49" fillId="5" borderId="1" xfId="0" applyNumberFormat="1" applyFont="1" applyFill="1" applyBorder="1" applyAlignment="1" applyProtection="1">
      <alignment horizontal="center"/>
    </xf>
    <xf numFmtId="0" fontId="49" fillId="5" borderId="1" xfId="0" applyFont="1" applyFill="1" applyBorder="1" applyAlignment="1" applyProtection="1">
      <alignment vertical="center" wrapText="1"/>
    </xf>
    <xf numFmtId="181" fontId="48" fillId="5" borderId="1" xfId="0" applyNumberFormat="1" applyFont="1" applyFill="1" applyBorder="1" applyAlignment="1" applyProtection="1">
      <alignment horizontal="center" vertical="center"/>
    </xf>
    <xf numFmtId="0" fontId="103" fillId="5" borderId="1" xfId="0" applyFont="1" applyFill="1" applyBorder="1" applyAlignment="1" applyProtection="1">
      <alignment horizontal="left"/>
    </xf>
    <xf numFmtId="0" fontId="103" fillId="5" borderId="1" xfId="0" applyFont="1" applyFill="1" applyBorder="1" applyAlignment="1" applyProtection="1">
      <alignment horizontal="center"/>
    </xf>
    <xf numFmtId="0" fontId="56" fillId="5" borderId="1" xfId="0" applyFont="1" applyFill="1" applyBorder="1" applyAlignment="1" applyProtection="1">
      <alignment horizontal="center"/>
    </xf>
    <xf numFmtId="0" fontId="54" fillId="0" borderId="0" xfId="0" applyFont="1" applyFill="1" applyAlignment="1" applyProtection="1">
      <alignment horizontal="center" vertical="center"/>
      <protection locked="0"/>
    </xf>
    <xf numFmtId="0" fontId="101" fillId="5" borderId="35" xfId="0" applyFont="1" applyFill="1" applyBorder="1" applyAlignment="1" applyProtection="1">
      <alignment vertical="center"/>
    </xf>
    <xf numFmtId="0" fontId="58" fillId="5" borderId="36" xfId="0" applyFont="1" applyFill="1" applyBorder="1" applyAlignment="1" applyProtection="1">
      <alignment horizontal="right" vertical="center"/>
    </xf>
    <xf numFmtId="0" fontId="58" fillId="5" borderId="0" xfId="0" applyFont="1" applyFill="1" applyAlignment="1" applyProtection="1">
      <alignment horizontal="center" vertical="center"/>
    </xf>
    <xf numFmtId="0" fontId="60" fillId="0" borderId="0" xfId="0" applyFont="1" applyFill="1" applyAlignment="1" applyProtection="1">
      <alignment horizontal="center" vertical="center"/>
      <protection locked="0"/>
    </xf>
    <xf numFmtId="0" fontId="53" fillId="5" borderId="18" xfId="0" applyFont="1" applyFill="1" applyBorder="1" applyAlignment="1" applyProtection="1">
      <alignment horizontal="right" vertical="center"/>
    </xf>
    <xf numFmtId="0" fontId="53" fillId="5" borderId="18" xfId="0" applyFont="1" applyFill="1" applyBorder="1" applyAlignment="1" applyProtection="1">
      <alignment horizontal="center" vertical="center"/>
    </xf>
    <xf numFmtId="0" fontId="46" fillId="5" borderId="5" xfId="0" applyFont="1" applyFill="1" applyBorder="1" applyAlignment="1" applyProtection="1">
      <alignment vertical="center" wrapText="1"/>
    </xf>
    <xf numFmtId="0" fontId="46" fillId="5" borderId="37" xfId="0" applyFont="1" applyFill="1" applyBorder="1" applyAlignment="1" applyProtection="1">
      <alignment vertical="center" wrapText="1"/>
    </xf>
    <xf numFmtId="0" fontId="47" fillId="0" borderId="0" xfId="0" applyFont="1" applyFill="1" applyAlignment="1" applyProtection="1">
      <alignment horizontal="center" vertical="center"/>
      <protection locked="0"/>
    </xf>
    <xf numFmtId="0" fontId="46" fillId="5" borderId="39" xfId="0" applyFont="1" applyFill="1" applyBorder="1" applyAlignment="1" applyProtection="1">
      <alignment vertical="center" wrapText="1"/>
    </xf>
    <xf numFmtId="0" fontId="46" fillId="5" borderId="0" xfId="0" applyFont="1" applyFill="1" applyBorder="1" applyAlignment="1" applyProtection="1">
      <alignment vertical="center" wrapText="1"/>
    </xf>
    <xf numFmtId="0" fontId="46" fillId="5" borderId="29" xfId="0" applyFont="1" applyFill="1" applyBorder="1" applyAlignment="1" applyProtection="1">
      <alignment vertical="center" wrapText="1"/>
    </xf>
    <xf numFmtId="0" fontId="46" fillId="5" borderId="40" xfId="0" applyFont="1" applyFill="1" applyBorder="1" applyAlignment="1" applyProtection="1">
      <alignment vertical="center" wrapText="1"/>
    </xf>
    <xf numFmtId="0" fontId="42" fillId="5" borderId="55" xfId="0" applyFont="1" applyFill="1" applyBorder="1" applyAlignment="1" applyProtection="1">
      <alignment vertical="center" wrapText="1"/>
    </xf>
    <xf numFmtId="0" fontId="42" fillId="5" borderId="66" xfId="0" applyFont="1" applyFill="1" applyBorder="1" applyAlignment="1" applyProtection="1">
      <alignment vertical="center" wrapText="1"/>
    </xf>
    <xf numFmtId="184" fontId="40" fillId="5" borderId="9" xfId="0" applyNumberFormat="1" applyFont="1" applyFill="1" applyBorder="1" applyAlignment="1" applyProtection="1">
      <alignment horizontal="center" vertical="center" wrapText="1"/>
    </xf>
    <xf numFmtId="0" fontId="40" fillId="5" borderId="15" xfId="0" applyNumberFormat="1" applyFont="1" applyFill="1" applyBorder="1" applyAlignment="1" applyProtection="1">
      <alignment horizontal="center" vertical="center" wrapText="1"/>
    </xf>
    <xf numFmtId="184" fontId="40" fillId="0" borderId="67" xfId="0" applyNumberFormat="1" applyFont="1" applyFill="1" applyBorder="1" applyAlignment="1" applyProtection="1">
      <alignment horizontal="center" vertical="center" wrapText="1"/>
      <protection locked="0"/>
    </xf>
    <xf numFmtId="0" fontId="40" fillId="5" borderId="14" xfId="0" applyNumberFormat="1" applyFont="1" applyFill="1" applyBorder="1" applyAlignment="1" applyProtection="1">
      <alignment horizontal="center" vertical="center" wrapText="1"/>
    </xf>
    <xf numFmtId="49" fontId="40" fillId="2" borderId="9" xfId="0" applyNumberFormat="1" applyFont="1" applyFill="1" applyBorder="1" applyAlignment="1" applyProtection="1">
      <alignment horizontal="center" vertical="center" wrapText="1"/>
      <protection locked="0"/>
    </xf>
    <xf numFmtId="0" fontId="42" fillId="5" borderId="22" xfId="0" applyFont="1" applyFill="1" applyBorder="1" applyAlignment="1" applyProtection="1">
      <alignment vertical="center" wrapText="1"/>
    </xf>
    <xf numFmtId="0" fontId="40" fillId="0" borderId="46" xfId="0" applyNumberFormat="1" applyFont="1" applyFill="1" applyBorder="1" applyAlignment="1" applyProtection="1">
      <alignment horizontal="center" vertical="center" wrapText="1"/>
      <protection locked="0"/>
    </xf>
    <xf numFmtId="49" fontId="40" fillId="2" borderId="28" xfId="0" applyNumberFormat="1" applyFont="1" applyFill="1" applyBorder="1" applyAlignment="1" applyProtection="1">
      <alignment horizontal="center" vertical="center" wrapText="1"/>
      <protection locked="0"/>
    </xf>
    <xf numFmtId="49" fontId="40" fillId="2" borderId="4" xfId="0" applyNumberFormat="1" applyFont="1" applyFill="1" applyBorder="1" applyAlignment="1" applyProtection="1">
      <alignment horizontal="center" vertical="center" wrapText="1"/>
      <protection locked="0"/>
    </xf>
    <xf numFmtId="0" fontId="67" fillId="5" borderId="26" xfId="0" applyFont="1" applyFill="1" applyBorder="1" applyAlignment="1" applyProtection="1">
      <alignment vertical="center" wrapText="1"/>
    </xf>
    <xf numFmtId="0" fontId="40" fillId="5" borderId="2" xfId="0" applyFont="1" applyFill="1" applyBorder="1" applyAlignment="1" applyProtection="1">
      <alignment horizontal="center" vertical="center" wrapText="1"/>
    </xf>
    <xf numFmtId="49" fontId="40" fillId="2" borderId="7" xfId="0" applyNumberFormat="1" applyFont="1" applyFill="1" applyBorder="1" applyAlignment="1" applyProtection="1">
      <alignment horizontal="center" vertical="center" wrapText="1"/>
      <protection locked="0"/>
    </xf>
    <xf numFmtId="49" fontId="40" fillId="2" borderId="3" xfId="0" applyNumberFormat="1" applyFont="1" applyFill="1" applyBorder="1" applyAlignment="1" applyProtection="1">
      <alignment horizontal="center" vertical="center" wrapText="1"/>
      <protection locked="0"/>
    </xf>
    <xf numFmtId="0" fontId="40" fillId="5" borderId="2" xfId="0" applyNumberFormat="1"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5" borderId="26" xfId="0" applyFont="1" applyFill="1" applyBorder="1" applyAlignment="1" applyProtection="1">
      <alignment vertical="center" wrapText="1"/>
    </xf>
    <xf numFmtId="0" fontId="40" fillId="0" borderId="7" xfId="0" applyNumberFormat="1" applyFont="1" applyFill="1" applyBorder="1" applyAlignment="1" applyProtection="1">
      <alignment horizontal="center" vertical="center" wrapText="1"/>
      <protection locked="0"/>
    </xf>
    <xf numFmtId="0" fontId="40" fillId="0" borderId="3" xfId="0" applyNumberFormat="1" applyFont="1" applyFill="1" applyBorder="1" applyAlignment="1" applyProtection="1">
      <alignment horizontal="center" vertical="center" wrapText="1"/>
      <protection locked="0"/>
    </xf>
    <xf numFmtId="0" fontId="42" fillId="5" borderId="26" xfId="0" applyFont="1" applyFill="1" applyBorder="1" applyAlignment="1" applyProtection="1">
      <alignment vertical="center" wrapText="1"/>
    </xf>
    <xf numFmtId="0" fontId="40" fillId="0" borderId="23" xfId="0" applyNumberFormat="1" applyFont="1" applyFill="1" applyBorder="1" applyAlignment="1" applyProtection="1">
      <alignment horizontal="center" vertical="center" wrapText="1"/>
      <protection locked="0"/>
    </xf>
    <xf numFmtId="0" fontId="40" fillId="5" borderId="68" xfId="0" applyNumberFormat="1" applyFont="1" applyFill="1" applyBorder="1" applyAlignment="1" applyProtection="1">
      <alignment horizontal="center" vertical="center" wrapText="1"/>
    </xf>
    <xf numFmtId="0" fontId="47" fillId="0" borderId="19" xfId="0" applyNumberFormat="1" applyFont="1" applyFill="1" applyBorder="1" applyAlignment="1" applyProtection="1">
      <alignment horizontal="center" vertical="center" wrapText="1"/>
      <protection locked="0"/>
    </xf>
    <xf numFmtId="0" fontId="47" fillId="5" borderId="6" xfId="0" applyNumberFormat="1" applyFont="1" applyFill="1" applyBorder="1" applyAlignment="1" applyProtection="1">
      <alignment horizontal="center" vertical="center" wrapText="1"/>
    </xf>
    <xf numFmtId="0" fontId="46" fillId="5" borderId="42" xfId="0" applyFont="1" applyFill="1" applyBorder="1" applyAlignment="1" applyProtection="1">
      <alignment vertical="center" wrapText="1"/>
    </xf>
    <xf numFmtId="0" fontId="47" fillId="5" borderId="43" xfId="0" applyNumberFormat="1" applyFont="1" applyFill="1" applyBorder="1" applyAlignment="1" applyProtection="1">
      <alignment horizontal="center" vertical="center" wrapText="1"/>
    </xf>
    <xf numFmtId="0" fontId="47" fillId="5" borderId="44" xfId="0" applyNumberFormat="1" applyFont="1" applyFill="1" applyBorder="1" applyAlignment="1" applyProtection="1">
      <alignment horizontal="center" vertical="center" wrapText="1"/>
    </xf>
    <xf numFmtId="0" fontId="46" fillId="5" borderId="22" xfId="0" applyFont="1" applyFill="1" applyBorder="1" applyAlignment="1" applyProtection="1">
      <alignment vertical="center" wrapText="1"/>
    </xf>
    <xf numFmtId="0" fontId="47" fillId="5" borderId="59" xfId="0" applyNumberFormat="1" applyFont="1" applyFill="1" applyBorder="1" applyAlignment="1" applyProtection="1">
      <alignment horizontal="center" vertical="center" wrapText="1"/>
    </xf>
    <xf numFmtId="49" fontId="47" fillId="0" borderId="21" xfId="0" applyNumberFormat="1" applyFont="1" applyFill="1" applyBorder="1" applyAlignment="1" applyProtection="1">
      <alignment horizontal="center" vertical="center" wrapText="1"/>
      <protection locked="0"/>
    </xf>
    <xf numFmtId="0" fontId="47" fillId="5" borderId="12" xfId="0" applyNumberFormat="1" applyFont="1" applyFill="1" applyBorder="1" applyAlignment="1" applyProtection="1">
      <alignment horizontal="center" vertical="center" wrapText="1"/>
    </xf>
    <xf numFmtId="49" fontId="47" fillId="0" borderId="22" xfId="0" applyNumberFormat="1" applyFont="1" applyFill="1" applyBorder="1" applyAlignment="1" applyProtection="1">
      <alignment horizontal="center" vertical="center" wrapText="1"/>
      <protection locked="0"/>
    </xf>
    <xf numFmtId="0" fontId="47" fillId="5" borderId="0" xfId="0" applyFont="1" applyFill="1" applyBorder="1" applyAlignment="1" applyProtection="1">
      <alignment horizontal="center" vertical="center"/>
    </xf>
    <xf numFmtId="0" fontId="47" fillId="2" borderId="23" xfId="0" applyNumberFormat="1" applyFont="1" applyFill="1" applyBorder="1" applyAlignment="1" applyProtection="1">
      <alignment horizontal="center" vertical="center" wrapText="1"/>
      <protection locked="0"/>
    </xf>
    <xf numFmtId="0" fontId="47" fillId="5" borderId="34" xfId="0" applyNumberFormat="1" applyFont="1" applyFill="1" applyBorder="1" applyAlignment="1" applyProtection="1">
      <alignment horizontal="center" vertical="center" wrapText="1"/>
    </xf>
    <xf numFmtId="49" fontId="47" fillId="2" borderId="24" xfId="0" applyNumberFormat="1" applyFont="1" applyFill="1" applyBorder="1" applyAlignment="1" applyProtection="1">
      <alignment horizontal="center" vertical="center" wrapText="1"/>
      <protection locked="0"/>
    </xf>
    <xf numFmtId="0" fontId="47" fillId="5" borderId="64" xfId="0" applyNumberFormat="1" applyFont="1" applyFill="1" applyBorder="1" applyAlignment="1" applyProtection="1">
      <alignment horizontal="center" vertical="center" wrapText="1"/>
    </xf>
    <xf numFmtId="0" fontId="47" fillId="5" borderId="50" xfId="0" applyNumberFormat="1" applyFont="1" applyFill="1" applyBorder="1" applyAlignment="1" applyProtection="1">
      <alignment horizontal="center" vertical="center" wrapText="1"/>
    </xf>
    <xf numFmtId="0" fontId="40" fillId="5" borderId="35" xfId="0" applyFont="1" applyFill="1" applyBorder="1" applyAlignment="1" applyProtection="1">
      <alignment horizontal="center" vertical="center" wrapText="1"/>
    </xf>
    <xf numFmtId="49" fontId="47" fillId="0" borderId="25" xfId="0" applyNumberFormat="1" applyFont="1" applyFill="1" applyBorder="1" applyAlignment="1" applyProtection="1">
      <alignment horizontal="center" vertical="center" wrapText="1"/>
      <protection locked="0"/>
    </xf>
    <xf numFmtId="0" fontId="47" fillId="5" borderId="60" xfId="0" applyNumberFormat="1" applyFont="1" applyFill="1" applyBorder="1" applyAlignment="1" applyProtection="1">
      <alignment horizontal="center" vertical="center" wrapText="1"/>
    </xf>
    <xf numFmtId="49" fontId="47" fillId="0" borderId="26" xfId="0" applyNumberFormat="1" applyFont="1" applyFill="1" applyBorder="1" applyAlignment="1" applyProtection="1">
      <alignment horizontal="center" vertical="center" wrapText="1"/>
      <protection locked="0"/>
    </xf>
    <xf numFmtId="0" fontId="47" fillId="5" borderId="58" xfId="0" applyNumberFormat="1" applyFont="1" applyFill="1" applyBorder="1" applyAlignment="1" applyProtection="1">
      <alignment horizontal="center" vertical="center" wrapText="1"/>
    </xf>
    <xf numFmtId="0" fontId="40" fillId="5" borderId="64" xfId="0" applyFont="1" applyFill="1" applyBorder="1" applyAlignment="1" applyProtection="1">
      <alignment horizontal="center" vertical="center" wrapText="1"/>
    </xf>
    <xf numFmtId="0" fontId="47" fillId="2" borderId="26" xfId="0" applyNumberFormat="1" applyFont="1" applyFill="1" applyBorder="1" applyAlignment="1" applyProtection="1">
      <alignment horizontal="center" vertical="center" wrapText="1"/>
      <protection locked="0"/>
    </xf>
    <xf numFmtId="49" fontId="47" fillId="0" borderId="27" xfId="0" applyNumberFormat="1" applyFont="1" applyFill="1" applyBorder="1" applyAlignment="1" applyProtection="1">
      <alignment horizontal="center" vertical="center" wrapText="1"/>
      <protection locked="0"/>
    </xf>
    <xf numFmtId="0" fontId="47" fillId="5" borderId="35" xfId="0" applyNumberFormat="1" applyFont="1" applyFill="1" applyBorder="1" applyAlignment="1" applyProtection="1">
      <alignment horizontal="center" vertical="center" wrapText="1"/>
    </xf>
    <xf numFmtId="49" fontId="47" fillId="0" borderId="16"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5" borderId="2" xfId="0" applyNumberFormat="1" applyFont="1" applyFill="1" applyBorder="1" applyAlignment="1" applyProtection="1">
      <alignment horizontal="center" vertical="center" wrapText="1"/>
    </xf>
    <xf numFmtId="0" fontId="40" fillId="5" borderId="34" xfId="0" applyNumberFormat="1" applyFont="1" applyFill="1" applyBorder="1" applyAlignment="1" applyProtection="1">
      <alignment horizontal="center" vertical="center" wrapText="1"/>
    </xf>
    <xf numFmtId="0" fontId="40" fillId="5" borderId="64" xfId="0" applyNumberFormat="1" applyFont="1" applyFill="1" applyBorder="1" applyAlignment="1" applyProtection="1">
      <alignment horizontal="center" vertical="center" wrapText="1"/>
    </xf>
    <xf numFmtId="0" fontId="46" fillId="5" borderId="22" xfId="0" applyFont="1" applyFill="1" applyBorder="1" applyAlignment="1" applyProtection="1">
      <alignment vertical="center" textRotation="255" wrapText="1"/>
    </xf>
    <xf numFmtId="0" fontId="47" fillId="5" borderId="31" xfId="0" applyNumberFormat="1" applyFont="1" applyFill="1" applyBorder="1" applyAlignment="1" applyProtection="1">
      <alignment horizontal="center" vertical="center" wrapText="1"/>
    </xf>
    <xf numFmtId="0" fontId="70" fillId="5" borderId="26" xfId="0" applyFont="1" applyFill="1" applyBorder="1" applyAlignment="1" applyProtection="1">
      <alignment vertical="center" textRotation="255" wrapText="1"/>
    </xf>
    <xf numFmtId="0" fontId="40" fillId="0" borderId="19"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6" fillId="5" borderId="26" xfId="0" applyFont="1" applyFill="1" applyBorder="1" applyAlignment="1" applyProtection="1">
      <alignment vertical="center" textRotation="255" wrapText="1"/>
    </xf>
    <xf numFmtId="0" fontId="42" fillId="5" borderId="26" xfId="0" applyFont="1" applyFill="1" applyBorder="1" applyAlignment="1" applyProtection="1">
      <alignment vertical="center" textRotation="255" wrapText="1"/>
    </xf>
    <xf numFmtId="9" fontId="40" fillId="0" borderId="19" xfId="0" applyNumberFormat="1" applyFont="1" applyFill="1" applyBorder="1" applyAlignment="1" applyProtection="1">
      <alignment horizontal="center" vertical="center" wrapText="1"/>
      <protection locked="0"/>
    </xf>
    <xf numFmtId="9" fontId="40" fillId="0" borderId="3" xfId="0" applyNumberFormat="1" applyFont="1" applyFill="1" applyBorder="1" applyAlignment="1" applyProtection="1">
      <alignment horizontal="center" vertical="center" wrapText="1"/>
      <protection locked="0"/>
    </xf>
    <xf numFmtId="9" fontId="40" fillId="0" borderId="7"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6" fillId="5" borderId="42" xfId="0" applyFont="1" applyFill="1" applyBorder="1" applyAlignment="1" applyProtection="1">
      <alignment vertical="center" textRotation="255" wrapText="1"/>
    </xf>
    <xf numFmtId="49" fontId="46" fillId="5" borderId="46" xfId="0" applyNumberFormat="1" applyFont="1" applyFill="1" applyBorder="1" applyAlignment="1" applyProtection="1">
      <alignment vertical="center"/>
    </xf>
    <xf numFmtId="49" fontId="46" fillId="5" borderId="47" xfId="0" applyNumberFormat="1" applyFont="1" applyFill="1" applyBorder="1" applyAlignment="1" applyProtection="1">
      <alignment vertical="center"/>
    </xf>
    <xf numFmtId="0" fontId="46" fillId="5" borderId="38" xfId="0" applyFont="1" applyFill="1" applyBorder="1" applyAlignment="1" applyProtection="1">
      <alignment vertical="center" wrapText="1"/>
    </xf>
    <xf numFmtId="0" fontId="71" fillId="3" borderId="47" xfId="0" applyFont="1" applyFill="1" applyBorder="1" applyAlignment="1" applyProtection="1">
      <alignment vertical="center" wrapText="1"/>
      <protection locked="0"/>
    </xf>
    <xf numFmtId="0" fontId="71" fillId="5" borderId="47" xfId="0" applyFont="1" applyFill="1" applyBorder="1" applyAlignment="1" applyProtection="1">
      <alignment vertical="center" wrapText="1"/>
    </xf>
    <xf numFmtId="0" fontId="71" fillId="3" borderId="46" xfId="0" applyFont="1" applyFill="1" applyBorder="1" applyAlignment="1" applyProtection="1">
      <alignment vertical="center" wrapText="1"/>
      <protection locked="0"/>
    </xf>
    <xf numFmtId="0" fontId="71" fillId="5" borderId="38" xfId="0" applyFont="1" applyFill="1" applyBorder="1" applyAlignment="1" applyProtection="1">
      <alignment vertical="center" wrapText="1"/>
    </xf>
    <xf numFmtId="49" fontId="46" fillId="5" borderId="20" xfId="0" applyNumberFormat="1" applyFont="1" applyFill="1" applyBorder="1" applyAlignment="1" applyProtection="1">
      <alignment vertical="center"/>
    </xf>
    <xf numFmtId="49" fontId="46" fillId="5" borderId="48" xfId="0" applyNumberFormat="1" applyFont="1" applyFill="1" applyBorder="1" applyAlignment="1" applyProtection="1">
      <alignment vertical="center"/>
    </xf>
    <xf numFmtId="186" fontId="46" fillId="5" borderId="20" xfId="0" applyNumberFormat="1" applyFont="1" applyFill="1" applyBorder="1" applyAlignment="1" applyProtection="1">
      <alignment vertical="center" wrapText="1"/>
    </xf>
    <xf numFmtId="186" fontId="46" fillId="5" borderId="48" xfId="0" applyNumberFormat="1" applyFont="1" applyFill="1" applyBorder="1" applyAlignment="1" applyProtection="1">
      <alignment vertical="center" wrapText="1"/>
    </xf>
    <xf numFmtId="49" fontId="46" fillId="0" borderId="29" xfId="0" applyNumberFormat="1" applyFont="1" applyFill="1" applyBorder="1" applyAlignment="1" applyProtection="1">
      <alignment vertical="center"/>
      <protection locked="0"/>
    </xf>
    <xf numFmtId="49" fontId="46" fillId="0" borderId="30" xfId="0" applyNumberFormat="1" applyFont="1" applyFill="1" applyBorder="1" applyAlignment="1" applyProtection="1">
      <alignment vertical="center"/>
      <protection locked="0"/>
    </xf>
    <xf numFmtId="186" fontId="46" fillId="5" borderId="40" xfId="0" applyNumberFormat="1" applyFont="1" applyFill="1" applyBorder="1" applyAlignment="1" applyProtection="1">
      <alignment vertical="center" wrapText="1"/>
    </xf>
    <xf numFmtId="189" fontId="47" fillId="0" borderId="0" xfId="0" applyNumberFormat="1" applyFont="1" applyFill="1" applyAlignment="1" applyProtection="1">
      <alignment horizontal="center" vertical="center"/>
      <protection locked="0"/>
    </xf>
    <xf numFmtId="181" fontId="47" fillId="0" borderId="0" xfId="0" applyNumberFormat="1" applyFont="1" applyFill="1" applyAlignment="1" applyProtection="1">
      <alignment horizontal="center" vertical="center"/>
      <protection locked="0"/>
    </xf>
    <xf numFmtId="0" fontId="46" fillId="5" borderId="1" xfId="0" applyFont="1" applyFill="1" applyBorder="1" applyAlignment="1" applyProtection="1">
      <alignment horizontal="left" vertical="center"/>
    </xf>
    <xf numFmtId="0" fontId="46" fillId="5" borderId="1" xfId="0" applyFont="1" applyFill="1" applyBorder="1" applyAlignment="1" applyProtection="1">
      <alignment horizontal="center" vertical="center" wrapText="1"/>
    </xf>
    <xf numFmtId="181" fontId="47" fillId="5" borderId="2" xfId="0" applyNumberFormat="1" applyFont="1" applyFill="1" applyBorder="1" applyAlignment="1" applyProtection="1">
      <alignment horizontal="center" vertical="center"/>
    </xf>
    <xf numFmtId="181" fontId="47" fillId="5" borderId="3" xfId="0" applyNumberFormat="1" applyFont="1" applyFill="1" applyBorder="1" applyAlignment="1" applyProtection="1">
      <alignment vertical="center"/>
    </xf>
    <xf numFmtId="0" fontId="46" fillId="5" borderId="3" xfId="0"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47" fillId="0" borderId="0" xfId="0" applyFont="1" applyBorder="1" applyAlignment="1" applyProtection="1">
      <protection locked="0"/>
    </xf>
    <xf numFmtId="9" fontId="40" fillId="0" borderId="0" xfId="0" applyNumberFormat="1" applyFont="1" applyFill="1" applyBorder="1" applyAlignment="1" applyProtection="1">
      <alignment horizontal="center" vertical="center" wrapText="1"/>
      <protection locked="0"/>
    </xf>
    <xf numFmtId="0" fontId="42" fillId="5" borderId="5" xfId="0" applyNumberFormat="1" applyFont="1" applyFill="1" applyBorder="1" applyAlignment="1" applyProtection="1">
      <alignment vertical="center" wrapText="1"/>
    </xf>
    <xf numFmtId="0" fontId="42" fillId="5" borderId="21" xfId="0" applyNumberFormat="1" applyFont="1" applyFill="1" applyBorder="1" applyAlignment="1" applyProtection="1">
      <alignment vertical="center" wrapText="1"/>
    </xf>
    <xf numFmtId="49" fontId="40" fillId="0" borderId="0" xfId="0" applyNumberFormat="1" applyFont="1" applyFill="1" applyBorder="1" applyAlignment="1" applyProtection="1">
      <alignment horizontal="center" vertical="center"/>
      <protection locked="0"/>
    </xf>
    <xf numFmtId="49" fontId="40" fillId="0" borderId="0" xfId="0" applyNumberFormat="1" applyFont="1" applyFill="1" applyAlignment="1" applyProtection="1">
      <alignment horizontal="center" vertical="center"/>
      <protection locked="0"/>
    </xf>
    <xf numFmtId="0" fontId="42" fillId="5" borderId="39" xfId="0" applyNumberFormat="1" applyFont="1" applyFill="1" applyBorder="1" applyAlignment="1" applyProtection="1">
      <alignment vertical="center" wrapText="1"/>
    </xf>
    <xf numFmtId="0" fontId="42" fillId="5" borderId="25" xfId="0" applyNumberFormat="1" applyFont="1" applyFill="1" applyBorder="1" applyAlignment="1" applyProtection="1">
      <alignment vertical="center" wrapText="1"/>
    </xf>
    <xf numFmtId="0" fontId="40" fillId="0" borderId="18" xfId="0" applyNumberFormat="1" applyFont="1" applyFill="1" applyBorder="1" applyAlignment="1" applyProtection="1">
      <alignment horizontal="center" vertical="center" wrapText="1"/>
      <protection locked="0"/>
    </xf>
    <xf numFmtId="0" fontId="40" fillId="0" borderId="35" xfId="0" applyNumberFormat="1" applyFont="1" applyFill="1" applyBorder="1" applyAlignment="1" applyProtection="1">
      <alignment horizontal="center" vertical="center" wrapText="1"/>
      <protection locked="0"/>
    </xf>
    <xf numFmtId="0" fontId="40" fillId="0" borderId="58" xfId="0" applyNumberFormat="1" applyFont="1" applyFill="1" applyBorder="1" applyAlignment="1" applyProtection="1">
      <alignment horizontal="center" vertical="center" wrapText="1"/>
      <protection locked="0"/>
    </xf>
    <xf numFmtId="0" fontId="42" fillId="5" borderId="29" xfId="0" applyNumberFormat="1" applyFont="1" applyFill="1" applyBorder="1" applyAlignment="1" applyProtection="1">
      <alignment vertical="center"/>
    </xf>
    <xf numFmtId="0" fontId="42" fillId="5" borderId="70" xfId="0" applyNumberFormat="1" applyFont="1" applyFill="1" applyBorder="1" applyAlignment="1" applyProtection="1">
      <alignment vertical="center" wrapText="1"/>
    </xf>
    <xf numFmtId="0" fontId="40" fillId="0" borderId="70" xfId="0" applyNumberFormat="1" applyFont="1" applyFill="1" applyBorder="1" applyAlignment="1" applyProtection="1">
      <alignment horizontal="center" vertical="center" wrapText="1"/>
      <protection locked="0"/>
    </xf>
    <xf numFmtId="0" fontId="40" fillId="0" borderId="71" xfId="0" applyNumberFormat="1" applyFont="1" applyFill="1" applyBorder="1" applyAlignment="1" applyProtection="1">
      <alignment horizontal="center" vertical="center" wrapText="1"/>
      <protection locked="0"/>
    </xf>
    <xf numFmtId="0" fontId="40" fillId="0" borderId="72" xfId="0" applyNumberFormat="1" applyFont="1" applyFill="1" applyBorder="1" applyAlignment="1" applyProtection="1">
      <alignment horizontal="center" vertical="center" wrapText="1"/>
      <protection locked="0"/>
    </xf>
    <xf numFmtId="0" fontId="40" fillId="0" borderId="73" xfId="0" applyNumberFormat="1" applyFont="1" applyFill="1" applyBorder="1" applyAlignment="1" applyProtection="1">
      <alignment horizontal="center" vertical="center" wrapText="1"/>
      <protection locked="0"/>
    </xf>
    <xf numFmtId="0" fontId="42" fillId="5" borderId="60" xfId="0" applyNumberFormat="1" applyFont="1" applyFill="1" applyBorder="1" applyAlignment="1" applyProtection="1">
      <alignment vertical="center" wrapText="1"/>
    </xf>
    <xf numFmtId="0" fontId="40" fillId="5" borderId="24" xfId="0" applyNumberFormat="1" applyFont="1" applyFill="1" applyBorder="1" applyAlignment="1" applyProtection="1">
      <alignment horizontal="center" vertical="center" wrapText="1"/>
    </xf>
    <xf numFmtId="0" fontId="40" fillId="0" borderId="17" xfId="0" applyNumberFormat="1" applyFont="1" applyFill="1" applyBorder="1" applyAlignment="1" applyProtection="1">
      <alignment horizontal="center" vertical="center" wrapText="1"/>
      <protection locked="0"/>
    </xf>
    <xf numFmtId="0" fontId="40" fillId="0" borderId="17" xfId="0" applyNumberFormat="1" applyFont="1" applyFill="1" applyBorder="1" applyAlignment="1" applyProtection="1">
      <alignment horizontal="left" vertical="center" wrapText="1"/>
      <protection locked="0"/>
    </xf>
    <xf numFmtId="0" fontId="40" fillId="0" borderId="34" xfId="0" applyNumberFormat="1" applyFont="1" applyFill="1" applyBorder="1" applyAlignment="1" applyProtection="1">
      <alignment horizontal="center" vertical="center" wrapText="1"/>
      <protection locked="0"/>
    </xf>
    <xf numFmtId="0" fontId="99" fillId="0" borderId="0" xfId="0" applyFont="1" applyFill="1" applyBorder="1" applyAlignment="1" applyProtection="1">
      <alignment vertical="center"/>
      <protection locked="0"/>
    </xf>
    <xf numFmtId="0" fontId="46" fillId="5" borderId="22" xfId="0" applyNumberFormat="1" applyFont="1" applyFill="1" applyBorder="1" applyAlignment="1" applyProtection="1">
      <alignment vertical="center" wrapText="1"/>
    </xf>
    <xf numFmtId="0" fontId="40" fillId="5" borderId="57" xfId="0" applyNumberFormat="1" applyFont="1" applyFill="1" applyBorder="1" applyAlignment="1" applyProtection="1">
      <alignment horizontal="center" vertical="center" wrapText="1"/>
    </xf>
    <xf numFmtId="0" fontId="47" fillId="5" borderId="11"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left" vertical="center" wrapText="1"/>
      <protection locked="0"/>
    </xf>
    <xf numFmtId="0" fontId="69" fillId="0" borderId="31" xfId="0" applyNumberFormat="1" applyFont="1" applyFill="1" applyBorder="1" applyAlignment="1" applyProtection="1">
      <alignment horizontal="center" vertical="center" wrapText="1"/>
      <protection locked="0"/>
    </xf>
    <xf numFmtId="0" fontId="69" fillId="0" borderId="0"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vertical="center" wrapText="1"/>
    </xf>
    <xf numFmtId="0" fontId="45" fillId="5" borderId="74" xfId="0" applyNumberFormat="1" applyFont="1" applyFill="1" applyBorder="1" applyAlignment="1" applyProtection="1">
      <alignment horizontal="center" vertical="center" wrapText="1"/>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7" fillId="0" borderId="0" xfId="0" applyNumberFormat="1" applyFont="1" applyFill="1" applyBorder="1" applyAlignment="1" applyProtection="1">
      <alignment horizontal="center" vertical="center" wrapText="1"/>
      <protection locked="0"/>
    </xf>
    <xf numFmtId="0" fontId="40" fillId="5" borderId="54" xfId="0" applyNumberFormat="1" applyFont="1" applyFill="1" applyBorder="1" applyAlignment="1" applyProtection="1">
      <alignment horizontal="center" vertical="center" wrapText="1"/>
    </xf>
    <xf numFmtId="0" fontId="47" fillId="5" borderId="32" xfId="0" applyNumberFormat="1" applyFont="1" applyFill="1" applyBorder="1" applyAlignment="1" applyProtection="1">
      <alignment horizontal="center" vertical="center" wrapText="1"/>
    </xf>
    <xf numFmtId="0" fontId="69" fillId="5" borderId="32" xfId="0" applyNumberFormat="1" applyFont="1" applyFill="1" applyBorder="1" applyAlignment="1" applyProtection="1">
      <alignment horizontal="center" vertical="center" wrapText="1"/>
    </xf>
    <xf numFmtId="0" fontId="69" fillId="5" borderId="32" xfId="0" applyNumberFormat="1" applyFont="1" applyFill="1" applyBorder="1" applyAlignment="1" applyProtection="1">
      <alignment horizontal="left" vertical="center" wrapText="1"/>
    </xf>
    <xf numFmtId="0" fontId="69" fillId="5" borderId="33" xfId="0" applyNumberFormat="1" applyFont="1" applyFill="1" applyBorder="1" applyAlignment="1" applyProtection="1">
      <alignment horizontal="center" vertical="center" wrapText="1"/>
    </xf>
    <xf numFmtId="0" fontId="40" fillId="5" borderId="74" xfId="0" applyNumberFormat="1" applyFont="1" applyFill="1" applyBorder="1" applyAlignment="1" applyProtection="1">
      <alignment horizontal="center" vertical="center" wrapText="1"/>
    </xf>
    <xf numFmtId="0" fontId="47" fillId="5" borderId="75" xfId="0" applyNumberFormat="1" applyFont="1" applyFill="1" applyBorder="1" applyAlignment="1" applyProtection="1">
      <alignment horizontal="center" vertical="center" wrapText="1"/>
    </xf>
    <xf numFmtId="0" fontId="47" fillId="5" borderId="76" xfId="0" applyNumberFormat="1" applyFont="1" applyFill="1" applyBorder="1" applyAlignment="1" applyProtection="1">
      <alignment horizontal="center" vertical="center" wrapText="1"/>
    </xf>
    <xf numFmtId="0" fontId="40" fillId="5" borderId="49" xfId="0" applyNumberFormat="1" applyFont="1" applyFill="1" applyBorder="1" applyAlignment="1" applyProtection="1">
      <alignment horizontal="center" vertical="center" wrapText="1"/>
    </xf>
    <xf numFmtId="0" fontId="47" fillId="5" borderId="17" xfId="0" applyNumberFormat="1" applyFont="1" applyFill="1" applyBorder="1" applyAlignment="1" applyProtection="1">
      <alignment horizontal="center" vertical="center" wrapText="1"/>
    </xf>
    <xf numFmtId="0" fontId="45" fillId="5" borderId="49" xfId="0" applyNumberFormat="1" applyFont="1" applyFill="1" applyBorder="1" applyAlignment="1" applyProtection="1">
      <alignment horizontal="center" vertical="center" wrapText="1"/>
    </xf>
    <xf numFmtId="0" fontId="47"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6" xfId="0" applyNumberFormat="1" applyFont="1" applyFill="1" applyBorder="1" applyAlignment="1" applyProtection="1">
      <alignment horizontal="center" vertical="center" wrapText="1"/>
      <protection locked="0"/>
    </xf>
    <xf numFmtId="0" fontId="70" fillId="5" borderId="26" xfId="0" applyNumberFormat="1" applyFont="1" applyFill="1" applyBorder="1" applyAlignment="1" applyProtection="1">
      <alignment vertical="center" wrapText="1"/>
    </xf>
    <xf numFmtId="0" fontId="40" fillId="0" borderId="32" xfId="0" applyNumberFormat="1" applyFont="1" applyFill="1" applyBorder="1" applyAlignment="1" applyProtection="1">
      <alignment horizontal="center" vertical="center" wrapText="1"/>
      <protection locked="0"/>
    </xf>
    <xf numFmtId="0" fontId="45" fillId="0" borderId="32" xfId="0" applyNumberFormat="1" applyFont="1" applyFill="1" applyBorder="1" applyAlignment="1" applyProtection="1">
      <alignment horizontal="center" vertical="center" wrapText="1"/>
      <protection locked="0"/>
    </xf>
    <xf numFmtId="0" fontId="45" fillId="0" borderId="32" xfId="0" applyNumberFormat="1" applyFont="1" applyFill="1" applyBorder="1" applyAlignment="1" applyProtection="1">
      <alignment horizontal="left" vertical="center" wrapText="1"/>
      <protection locked="0"/>
    </xf>
    <xf numFmtId="0" fontId="45" fillId="0" borderId="33" xfId="0" applyNumberFormat="1" applyFont="1" applyFill="1" applyBorder="1" applyAlignment="1" applyProtection="1">
      <alignment horizontal="center" vertical="center" wrapText="1"/>
      <protection locked="0"/>
    </xf>
    <xf numFmtId="0" fontId="45" fillId="0" borderId="0"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protection locked="0"/>
    </xf>
    <xf numFmtId="9" fontId="45" fillId="0" borderId="0" xfId="0" applyNumberFormat="1" applyFont="1" applyFill="1" applyBorder="1" applyAlignment="1" applyProtection="1">
      <alignment horizontal="center" vertical="center" wrapText="1"/>
      <protection locked="0"/>
    </xf>
    <xf numFmtId="0" fontId="40" fillId="0" borderId="75" xfId="0" applyNumberFormat="1" applyFont="1" applyFill="1" applyBorder="1" applyAlignment="1" applyProtection="1">
      <alignment horizontal="center" vertical="center" wrapText="1"/>
      <protection locked="0"/>
    </xf>
    <xf numFmtId="9" fontId="45" fillId="0" borderId="0" xfId="0" applyNumberFormat="1" applyFont="1" applyFill="1" applyBorder="1" applyAlignment="1" applyProtection="1">
      <alignment horizontal="center" vertical="center"/>
      <protection locked="0"/>
    </xf>
    <xf numFmtId="0" fontId="45" fillId="0" borderId="75" xfId="0" applyNumberFormat="1" applyFont="1" applyFill="1" applyBorder="1" applyAlignment="1" applyProtection="1">
      <alignment horizontal="center" vertical="center" wrapText="1"/>
      <protection locked="0"/>
    </xf>
    <xf numFmtId="0" fontId="45" fillId="0" borderId="76" xfId="0" applyNumberFormat="1" applyFont="1" applyFill="1" applyBorder="1" applyAlignment="1" applyProtection="1">
      <alignment horizontal="center" vertical="center" wrapText="1"/>
      <protection locked="0"/>
    </xf>
    <xf numFmtId="0" fontId="45" fillId="0" borderId="17" xfId="0" applyNumberFormat="1" applyFont="1" applyFill="1" applyBorder="1" applyAlignment="1" applyProtection="1">
      <alignment horizontal="center" vertical="center" wrapText="1"/>
      <protection locked="0"/>
    </xf>
    <xf numFmtId="0" fontId="45" fillId="0" borderId="17" xfId="0" applyNumberFormat="1" applyFont="1" applyFill="1" applyBorder="1" applyAlignment="1" applyProtection="1">
      <alignment horizontal="left" vertical="center" wrapText="1"/>
      <protection locked="0"/>
    </xf>
    <xf numFmtId="0" fontId="45" fillId="0" borderId="34"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vertical="center" wrapText="1"/>
      <protection locked="0"/>
    </xf>
    <xf numFmtId="0" fontId="70" fillId="5" borderId="42" xfId="0" applyNumberFormat="1" applyFont="1" applyFill="1" applyBorder="1" applyAlignment="1" applyProtection="1">
      <alignment vertical="center" wrapText="1"/>
    </xf>
    <xf numFmtId="0" fontId="40" fillId="5" borderId="71" xfId="0" applyNumberFormat="1" applyFont="1" applyFill="1" applyBorder="1" applyAlignment="1" applyProtection="1">
      <alignment horizontal="center" vertical="center" wrapText="1"/>
    </xf>
    <xf numFmtId="0" fontId="40" fillId="0" borderId="61" xfId="0" applyNumberFormat="1" applyFont="1" applyFill="1" applyBorder="1" applyAlignment="1" applyProtection="1">
      <alignment horizontal="center" vertical="center" wrapText="1"/>
      <protection locked="0"/>
    </xf>
    <xf numFmtId="0" fontId="45" fillId="0" borderId="61" xfId="0" applyNumberFormat="1" applyFont="1" applyFill="1" applyBorder="1" applyAlignment="1" applyProtection="1">
      <alignment horizontal="center" vertical="center" wrapText="1"/>
      <protection locked="0"/>
    </xf>
    <xf numFmtId="0" fontId="45" fillId="0" borderId="43" xfId="0" applyNumberFormat="1" applyFont="1" applyFill="1" applyBorder="1" applyAlignment="1" applyProtection="1">
      <alignment horizontal="center" vertical="center" wrapText="1"/>
      <protection locked="0"/>
    </xf>
    <xf numFmtId="0" fontId="40" fillId="5" borderId="11" xfId="0" applyNumberFormat="1" applyFont="1" applyFill="1" applyBorder="1" applyAlignment="1" applyProtection="1">
      <alignment horizontal="center" vertical="center" wrapText="1"/>
    </xf>
    <xf numFmtId="0" fontId="69" fillId="5" borderId="11" xfId="0" applyNumberFormat="1" applyFont="1" applyFill="1" applyBorder="1" applyAlignment="1" applyProtection="1">
      <alignment horizontal="center" vertical="center" wrapText="1"/>
    </xf>
    <xf numFmtId="0" fontId="69" fillId="5" borderId="11" xfId="0" applyNumberFormat="1" applyFont="1" applyFill="1" applyBorder="1" applyAlignment="1" applyProtection="1">
      <alignment horizontal="left" vertical="center" wrapText="1"/>
    </xf>
    <xf numFmtId="0" fontId="69" fillId="5" borderId="31" xfId="0" applyNumberFormat="1" applyFont="1" applyFill="1" applyBorder="1" applyAlignment="1" applyProtection="1">
      <alignment horizontal="center" vertical="center" wrapText="1"/>
    </xf>
    <xf numFmtId="0" fontId="40" fillId="0" borderId="0" xfId="0" applyFont="1" applyFill="1" applyBorder="1" applyAlignment="1" applyProtection="1">
      <alignment vertical="center" wrapText="1"/>
      <protection locked="0"/>
    </xf>
    <xf numFmtId="0" fontId="40" fillId="5" borderId="32" xfId="0" applyNumberFormat="1" applyFont="1" applyFill="1" applyBorder="1" applyAlignment="1" applyProtection="1">
      <alignment horizontal="center" vertical="center" wrapText="1"/>
    </xf>
    <xf numFmtId="0" fontId="42" fillId="5" borderId="26" xfId="0" applyNumberFormat="1" applyFont="1" applyFill="1" applyBorder="1" applyAlignment="1" applyProtection="1">
      <alignment vertical="center" wrapText="1"/>
    </xf>
    <xf numFmtId="0" fontId="40" fillId="0" borderId="32" xfId="0" applyNumberFormat="1" applyFont="1" applyFill="1" applyBorder="1" applyAlignment="1" applyProtection="1">
      <alignment horizontal="left" vertical="center" wrapText="1"/>
      <protection locked="0"/>
    </xf>
    <xf numFmtId="0" fontId="40" fillId="0" borderId="33" xfId="0" applyNumberFormat="1" applyFont="1" applyFill="1" applyBorder="1" applyAlignment="1" applyProtection="1">
      <alignment horizontal="center" vertical="center" wrapText="1"/>
      <protection locked="0"/>
    </xf>
    <xf numFmtId="0" fontId="40" fillId="5" borderId="75"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69" fillId="0" borderId="32" xfId="0" applyNumberFormat="1" applyFont="1" applyFill="1" applyBorder="1" applyAlignment="1" applyProtection="1">
      <alignment horizontal="center" vertical="center" wrapText="1"/>
      <protection locked="0"/>
    </xf>
    <xf numFmtId="0" fontId="69" fillId="0" borderId="32" xfId="0" applyNumberFormat="1" applyFont="1" applyFill="1" applyBorder="1" applyAlignment="1" applyProtection="1">
      <alignment horizontal="left" vertical="center" wrapText="1"/>
      <protection locked="0"/>
    </xf>
    <xf numFmtId="0" fontId="69" fillId="0" borderId="33" xfId="0" applyNumberFormat="1" applyFont="1" applyFill="1" applyBorder="1" applyAlignment="1" applyProtection="1">
      <alignment horizontal="center" vertical="center" wrapText="1"/>
      <protection locked="0"/>
    </xf>
    <xf numFmtId="0" fontId="47" fillId="0" borderId="17" xfId="0" applyNumberFormat="1" applyFont="1" applyFill="1" applyBorder="1" applyAlignment="1" applyProtection="1">
      <alignment horizontal="center" vertical="center" wrapText="1"/>
      <protection locked="0"/>
    </xf>
    <xf numFmtId="0" fontId="69" fillId="0" borderId="17" xfId="0" applyNumberFormat="1" applyFont="1" applyFill="1" applyBorder="1" applyAlignment="1" applyProtection="1">
      <alignment horizontal="center" vertical="center" wrapText="1"/>
      <protection locked="0"/>
    </xf>
    <xf numFmtId="0" fontId="69" fillId="0" borderId="17" xfId="0" applyNumberFormat="1" applyFont="1" applyFill="1" applyBorder="1" applyAlignment="1" applyProtection="1">
      <alignment horizontal="left" vertical="center" wrapText="1"/>
      <protection locked="0"/>
    </xf>
    <xf numFmtId="0" fontId="69" fillId="0" borderId="34"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7" fillId="0" borderId="43" xfId="0" applyNumberFormat="1" applyFont="1" applyFill="1" applyBorder="1" applyAlignment="1" applyProtection="1">
      <alignment horizontal="center" vertical="center" wrapText="1"/>
      <protection locked="0"/>
    </xf>
    <xf numFmtId="0" fontId="70" fillId="5" borderId="26" xfId="0" applyNumberFormat="1" applyFont="1" applyFill="1" applyBorder="1" applyAlignment="1" applyProtection="1">
      <alignment vertical="center" textRotation="255" wrapText="1"/>
    </xf>
    <xf numFmtId="0" fontId="40" fillId="5" borderId="60" xfId="0" applyNumberFormat="1" applyFont="1" applyFill="1" applyBorder="1" applyAlignment="1" applyProtection="1">
      <alignment horizontal="center" vertical="center"/>
    </xf>
    <xf numFmtId="0" fontId="40" fillId="0" borderId="1" xfId="0" applyNumberFormat="1" applyFont="1" applyFill="1" applyBorder="1" applyAlignment="1" applyProtection="1">
      <alignment horizontal="center" vertical="center" wrapText="1"/>
      <protection locked="0"/>
    </xf>
    <xf numFmtId="0" fontId="45" fillId="0" borderId="1" xfId="0" applyNumberFormat="1" applyFont="1" applyFill="1" applyBorder="1" applyAlignment="1" applyProtection="1">
      <alignment horizontal="center" vertical="center" wrapText="1"/>
      <protection locked="0"/>
    </xf>
    <xf numFmtId="0" fontId="45" fillId="0" borderId="1" xfId="0" applyNumberFormat="1" applyFont="1" applyFill="1" applyBorder="1" applyAlignment="1" applyProtection="1">
      <alignment horizontal="left" vertical="center" wrapText="1"/>
      <protection locked="0"/>
    </xf>
    <xf numFmtId="0" fontId="45" fillId="0" borderId="6"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vertical="center" textRotation="255" wrapText="1"/>
    </xf>
    <xf numFmtId="0" fontId="45" fillId="5" borderId="32" xfId="0" applyNumberFormat="1" applyFont="1" applyFill="1" applyBorder="1" applyAlignment="1" applyProtection="1">
      <alignment horizontal="center" vertical="center" wrapText="1"/>
    </xf>
    <xf numFmtId="0" fontId="45" fillId="5" borderId="32" xfId="0" applyNumberFormat="1" applyFont="1" applyFill="1" applyBorder="1" applyAlignment="1" applyProtection="1">
      <alignment horizontal="left" vertical="center" wrapText="1"/>
    </xf>
    <xf numFmtId="0" fontId="45" fillId="5" borderId="33" xfId="0" applyNumberFormat="1" applyFont="1" applyFill="1" applyBorder="1" applyAlignment="1" applyProtection="1">
      <alignment horizontal="center" vertical="center" wrapText="1"/>
    </xf>
    <xf numFmtId="0" fontId="40" fillId="5" borderId="1" xfId="0" applyNumberFormat="1" applyFont="1" applyFill="1" applyBorder="1" applyAlignment="1" applyProtection="1">
      <alignment horizontal="center" vertical="center" wrapText="1"/>
    </xf>
    <xf numFmtId="0" fontId="45" fillId="5" borderId="1" xfId="0" applyNumberFormat="1" applyFont="1" applyFill="1" applyBorder="1" applyAlignment="1" applyProtection="1">
      <alignment horizontal="left" vertical="center" wrapText="1"/>
    </xf>
    <xf numFmtId="0" fontId="45" fillId="5" borderId="75" xfId="0" applyNumberFormat="1" applyFont="1" applyFill="1" applyBorder="1" applyAlignment="1" applyProtection="1">
      <alignment horizontal="center" vertical="center" wrapText="1"/>
    </xf>
    <xf numFmtId="0" fontId="45" fillId="5" borderId="76" xfId="0" applyNumberFormat="1" applyFont="1" applyFill="1" applyBorder="1" applyAlignment="1" applyProtection="1">
      <alignment horizontal="center" vertical="center" wrapText="1"/>
    </xf>
    <xf numFmtId="186" fontId="53" fillId="5" borderId="18" xfId="0" applyNumberFormat="1" applyFont="1" applyFill="1" applyBorder="1" applyAlignment="1" applyProtection="1">
      <alignment horizontal="right" vertical="center"/>
    </xf>
    <xf numFmtId="189" fontId="40" fillId="5" borderId="3" xfId="0" applyNumberFormat="1" applyFont="1" applyFill="1" applyBorder="1" applyAlignment="1" applyProtection="1">
      <alignment horizontal="center" vertical="center" wrapText="1"/>
    </xf>
    <xf numFmtId="0" fontId="40" fillId="5" borderId="3" xfId="0" applyNumberFormat="1" applyFont="1" applyFill="1" applyBorder="1" applyAlignment="1" applyProtection="1">
      <alignment horizontal="center" vertical="center" wrapText="1"/>
    </xf>
    <xf numFmtId="0" fontId="54" fillId="0" borderId="3" xfId="0" applyNumberFormat="1" applyFont="1" applyFill="1" applyBorder="1" applyAlignment="1" applyProtection="1">
      <alignment horizontal="center" vertical="center" wrapText="1"/>
      <protection locked="0"/>
    </xf>
    <xf numFmtId="0" fontId="54" fillId="5" borderId="3" xfId="0" applyNumberFormat="1" applyFont="1" applyFill="1" applyBorder="1" applyAlignment="1" applyProtection="1">
      <alignment horizontal="center" vertical="center" wrapText="1"/>
    </xf>
    <xf numFmtId="0" fontId="54" fillId="0" borderId="16" xfId="0" applyNumberFormat="1" applyFont="1" applyFill="1" applyBorder="1" applyAlignment="1" applyProtection="1">
      <alignment horizontal="center" vertical="center" wrapText="1"/>
      <protection locked="0"/>
    </xf>
    <xf numFmtId="0" fontId="54" fillId="5" borderId="23" xfId="0" applyNumberFormat="1" applyFont="1" applyFill="1" applyBorder="1" applyAlignment="1" applyProtection="1">
      <alignment horizontal="center" vertical="center" wrapText="1"/>
    </xf>
    <xf numFmtId="0" fontId="47" fillId="2" borderId="19" xfId="0" applyNumberFormat="1" applyFont="1" applyFill="1" applyBorder="1" applyAlignment="1" applyProtection="1">
      <alignment horizontal="center" vertical="center" wrapText="1"/>
      <protection locked="0"/>
    </xf>
    <xf numFmtId="189" fontId="47" fillId="3" borderId="3" xfId="0" applyNumberFormat="1" applyFont="1" applyFill="1" applyBorder="1" applyAlignment="1" applyProtection="1">
      <alignment horizontal="center" vertical="center"/>
      <protection locked="0"/>
    </xf>
    <xf numFmtId="189" fontId="47" fillId="3" borderId="1" xfId="0" applyNumberFormat="1" applyFont="1" applyFill="1" applyBorder="1" applyAlignment="1" applyProtection="1">
      <alignment horizontal="center" vertical="center" wrapText="1"/>
      <protection locked="0"/>
    </xf>
    <xf numFmtId="0" fontId="40" fillId="5" borderId="33" xfId="0" applyNumberFormat="1"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69" fillId="0" borderId="49" xfId="0" applyNumberFormat="1" applyFont="1" applyFill="1" applyBorder="1" applyAlignment="1" applyProtection="1">
      <alignment horizontal="center" vertical="center" wrapText="1"/>
      <protection locked="0"/>
    </xf>
    <xf numFmtId="0" fontId="69" fillId="0" borderId="49" xfId="0" applyNumberFormat="1" applyFont="1" applyFill="1" applyBorder="1" applyAlignment="1" applyProtection="1">
      <alignment horizontal="left" vertical="center" wrapText="1"/>
      <protection locked="0"/>
    </xf>
    <xf numFmtId="0" fontId="69" fillId="0" borderId="50" xfId="0" applyNumberFormat="1" applyFont="1" applyFill="1" applyBorder="1" applyAlignment="1" applyProtection="1">
      <alignment horizontal="center" vertical="center" wrapText="1"/>
      <protection locked="0"/>
    </xf>
    <xf numFmtId="0" fontId="40" fillId="0" borderId="42" xfId="0" applyNumberFormat="1" applyFont="1" applyFill="1" applyBorder="1" applyAlignment="1" applyProtection="1">
      <alignment horizontal="center" vertical="center" wrapText="1"/>
      <protection locked="0"/>
    </xf>
    <xf numFmtId="0" fontId="40" fillId="5" borderId="59" xfId="0" applyFont="1" applyFill="1" applyBorder="1" applyAlignment="1" applyProtection="1">
      <alignment horizontal="center" vertical="center" wrapText="1"/>
    </xf>
    <xf numFmtId="0" fontId="47" fillId="5" borderId="53" xfId="0" applyFont="1" applyFill="1" applyBorder="1" applyAlignment="1" applyProtection="1">
      <alignment horizontal="center" vertical="center"/>
    </xf>
    <xf numFmtId="0" fontId="40" fillId="5" borderId="58" xfId="0" applyFont="1" applyFill="1" applyBorder="1" applyAlignment="1" applyProtection="1">
      <alignment horizontal="center" vertical="center" wrapText="1"/>
    </xf>
    <xf numFmtId="0" fontId="40" fillId="5" borderId="34" xfId="0" applyFont="1" applyFill="1" applyBorder="1" applyAlignment="1" applyProtection="1">
      <alignment horizontal="center" vertical="center" wrapText="1"/>
    </xf>
    <xf numFmtId="0" fontId="40" fillId="5" borderId="50" xfId="0" applyFont="1" applyFill="1" applyBorder="1" applyAlignment="1" applyProtection="1">
      <alignment horizontal="center" vertical="center" wrapText="1"/>
    </xf>
    <xf numFmtId="0" fontId="47" fillId="2" borderId="51" xfId="0" applyNumberFormat="1" applyFont="1" applyFill="1" applyBorder="1" applyAlignment="1" applyProtection="1">
      <alignment horizontal="center" vertical="center" wrapText="1"/>
      <protection locked="0"/>
    </xf>
    <xf numFmtId="0" fontId="40" fillId="0" borderId="43" xfId="0" applyFont="1" applyFill="1" applyBorder="1" applyAlignment="1" applyProtection="1">
      <alignment horizontal="center" vertical="center" wrapText="1"/>
      <protection locked="0"/>
    </xf>
    <xf numFmtId="0" fontId="47" fillId="5" borderId="54" xfId="0" applyNumberFormat="1"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protection locked="0"/>
    </xf>
    <xf numFmtId="9" fontId="47" fillId="0" borderId="0" xfId="0" applyNumberFormat="1" applyFont="1" applyFill="1" applyBorder="1" applyAlignment="1" applyProtection="1">
      <alignment horizontal="center" vertical="center" wrapText="1"/>
      <protection locked="0"/>
    </xf>
    <xf numFmtId="0" fontId="40" fillId="5" borderId="27" xfId="0" applyNumberFormat="1" applyFont="1" applyFill="1" applyBorder="1" applyAlignment="1" applyProtection="1">
      <alignment horizontal="center" vertical="center" wrapText="1"/>
    </xf>
    <xf numFmtId="0" fontId="40" fillId="5" borderId="47" xfId="0" applyFont="1" applyFill="1" applyBorder="1" applyAlignment="1" applyProtection="1">
      <alignment horizontal="center" vertical="center" wrapText="1"/>
    </xf>
    <xf numFmtId="0" fontId="67" fillId="5" borderId="77" xfId="0" applyFont="1" applyFill="1" applyBorder="1" applyAlignment="1" applyProtection="1">
      <alignment vertical="center" wrapText="1"/>
    </xf>
    <xf numFmtId="0" fontId="40" fillId="5" borderId="51" xfId="0" applyFont="1" applyFill="1" applyBorder="1" applyAlignment="1" applyProtection="1">
      <alignment horizontal="center" vertical="center" wrapText="1"/>
    </xf>
    <xf numFmtId="0" fontId="46" fillId="5" borderId="77" xfId="0" applyFont="1" applyFill="1" applyBorder="1" applyAlignment="1" applyProtection="1">
      <alignment vertical="center" wrapText="1"/>
    </xf>
    <xf numFmtId="0" fontId="40" fillId="0" borderId="36" xfId="0" applyFont="1" applyFill="1" applyBorder="1" applyAlignment="1" applyProtection="1">
      <alignment horizontal="center" vertical="center" wrapText="1"/>
      <protection locked="0"/>
    </xf>
    <xf numFmtId="0" fontId="42" fillId="5" borderId="77" xfId="0" applyFont="1" applyFill="1" applyBorder="1" applyAlignment="1" applyProtection="1">
      <alignment vertical="center" wrapText="1"/>
    </xf>
    <xf numFmtId="0" fontId="46" fillId="5" borderId="78" xfId="0" applyFont="1" applyFill="1" applyBorder="1" applyAlignment="1" applyProtection="1">
      <alignment vertical="center" wrapText="1"/>
    </xf>
    <xf numFmtId="0" fontId="47" fillId="5" borderId="50" xfId="0" applyFont="1" applyFill="1" applyBorder="1" applyAlignment="1" applyProtection="1">
      <alignment horizontal="center" vertical="center"/>
    </xf>
    <xf numFmtId="0" fontId="40" fillId="0" borderId="58" xfId="0" applyFont="1" applyFill="1" applyBorder="1" applyAlignment="1" applyProtection="1">
      <alignment horizontal="center" vertical="center" wrapText="1"/>
      <protection locked="0"/>
    </xf>
    <xf numFmtId="0" fontId="42" fillId="5" borderId="39" xfId="0" applyFont="1" applyFill="1" applyBorder="1" applyAlignment="1" applyProtection="1">
      <alignment vertical="center" wrapText="1"/>
    </xf>
    <xf numFmtId="0" fontId="40" fillId="5" borderId="73" xfId="0" applyNumberFormat="1" applyFont="1" applyFill="1" applyBorder="1" applyAlignment="1" applyProtection="1">
      <alignment horizontal="center" vertical="center" wrapText="1"/>
    </xf>
    <xf numFmtId="0" fontId="46" fillId="5" borderId="5" xfId="0" applyFont="1" applyFill="1" applyBorder="1" applyAlignment="1" applyProtection="1">
      <alignment vertical="center" textRotation="255" wrapText="1"/>
    </xf>
    <xf numFmtId="0" fontId="70" fillId="5" borderId="39" xfId="0" applyFont="1" applyFill="1" applyBorder="1" applyAlignment="1" applyProtection="1">
      <alignment vertical="center" textRotation="255" wrapText="1"/>
    </xf>
    <xf numFmtId="0" fontId="40" fillId="5" borderId="6" xfId="0" applyFont="1" applyFill="1" applyBorder="1" applyAlignment="1" applyProtection="1">
      <alignment horizontal="center" vertical="center" wrapText="1"/>
    </xf>
    <xf numFmtId="49" fontId="40" fillId="0" borderId="19"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vertical="center" textRotation="255" wrapText="1"/>
    </xf>
    <xf numFmtId="0" fontId="40" fillId="2" borderId="19" xfId="0" applyNumberFormat="1" applyFont="1" applyFill="1" applyBorder="1" applyAlignment="1" applyProtection="1">
      <alignment horizontal="center" vertical="center" wrapText="1"/>
      <protection locked="0"/>
    </xf>
    <xf numFmtId="0" fontId="42" fillId="5" borderId="39" xfId="0" applyFont="1" applyFill="1" applyBorder="1" applyAlignment="1" applyProtection="1">
      <alignment vertical="center" textRotation="255" wrapText="1"/>
    </xf>
    <xf numFmtId="0" fontId="46" fillId="5" borderId="29" xfId="0" applyFont="1" applyFill="1" applyBorder="1" applyAlignment="1" applyProtection="1">
      <alignment vertical="center" textRotation="255" wrapText="1"/>
    </xf>
    <xf numFmtId="0" fontId="47" fillId="5" borderId="49" xfId="0" applyNumberFormat="1" applyFont="1" applyFill="1" applyBorder="1" applyAlignment="1" applyProtection="1">
      <alignment horizontal="center" vertical="center" wrapText="1"/>
    </xf>
    <xf numFmtId="49" fontId="47" fillId="0" borderId="11"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left" vertical="center" wrapText="1"/>
      <protection locked="0"/>
    </xf>
    <xf numFmtId="49" fontId="69" fillId="0" borderId="31" xfId="0" applyNumberFormat="1" applyFont="1" applyFill="1" applyBorder="1" applyAlignment="1" applyProtection="1">
      <alignment horizontal="center" vertical="center" wrapText="1"/>
      <protection locked="0"/>
    </xf>
    <xf numFmtId="0" fontId="40" fillId="5" borderId="50" xfId="0" applyNumberFormat="1" applyFont="1" applyFill="1" applyBorder="1" applyAlignment="1" applyProtection="1">
      <alignment horizontal="center" vertical="center" wrapText="1"/>
    </xf>
    <xf numFmtId="0" fontId="40" fillId="5" borderId="60" xfId="0" applyNumberFormat="1" applyFont="1" applyFill="1" applyBorder="1" applyAlignment="1" applyProtection="1">
      <alignment horizontal="center" vertical="center" wrapText="1"/>
    </xf>
    <xf numFmtId="0" fontId="47" fillId="5" borderId="13" xfId="0" applyNumberFormat="1" applyFont="1" applyFill="1" applyBorder="1" applyAlignment="1" applyProtection="1">
      <alignment horizontal="center" vertical="center" wrapText="1"/>
    </xf>
    <xf numFmtId="0" fontId="69" fillId="5" borderId="49" xfId="0" applyNumberFormat="1" applyFont="1" applyFill="1" applyBorder="1" applyAlignment="1" applyProtection="1">
      <alignment horizontal="center" vertical="center" wrapText="1"/>
    </xf>
    <xf numFmtId="0" fontId="69" fillId="5" borderId="49" xfId="0" applyNumberFormat="1" applyFont="1" applyFill="1" applyBorder="1" applyAlignment="1" applyProtection="1">
      <alignment horizontal="left" vertical="center" wrapText="1"/>
    </xf>
    <xf numFmtId="0" fontId="69" fillId="5" borderId="50" xfId="0" applyNumberFormat="1" applyFont="1" applyFill="1" applyBorder="1" applyAlignment="1" applyProtection="1">
      <alignment horizontal="center" vertical="center" wrapText="1"/>
    </xf>
    <xf numFmtId="177" fontId="53" fillId="5" borderId="1" xfId="0" applyNumberFormat="1" applyFont="1" applyFill="1" applyBorder="1" applyAlignment="1" applyProtection="1">
      <alignment horizontal="right" vertical="center"/>
    </xf>
    <xf numFmtId="0" fontId="57" fillId="5" borderId="3" xfId="0" applyNumberFormat="1" applyFont="1" applyFill="1" applyBorder="1" applyAlignment="1" applyProtection="1">
      <alignment horizontal="center" vertical="center" wrapText="1"/>
    </xf>
    <xf numFmtId="0" fontId="57" fillId="0" borderId="3" xfId="0" applyNumberFormat="1" applyFont="1" applyFill="1" applyBorder="1" applyAlignment="1" applyProtection="1">
      <alignment horizontal="center" vertical="center" wrapText="1"/>
      <protection locked="0"/>
    </xf>
    <xf numFmtId="0" fontId="47" fillId="0" borderId="7" xfId="0" applyNumberFormat="1" applyFont="1" applyFill="1" applyBorder="1" applyAlignment="1" applyProtection="1">
      <alignment horizontal="center" vertical="center" wrapText="1"/>
      <protection locked="0"/>
    </xf>
    <xf numFmtId="0" fontId="47" fillId="5" borderId="39" xfId="0" applyFont="1" applyFill="1" applyBorder="1" applyAlignment="1" applyProtection="1">
      <alignment horizontal="center" vertical="center"/>
    </xf>
    <xf numFmtId="0" fontId="70" fillId="5" borderId="29" xfId="0" applyFont="1" applyFill="1" applyBorder="1" applyAlignment="1" applyProtection="1">
      <alignment vertical="center" textRotation="255" wrapText="1"/>
    </xf>
    <xf numFmtId="0" fontId="47" fillId="0" borderId="18" xfId="0" applyNumberFormat="1" applyFont="1" applyFill="1" applyBorder="1" applyAlignment="1" applyProtection="1">
      <alignment horizontal="center" vertical="center" wrapText="1"/>
      <protection locked="0"/>
    </xf>
    <xf numFmtId="0" fontId="47" fillId="0" borderId="8" xfId="0" applyNumberFormat="1" applyFont="1" applyFill="1" applyBorder="1" applyAlignment="1" applyProtection="1">
      <alignment horizontal="center" vertical="center" wrapText="1"/>
      <protection locked="0"/>
    </xf>
    <xf numFmtId="0" fontId="47" fillId="0" borderId="4" xfId="0" applyNumberFormat="1" applyFont="1" applyFill="1" applyBorder="1" applyAlignment="1" applyProtection="1">
      <alignment horizontal="center" vertical="center" wrapText="1"/>
      <protection locked="0"/>
    </xf>
    <xf numFmtId="0" fontId="72" fillId="5" borderId="3" xfId="0" applyNumberFormat="1" applyFont="1" applyFill="1" applyBorder="1" applyAlignment="1" applyProtection="1">
      <alignment horizontal="center" vertical="center" wrapText="1"/>
    </xf>
    <xf numFmtId="0" fontId="46" fillId="5" borderId="47" xfId="0" applyFont="1" applyFill="1" applyBorder="1" applyAlignment="1" applyProtection="1">
      <alignment horizontal="right" vertical="center" wrapText="1"/>
    </xf>
    <xf numFmtId="49" fontId="46" fillId="5" borderId="62" xfId="0" applyNumberFormat="1" applyFont="1" applyFill="1" applyBorder="1" applyAlignment="1" applyProtection="1">
      <alignment vertical="center"/>
    </xf>
    <xf numFmtId="14" fontId="47" fillId="5" borderId="4" xfId="0" applyNumberFormat="1" applyFont="1" applyFill="1" applyBorder="1" applyAlignment="1" applyProtection="1">
      <alignment horizontal="left" vertical="center"/>
    </xf>
    <xf numFmtId="176" fontId="47" fillId="5" borderId="11" xfId="0" applyNumberFormat="1" applyFont="1" applyFill="1" applyBorder="1" applyAlignment="1" applyProtection="1">
      <alignment horizontal="center" vertical="center"/>
    </xf>
    <xf numFmtId="0" fontId="47" fillId="5" borderId="11" xfId="0" applyFont="1" applyFill="1" applyBorder="1" applyAlignment="1" applyProtection="1">
      <alignment horizontal="center" vertical="center"/>
    </xf>
    <xf numFmtId="0" fontId="47" fillId="5" borderId="31" xfId="0" applyFont="1" applyFill="1" applyBorder="1" applyAlignment="1" applyProtection="1">
      <alignment horizontal="center" vertical="center"/>
    </xf>
    <xf numFmtId="0" fontId="49" fillId="5" borderId="7" xfId="0" applyFont="1" applyFill="1" applyBorder="1" applyAlignment="1" applyProtection="1"/>
    <xf numFmtId="186" fontId="49" fillId="5" borderId="1" xfId="1" applyNumberFormat="1" applyFont="1" applyFill="1" applyBorder="1" applyAlignment="1" applyProtection="1">
      <alignment horizontal="center"/>
    </xf>
    <xf numFmtId="0" fontId="49" fillId="5" borderId="1" xfId="0" applyFont="1" applyFill="1" applyBorder="1" applyAlignment="1" applyProtection="1">
      <alignment horizontal="center"/>
    </xf>
    <xf numFmtId="177" fontId="49" fillId="5" borderId="6" xfId="1" applyNumberFormat="1" applyFont="1" applyFill="1" applyBorder="1" applyAlignment="1" applyProtection="1">
      <alignment horizontal="center"/>
    </xf>
    <xf numFmtId="0" fontId="73" fillId="0" borderId="0" xfId="0" applyFont="1" applyFill="1" applyAlignment="1" applyProtection="1">
      <alignment horizontal="center" vertical="center"/>
      <protection locked="0"/>
    </xf>
    <xf numFmtId="0" fontId="49" fillId="5" borderId="7" xfId="1" applyFont="1" applyFill="1" applyBorder="1" applyAlignment="1" applyProtection="1"/>
    <xf numFmtId="179" fontId="49" fillId="0" borderId="1" xfId="1" applyNumberFormat="1" applyFont="1" applyFill="1" applyBorder="1" applyAlignment="1" applyProtection="1">
      <alignment horizontal="center"/>
      <protection locked="0"/>
    </xf>
    <xf numFmtId="0" fontId="43" fillId="5" borderId="61" xfId="0" applyFont="1" applyFill="1" applyBorder="1" applyAlignment="1" applyProtection="1">
      <alignment horizontal="center" vertical="center"/>
    </xf>
    <xf numFmtId="0" fontId="50" fillId="5" borderId="8" xfId="1" applyFont="1" applyFill="1" applyBorder="1" applyAlignment="1" applyProtection="1"/>
    <xf numFmtId="0" fontId="49" fillId="5" borderId="61" xfId="0" applyFont="1" applyFill="1" applyBorder="1" applyAlignment="1" applyProtection="1">
      <alignment horizontal="center"/>
    </xf>
    <xf numFmtId="177" fontId="50" fillId="5" borderId="43" xfId="0" applyNumberFormat="1" applyFont="1" applyFill="1" applyBorder="1" applyAlignment="1" applyProtection="1">
      <alignment horizontal="center"/>
    </xf>
    <xf numFmtId="0" fontId="40" fillId="5" borderId="32" xfId="0" applyNumberFormat="1" applyFont="1" applyFill="1" applyBorder="1" applyAlignment="1" applyProtection="1">
      <alignment horizontal="left" vertical="center" wrapText="1"/>
    </xf>
    <xf numFmtId="0" fontId="47" fillId="0" borderId="58" xfId="0" applyNumberFormat="1" applyFont="1" applyFill="1" applyBorder="1" applyAlignment="1" applyProtection="1">
      <alignment horizontal="center" vertical="center" wrapText="1"/>
      <protection locked="0"/>
    </xf>
    <xf numFmtId="0" fontId="47" fillId="0" borderId="56" xfId="0" applyNumberFormat="1" applyFont="1" applyFill="1" applyBorder="1" applyAlignment="1" applyProtection="1">
      <alignment horizontal="center" vertical="center" wrapText="1"/>
      <protection locked="0"/>
    </xf>
    <xf numFmtId="0" fontId="43" fillId="0" borderId="0" xfId="0" applyNumberFormat="1" applyFont="1" applyAlignment="1" applyProtection="1">
      <alignment horizontal="center" vertical="center"/>
      <protection locked="0"/>
    </xf>
    <xf numFmtId="0" fontId="43" fillId="5" borderId="5" xfId="0" applyNumberFormat="1" applyFont="1" applyFill="1" applyBorder="1" applyAlignment="1" applyProtection="1">
      <alignment horizontal="center" vertical="center" wrapText="1"/>
    </xf>
    <xf numFmtId="0" fontId="43" fillId="5" borderId="4" xfId="0" applyNumberFormat="1" applyFont="1" applyFill="1" applyBorder="1" applyAlignment="1" applyProtection="1">
      <alignment horizontal="center" vertical="center" wrapText="1"/>
    </xf>
    <xf numFmtId="0" fontId="43" fillId="5" borderId="11" xfId="0" applyNumberFormat="1" applyFont="1" applyFill="1" applyBorder="1" applyAlignment="1" applyProtection="1">
      <alignment horizontal="center" vertical="center" wrapText="1"/>
    </xf>
    <xf numFmtId="0" fontId="43" fillId="5" borderId="79" xfId="0" applyNumberFormat="1" applyFont="1" applyFill="1" applyBorder="1" applyAlignment="1" applyProtection="1">
      <alignment horizontal="center" vertical="center" wrapText="1"/>
    </xf>
    <xf numFmtId="0" fontId="49" fillId="0" borderId="0" xfId="0" applyFont="1" applyFill="1" applyAlignment="1" applyProtection="1">
      <alignment horizontal="center" vertical="center"/>
      <protection locked="0"/>
    </xf>
    <xf numFmtId="0" fontId="43" fillId="5" borderId="39" xfId="0" applyNumberFormat="1" applyFont="1" applyFill="1" applyBorder="1" applyAlignment="1" applyProtection="1">
      <alignment horizontal="center" vertical="center"/>
    </xf>
    <xf numFmtId="0" fontId="43" fillId="0" borderId="7"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5" borderId="8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protection locked="0"/>
    </xf>
    <xf numFmtId="0" fontId="43" fillId="0" borderId="53" xfId="0" applyNumberFormat="1" applyFont="1" applyFill="1" applyBorder="1" applyAlignment="1" applyProtection="1">
      <alignment horizontal="center" vertical="center" wrapText="1"/>
      <protection locked="0"/>
    </xf>
    <xf numFmtId="0" fontId="49" fillId="5" borderId="53" xfId="0" applyNumberFormat="1" applyFont="1" applyFill="1" applyBorder="1" applyAlignment="1" applyProtection="1">
      <alignment horizontal="center" vertical="center" wrapText="1"/>
    </xf>
    <xf numFmtId="0" fontId="43" fillId="5" borderId="1" xfId="0" applyNumberFormat="1" applyFont="1" applyFill="1" applyBorder="1" applyAlignment="1" applyProtection="1">
      <alignment horizontal="center" vertical="center"/>
    </xf>
    <xf numFmtId="0" fontId="43" fillId="5" borderId="1" xfId="0" applyNumberFormat="1"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5" borderId="1" xfId="0" applyFont="1" applyFill="1" applyBorder="1" applyAlignment="1" applyProtection="1">
      <alignment horizontal="center" vertical="center"/>
    </xf>
    <xf numFmtId="0" fontId="56" fillId="2" borderId="1" xfId="0" applyFont="1" applyFill="1" applyBorder="1" applyAlignment="1" applyProtection="1">
      <alignment horizontal="center" vertical="center"/>
      <protection locked="0"/>
    </xf>
    <xf numFmtId="0" fontId="56" fillId="0" borderId="0" xfId="0" applyFont="1" applyProtection="1">
      <alignment vertical="center"/>
      <protection locked="0"/>
    </xf>
    <xf numFmtId="0" fontId="104" fillId="0" borderId="0" xfId="0" applyFont="1" applyProtection="1">
      <alignment vertical="center"/>
    </xf>
    <xf numFmtId="0" fontId="99" fillId="0" borderId="0" xfId="0" applyFont="1" applyAlignment="1" applyProtection="1">
      <alignment horizontal="center" vertical="center" wrapText="1"/>
    </xf>
    <xf numFmtId="0" fontId="99" fillId="0" borderId="0" xfId="0" applyFont="1" applyProtection="1">
      <alignment vertical="center"/>
    </xf>
    <xf numFmtId="0" fontId="99" fillId="0" borderId="0" xfId="0" applyFont="1" applyBorder="1" applyAlignment="1" applyProtection="1">
      <alignment horizontal="center" vertical="center"/>
    </xf>
    <xf numFmtId="0" fontId="99" fillId="5" borderId="0" xfId="0" applyFont="1" applyFill="1" applyAlignment="1" applyProtection="1">
      <alignment vertical="center"/>
    </xf>
    <xf numFmtId="0" fontId="99" fillId="5" borderId="0" xfId="0" applyFont="1" applyFill="1" applyAlignment="1" applyProtection="1">
      <alignment horizontal="left" vertical="center"/>
    </xf>
    <xf numFmtId="0" fontId="99" fillId="5" borderId="0" xfId="2" applyFont="1" applyFill="1" applyAlignment="1" applyProtection="1">
      <alignment horizontal="left"/>
    </xf>
    <xf numFmtId="186" fontId="102" fillId="0" borderId="1" xfId="0" applyNumberFormat="1" applyFont="1" applyFill="1" applyBorder="1" applyAlignment="1" applyProtection="1">
      <alignment horizontal="center"/>
      <protection locked="0"/>
    </xf>
    <xf numFmtId="49" fontId="58" fillId="5" borderId="0" xfId="0" applyNumberFormat="1" applyFont="1" applyFill="1" applyBorder="1" applyAlignment="1" applyProtection="1"/>
    <xf numFmtId="0" fontId="53" fillId="5" borderId="0" xfId="0" applyFont="1" applyFill="1" applyBorder="1" applyAlignment="1" applyProtection="1">
      <alignment vertical="center"/>
    </xf>
    <xf numFmtId="0" fontId="66" fillId="5" borderId="36" xfId="0" applyFont="1" applyFill="1" applyBorder="1" applyAlignment="1" applyProtection="1">
      <alignment vertical="center"/>
    </xf>
    <xf numFmtId="0" fontId="58" fillId="5" borderId="36" xfId="0" applyFont="1" applyFill="1" applyBorder="1" applyAlignment="1" applyProtection="1">
      <alignment vertical="center"/>
    </xf>
    <xf numFmtId="189" fontId="58" fillId="5" borderId="36" xfId="0" applyNumberFormat="1" applyFont="1" applyFill="1" applyBorder="1" applyAlignment="1" applyProtection="1">
      <alignment horizontal="center" vertical="center"/>
    </xf>
    <xf numFmtId="181" fontId="58" fillId="5" borderId="36" xfId="0" applyNumberFormat="1" applyFont="1" applyFill="1" applyBorder="1" applyAlignment="1" applyProtection="1">
      <alignment vertical="center"/>
    </xf>
    <xf numFmtId="0" fontId="58" fillId="5" borderId="36" xfId="0" applyFont="1" applyFill="1" applyBorder="1" applyAlignment="1" applyProtection="1">
      <alignment horizontal="center" vertical="center"/>
    </xf>
    <xf numFmtId="0" fontId="47" fillId="5" borderId="0" xfId="0" applyFont="1" applyFill="1" applyAlignment="1" applyProtection="1">
      <alignment horizontal="center" vertical="center"/>
    </xf>
    <xf numFmtId="0" fontId="69" fillId="5" borderId="0" xfId="0" applyFont="1" applyFill="1" applyAlignment="1" applyProtection="1">
      <alignment horizontal="center" vertical="center"/>
    </xf>
    <xf numFmtId="0" fontId="52" fillId="5" borderId="0" xfId="0" applyFont="1" applyFill="1" applyBorder="1" applyAlignment="1" applyProtection="1"/>
    <xf numFmtId="0" fontId="47" fillId="5" borderId="0" xfId="0" applyFont="1" applyFill="1" applyBorder="1" applyAlignment="1" applyProtection="1"/>
    <xf numFmtId="0" fontId="47" fillId="5" borderId="0" xfId="0" applyFont="1" applyFill="1" applyBorder="1" applyAlignment="1" applyProtection="1">
      <alignment horizontal="center"/>
    </xf>
    <xf numFmtId="189" fontId="47" fillId="5" borderId="0" xfId="0" applyNumberFormat="1" applyFont="1" applyFill="1" applyBorder="1" applyAlignment="1" applyProtection="1">
      <alignment horizontal="center"/>
    </xf>
    <xf numFmtId="181" fontId="47" fillId="5" borderId="0" xfId="0" applyNumberFormat="1" applyFont="1" applyFill="1" applyBorder="1" applyAlignment="1" applyProtection="1"/>
    <xf numFmtId="0" fontId="58" fillId="5" borderId="0" xfId="0" applyFont="1" applyFill="1" applyBorder="1" applyAlignment="1" applyProtection="1">
      <alignment horizontal="center" vertical="center"/>
    </xf>
    <xf numFmtId="0" fontId="60" fillId="5" borderId="0" xfId="0" applyFont="1" applyFill="1" applyBorder="1" applyAlignment="1" applyProtection="1">
      <alignment horizontal="center" vertical="center"/>
    </xf>
    <xf numFmtId="188" fontId="40" fillId="5" borderId="2" xfId="0" applyNumberFormat="1" applyFont="1" applyFill="1" applyBorder="1" applyAlignment="1" applyProtection="1">
      <alignment horizontal="center" vertical="center"/>
    </xf>
    <xf numFmtId="49" fontId="40" fillId="5" borderId="3" xfId="0" applyNumberFormat="1" applyFont="1" applyFill="1" applyBorder="1" applyAlignment="1" applyProtection="1">
      <alignment horizontal="center" vertical="center"/>
    </xf>
    <xf numFmtId="0" fontId="40" fillId="5" borderId="49" xfId="0" applyFont="1" applyFill="1" applyBorder="1" applyAlignment="1" applyProtection="1">
      <alignment horizontal="center" vertical="center"/>
    </xf>
    <xf numFmtId="0" fontId="40" fillId="5" borderId="1" xfId="0" applyNumberFormat="1" applyFont="1" applyFill="1" applyBorder="1" applyAlignment="1" applyProtection="1">
      <alignment horizontal="center" vertical="center"/>
    </xf>
    <xf numFmtId="188" fontId="47" fillId="5" borderId="2" xfId="0" applyNumberFormat="1" applyFont="1" applyFill="1" applyBorder="1" applyAlignment="1" applyProtection="1">
      <alignment horizontal="center" vertical="center"/>
    </xf>
    <xf numFmtId="49" fontId="47" fillId="5" borderId="3" xfId="0" applyNumberFormat="1" applyFont="1" applyFill="1" applyBorder="1" applyAlignment="1" applyProtection="1">
      <alignment horizontal="center" vertical="center"/>
    </xf>
    <xf numFmtId="0" fontId="45" fillId="5" borderId="1" xfId="0" applyFont="1" applyFill="1" applyBorder="1" applyAlignment="1" applyProtection="1">
      <alignment horizontal="center" vertical="center" wrapText="1"/>
    </xf>
    <xf numFmtId="188" fontId="45" fillId="5" borderId="2" xfId="0" applyNumberFormat="1" applyFont="1" applyFill="1" applyBorder="1" applyAlignment="1" applyProtection="1">
      <alignment horizontal="center" vertical="center"/>
    </xf>
    <xf numFmtId="49" fontId="45" fillId="5" borderId="3" xfId="0" applyNumberFormat="1" applyFont="1" applyFill="1" applyBorder="1" applyAlignment="1" applyProtection="1">
      <alignment horizontal="center" vertical="center"/>
    </xf>
    <xf numFmtId="0" fontId="45" fillId="5" borderId="49" xfId="0" applyFont="1" applyFill="1" applyBorder="1" applyAlignment="1" applyProtection="1">
      <alignment horizontal="center" vertical="center"/>
    </xf>
    <xf numFmtId="0" fontId="45" fillId="5" borderId="1" xfId="0" applyFont="1" applyFill="1" applyBorder="1" applyAlignment="1" applyProtection="1">
      <alignment horizontal="center" vertical="center"/>
    </xf>
    <xf numFmtId="0" fontId="47" fillId="5" borderId="17" xfId="0" applyFont="1" applyFill="1" applyBorder="1" applyAlignment="1" applyProtection="1">
      <alignment vertical="center" textRotation="255" wrapText="1"/>
    </xf>
    <xf numFmtId="0" fontId="60" fillId="5" borderId="0" xfId="0" applyFont="1" applyFill="1" applyAlignment="1" applyProtection="1">
      <alignment horizontal="center" vertical="center"/>
    </xf>
    <xf numFmtId="189" fontId="47" fillId="5" borderId="3" xfId="0" applyNumberFormat="1" applyFont="1" applyFill="1" applyBorder="1" applyAlignment="1" applyProtection="1">
      <alignment horizontal="center" vertical="center"/>
    </xf>
    <xf numFmtId="189" fontId="47" fillId="5" borderId="1" xfId="0" applyNumberFormat="1" applyFont="1" applyFill="1" applyBorder="1" applyAlignment="1" applyProtection="1">
      <alignment horizontal="center" vertical="center" wrapText="1"/>
    </xf>
    <xf numFmtId="0" fontId="41" fillId="5" borderId="1" xfId="0" applyFont="1" applyFill="1" applyBorder="1" applyAlignment="1" applyProtection="1">
      <alignment horizontal="right" vertical="center"/>
    </xf>
    <xf numFmtId="0" fontId="41" fillId="5" borderId="61" xfId="0" applyFont="1" applyFill="1" applyBorder="1" applyAlignment="1" applyProtection="1">
      <alignment horizontal="right" vertical="center"/>
    </xf>
    <xf numFmtId="0" fontId="58" fillId="5" borderId="65" xfId="0" applyFont="1" applyFill="1" applyBorder="1" applyAlignment="1" applyProtection="1">
      <alignment horizontal="center" vertical="center"/>
    </xf>
    <xf numFmtId="0" fontId="43" fillId="5" borderId="0" xfId="0" applyNumberFormat="1" applyFont="1" applyFill="1" applyAlignment="1" applyProtection="1">
      <alignment horizontal="center" vertical="center"/>
      <protection locked="0"/>
    </xf>
    <xf numFmtId="0" fontId="57" fillId="8" borderId="0" xfId="0" applyFont="1" applyFill="1" applyAlignment="1" applyProtection="1">
      <protection locked="0"/>
    </xf>
    <xf numFmtId="0" fontId="42" fillId="8" borderId="0" xfId="0" applyFont="1" applyFill="1" applyAlignment="1" applyProtection="1">
      <protection locked="0"/>
    </xf>
    <xf numFmtId="0" fontId="43" fillId="8" borderId="0" xfId="0" applyFont="1" applyFill="1" applyAlignment="1" applyProtection="1">
      <protection locked="0"/>
    </xf>
    <xf numFmtId="0" fontId="40" fillId="8" borderId="0" xfId="0" applyFont="1" applyFill="1" applyAlignment="1" applyProtection="1">
      <protection locked="0"/>
    </xf>
    <xf numFmtId="0" fontId="45" fillId="8" borderId="0" xfId="0" applyFont="1" applyFill="1" applyProtection="1">
      <alignment vertical="center"/>
      <protection locked="0"/>
    </xf>
    <xf numFmtId="0" fontId="40" fillId="8" borderId="0" xfId="0" applyFont="1" applyFill="1" applyAlignment="1" applyProtection="1">
      <alignment horizontal="center"/>
      <protection locked="0"/>
    </xf>
    <xf numFmtId="0" fontId="54" fillId="8" borderId="0" xfId="0" applyFont="1" applyFill="1" applyAlignment="1" applyProtection="1">
      <alignment vertical="center"/>
      <protection locked="0"/>
    </xf>
    <xf numFmtId="0" fontId="54" fillId="8" borderId="0" xfId="0" applyFont="1" applyFill="1" applyAlignment="1" applyProtection="1">
      <alignment horizontal="left" vertical="center"/>
      <protection locked="0"/>
    </xf>
    <xf numFmtId="179" fontId="49" fillId="8" borderId="0" xfId="0" applyNumberFormat="1" applyFont="1" applyFill="1" applyBorder="1" applyAlignment="1" applyProtection="1">
      <alignment horizontal="center" vertical="center"/>
      <protection locked="0"/>
    </xf>
    <xf numFmtId="0" fontId="54" fillId="8" borderId="0" xfId="0" applyFont="1" applyFill="1" applyBorder="1" applyAlignment="1" applyProtection="1">
      <alignment vertical="center"/>
      <protection locked="0"/>
    </xf>
    <xf numFmtId="0" fontId="54" fillId="8" borderId="0" xfId="0" applyFont="1" applyFill="1" applyAlignment="1" applyProtection="1">
      <alignment horizontal="center" vertical="center"/>
      <protection locked="0"/>
    </xf>
    <xf numFmtId="0" fontId="61" fillId="8" borderId="0" xfId="0" applyFont="1" applyFill="1" applyAlignment="1" applyProtection="1">
      <alignment vertical="center"/>
      <protection locked="0"/>
    </xf>
    <xf numFmtId="0" fontId="60" fillId="8" borderId="0" xfId="0" applyFont="1" applyFill="1" applyAlignment="1" applyProtection="1">
      <alignment vertical="center"/>
      <protection locked="0"/>
    </xf>
    <xf numFmtId="0" fontId="43" fillId="8" borderId="0" xfId="0" applyFont="1" applyFill="1" applyProtection="1">
      <alignment vertical="center"/>
      <protection locked="0"/>
    </xf>
    <xf numFmtId="0" fontId="49" fillId="8" borderId="0" xfId="0" applyFont="1" applyFill="1" applyAlignment="1" applyProtection="1">
      <alignment horizontal="center" vertical="center"/>
      <protection locked="0"/>
    </xf>
    <xf numFmtId="0" fontId="44"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wrapText="1"/>
      <protection locked="0"/>
    </xf>
    <xf numFmtId="0" fontId="56" fillId="8" borderId="0" xfId="0" applyFont="1" applyFill="1" applyProtection="1">
      <alignment vertical="center"/>
      <protection locked="0"/>
    </xf>
    <xf numFmtId="0" fontId="57" fillId="5" borderId="3" xfId="0" applyNumberFormat="1" applyFont="1" applyFill="1" applyBorder="1" applyAlignment="1" applyProtection="1">
      <alignment horizontal="center" vertical="center" wrapText="1"/>
      <protection locked="0"/>
    </xf>
    <xf numFmtId="0" fontId="47" fillId="5" borderId="1" xfId="0" applyNumberFormat="1" applyFont="1" applyFill="1" applyBorder="1" applyAlignment="1" applyProtection="1">
      <alignment horizontal="center" vertical="center" wrapText="1"/>
    </xf>
    <xf numFmtId="9" fontId="47" fillId="5" borderId="1" xfId="0" applyNumberFormat="1"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protection locked="0"/>
    </xf>
    <xf numFmtId="0" fontId="109" fillId="0" borderId="1" xfId="0" applyFont="1" applyFill="1" applyBorder="1" applyAlignment="1" applyProtection="1">
      <alignment horizontal="center" vertical="center" wrapText="1"/>
      <protection locked="0"/>
    </xf>
    <xf numFmtId="0" fontId="109" fillId="0" borderId="18" xfId="0" applyFont="1" applyFill="1" applyBorder="1" applyAlignment="1" applyProtection="1">
      <alignment horizontal="center" vertical="center" wrapText="1"/>
      <protection locked="0"/>
    </xf>
    <xf numFmtId="0" fontId="109" fillId="0" borderId="61" xfId="0" applyFont="1" applyFill="1" applyBorder="1" applyAlignment="1" applyProtection="1">
      <alignment horizontal="center" vertical="center" wrapText="1"/>
      <protection locked="0"/>
    </xf>
    <xf numFmtId="0" fontId="110"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10" fillId="5" borderId="46" xfId="0" applyFont="1" applyFill="1" applyBorder="1" applyAlignment="1" applyProtection="1">
      <alignment vertical="center"/>
    </xf>
    <xf numFmtId="187" fontId="95"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1" fillId="5" borderId="47" xfId="0" applyFont="1" applyFill="1" applyBorder="1" applyAlignment="1" applyProtection="1">
      <alignment vertical="center"/>
    </xf>
    <xf numFmtId="0" fontId="111" fillId="5" borderId="38" xfId="0" applyFont="1" applyFill="1" applyBorder="1" applyAlignment="1" applyProtection="1">
      <alignment horizontal="center" vertical="center"/>
    </xf>
    <xf numFmtId="0" fontId="0" fillId="0" borderId="0" xfId="0" applyProtection="1">
      <alignment vertical="center"/>
    </xf>
    <xf numFmtId="0" fontId="109" fillId="5" borderId="7" xfId="0" applyFont="1" applyFill="1" applyBorder="1" applyAlignment="1" applyProtection="1">
      <alignment horizontal="center" vertical="center" wrapText="1"/>
    </xf>
    <xf numFmtId="0" fontId="109" fillId="5" borderId="1"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2" fillId="5" borderId="1" xfId="0" applyFont="1" applyFill="1" applyBorder="1" applyAlignment="1" applyProtection="1">
      <alignment horizontal="center" vertical="center" wrapText="1"/>
    </xf>
    <xf numFmtId="0" fontId="49" fillId="5" borderId="6" xfId="0" applyFont="1" applyFill="1" applyBorder="1" applyAlignment="1" applyProtection="1">
      <alignment horizontal="center" vertical="center" wrapText="1"/>
    </xf>
    <xf numFmtId="0" fontId="17" fillId="5" borderId="60" xfId="0" applyFont="1" applyFill="1" applyBorder="1" applyAlignment="1" applyProtection="1">
      <alignment horizontal="center" vertical="center" wrapText="1"/>
    </xf>
    <xf numFmtId="49" fontId="109" fillId="5" borderId="1" xfId="0" applyNumberFormat="1" applyFont="1" applyFill="1" applyBorder="1" applyAlignment="1" applyProtection="1">
      <alignment horizontal="center" vertical="center" wrapText="1"/>
    </xf>
    <xf numFmtId="181" fontId="102" fillId="5" borderId="1" xfId="0" applyNumberFormat="1" applyFont="1" applyFill="1" applyBorder="1" applyAlignment="1" applyProtection="1">
      <alignment horizontal="center" vertical="center" wrapText="1"/>
    </xf>
    <xf numFmtId="9" fontId="102" fillId="5" borderId="1" xfId="0" applyNumberFormat="1" applyFont="1" applyFill="1" applyBorder="1" applyAlignment="1" applyProtection="1">
      <alignment horizontal="center" vertical="center" wrapText="1"/>
    </xf>
    <xf numFmtId="10" fontId="49" fillId="5" borderId="58" xfId="0" applyNumberFormat="1" applyFont="1" applyFill="1" applyBorder="1" applyAlignment="1" applyProtection="1">
      <alignment horizontal="center" vertical="center" wrapText="1"/>
    </xf>
    <xf numFmtId="10" fontId="17" fillId="5" borderId="0" xfId="0" applyNumberFormat="1" applyFont="1" applyFill="1" applyBorder="1" applyAlignment="1" applyProtection="1">
      <alignment horizontal="center" vertical="center" wrapText="1"/>
    </xf>
    <xf numFmtId="0" fontId="109" fillId="5" borderId="1" xfId="0" applyNumberFormat="1" applyFont="1" applyFill="1" applyBorder="1" applyAlignment="1" applyProtection="1">
      <alignment horizontal="center" vertical="center" wrapText="1"/>
    </xf>
    <xf numFmtId="10" fontId="49" fillId="5" borderId="50" xfId="0" applyNumberFormat="1" applyFont="1" applyFill="1" applyBorder="1" applyAlignment="1" applyProtection="1">
      <alignment vertical="center" wrapText="1"/>
    </xf>
    <xf numFmtId="0" fontId="109" fillId="5" borderId="19" xfId="0" applyFont="1" applyFill="1" applyBorder="1" applyAlignment="1" applyProtection="1">
      <alignment horizontal="center" vertical="center" wrapText="1"/>
    </xf>
    <xf numFmtId="0" fontId="109" fillId="5" borderId="18" xfId="0" applyFont="1" applyFill="1" applyBorder="1" applyAlignment="1" applyProtection="1">
      <alignment horizontal="center" vertical="center" wrapText="1"/>
    </xf>
    <xf numFmtId="0" fontId="109" fillId="5" borderId="8" xfId="0" applyFont="1" applyFill="1" applyBorder="1" applyAlignment="1" applyProtection="1">
      <alignment horizontal="center" vertical="center" wrapText="1"/>
    </xf>
    <xf numFmtId="49" fontId="109" fillId="5" borderId="71" xfId="0" applyNumberFormat="1" applyFont="1" applyFill="1" applyBorder="1" applyAlignment="1" applyProtection="1">
      <alignment horizontal="center" vertical="center" wrapText="1"/>
    </xf>
    <xf numFmtId="9" fontId="102" fillId="5" borderId="61" xfId="0" applyNumberFormat="1" applyFont="1" applyFill="1" applyBorder="1" applyAlignment="1" applyProtection="1">
      <alignment horizontal="center" vertical="center" wrapText="1"/>
    </xf>
    <xf numFmtId="10" fontId="49" fillId="5" borderId="73" xfId="0" applyNumberFormat="1" applyFont="1" applyFill="1" applyBorder="1" applyAlignment="1" applyProtection="1">
      <alignment vertical="center" wrapText="1"/>
    </xf>
    <xf numFmtId="49" fontId="109" fillId="5" borderId="61" xfId="0" applyNumberFormat="1" applyFont="1" applyFill="1" applyBorder="1" applyAlignment="1" applyProtection="1">
      <alignment horizontal="center" vertical="center" wrapText="1"/>
    </xf>
    <xf numFmtId="10" fontId="49" fillId="5" borderId="50" xfId="0" applyNumberFormat="1" applyFont="1" applyFill="1" applyBorder="1" applyAlignment="1" applyProtection="1">
      <alignment horizontal="center" vertical="center" wrapText="1"/>
    </xf>
    <xf numFmtId="10" fontId="49" fillId="5" borderId="73" xfId="0" applyNumberFormat="1" applyFont="1" applyFill="1" applyBorder="1" applyAlignment="1" applyProtection="1">
      <alignment horizontal="center" vertical="center" wrapText="1"/>
    </xf>
    <xf numFmtId="0" fontId="109"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5"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2" fillId="5" borderId="7" xfId="0" applyFont="1" applyFill="1" applyBorder="1" applyAlignment="1" applyProtection="1">
      <alignment horizontal="center" vertical="center" wrapText="1"/>
    </xf>
    <xf numFmtId="0" fontId="112" fillId="5" borderId="1" xfId="0" applyFont="1" applyFill="1" applyBorder="1" applyAlignment="1" applyProtection="1">
      <alignment horizontal="center" vertical="center" wrapText="1"/>
    </xf>
    <xf numFmtId="0" fontId="95" fillId="5" borderId="37" xfId="0" applyFont="1" applyFill="1" applyBorder="1" applyProtection="1">
      <alignment vertical="center"/>
    </xf>
    <xf numFmtId="0" fontId="113" fillId="5" borderId="13" xfId="0" applyFont="1" applyFill="1" applyBorder="1" applyAlignment="1" applyProtection="1">
      <alignment horizontal="center" vertical="center"/>
    </xf>
    <xf numFmtId="0" fontId="95" fillId="5" borderId="39" xfId="0" applyFont="1" applyFill="1" applyBorder="1" applyProtection="1">
      <alignment vertical="center"/>
    </xf>
    <xf numFmtId="0" fontId="113" fillId="5" borderId="61" xfId="0" applyFont="1" applyFill="1" applyBorder="1" applyAlignment="1" applyProtection="1">
      <alignment horizontal="center" vertical="center"/>
    </xf>
    <xf numFmtId="0" fontId="113" fillId="5" borderId="44"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1" xfId="0" applyFont="1" applyFill="1" applyBorder="1" applyAlignment="1" applyProtection="1">
      <alignment horizontal="center" vertical="center" wrapText="1"/>
    </xf>
    <xf numFmtId="0" fontId="112" fillId="5" borderId="13" xfId="0" applyFont="1" applyFill="1" applyBorder="1" applyAlignment="1" applyProtection="1">
      <alignment horizontal="center" vertical="center" wrapText="1"/>
    </xf>
    <xf numFmtId="0" fontId="96" fillId="5" borderId="4" xfId="0" applyFont="1" applyFill="1" applyBorder="1" applyAlignment="1" applyProtection="1">
      <alignment horizontal="center" vertical="center"/>
    </xf>
    <xf numFmtId="0" fontId="96" fillId="5" borderId="13" xfId="0" applyFont="1" applyFill="1" applyBorder="1" applyProtection="1">
      <alignment vertical="center"/>
    </xf>
    <xf numFmtId="0" fontId="112" fillId="5" borderId="64" xfId="0" applyFont="1" applyFill="1" applyBorder="1" applyAlignment="1" applyProtection="1">
      <alignment horizontal="center" vertical="center" wrapText="1"/>
    </xf>
    <xf numFmtId="0" fontId="96" fillId="5" borderId="7" xfId="0" applyFont="1" applyFill="1" applyBorder="1" applyAlignment="1" applyProtection="1">
      <alignment horizontal="center" vertical="center"/>
    </xf>
    <xf numFmtId="0" fontId="96" fillId="5" borderId="2" xfId="0" applyFont="1" applyFill="1" applyBorder="1" applyProtection="1">
      <alignment vertical="center"/>
    </xf>
    <xf numFmtId="0" fontId="112" fillId="5" borderId="17" xfId="0" applyFont="1" applyFill="1" applyBorder="1" applyAlignment="1" applyProtection="1">
      <alignment horizontal="center" vertical="center" wrapText="1"/>
    </xf>
    <xf numFmtId="0" fontId="112" fillId="5" borderId="71" xfId="0" applyFont="1" applyFill="1" applyBorder="1" applyAlignment="1" applyProtection="1">
      <alignment horizontal="center" vertical="center" wrapText="1"/>
    </xf>
    <xf numFmtId="0" fontId="112" fillId="5" borderId="61" xfId="0" applyFont="1" applyFill="1" applyBorder="1" applyAlignment="1" applyProtection="1">
      <alignment horizontal="center" vertical="center" wrapText="1"/>
    </xf>
    <xf numFmtId="0" fontId="114" fillId="5" borderId="44" xfId="0" applyFont="1" applyFill="1" applyBorder="1" applyProtection="1">
      <alignment vertical="center"/>
    </xf>
    <xf numFmtId="0" fontId="112" fillId="5" borderId="2" xfId="0" applyFont="1" applyFill="1" applyBorder="1" applyAlignment="1" applyProtection="1">
      <alignment horizontal="center" vertical="center" wrapText="1"/>
    </xf>
    <xf numFmtId="0" fontId="96" fillId="5" borderId="8" xfId="0" applyFont="1" applyFill="1" applyBorder="1" applyAlignment="1" applyProtection="1">
      <alignment horizontal="center" vertical="center"/>
    </xf>
    <xf numFmtId="0" fontId="96" fillId="5" borderId="44" xfId="0" applyFont="1" applyFill="1" applyBorder="1" applyProtection="1">
      <alignment vertical="center"/>
    </xf>
    <xf numFmtId="0" fontId="114" fillId="5" borderId="2" xfId="0" applyFont="1" applyFill="1" applyBorder="1" applyProtection="1">
      <alignment vertical="center"/>
    </xf>
    <xf numFmtId="0" fontId="115" fillId="5" borderId="0" xfId="0" applyFont="1" applyFill="1" applyBorder="1" applyProtection="1">
      <alignment vertical="center"/>
    </xf>
    <xf numFmtId="0" fontId="112" fillId="5" borderId="9" xfId="0" applyFont="1" applyFill="1" applyBorder="1" applyAlignment="1" applyProtection="1">
      <alignment vertical="center" wrapText="1"/>
    </xf>
    <xf numFmtId="0" fontId="116" fillId="5" borderId="0" xfId="0" applyFont="1" applyFill="1" applyProtection="1">
      <alignment vertical="center"/>
    </xf>
    <xf numFmtId="0" fontId="115" fillId="5" borderId="0" xfId="0" applyFont="1" applyFill="1" applyProtection="1">
      <alignment vertical="center"/>
    </xf>
    <xf numFmtId="0" fontId="112"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9" fillId="5" borderId="4" xfId="0" applyFont="1" applyFill="1" applyBorder="1" applyAlignment="1" applyProtection="1">
      <alignment horizontal="center" vertical="center" wrapText="1"/>
    </xf>
    <xf numFmtId="0" fontId="109" fillId="5" borderId="11" xfId="0" applyFont="1" applyFill="1" applyBorder="1" applyAlignment="1" applyProtection="1">
      <alignment horizontal="center" vertical="center" wrapText="1"/>
    </xf>
    <xf numFmtId="0" fontId="109" fillId="5" borderId="31" xfId="0" applyFont="1" applyFill="1" applyBorder="1" applyAlignment="1" applyProtection="1">
      <alignment horizontal="center" vertical="center" wrapText="1"/>
    </xf>
    <xf numFmtId="0" fontId="109" fillId="5" borderId="6" xfId="0" applyFont="1" applyFill="1" applyBorder="1" applyAlignment="1" applyProtection="1">
      <alignment horizontal="center" vertical="center" wrapText="1"/>
    </xf>
    <xf numFmtId="0" fontId="109" fillId="5" borderId="16" xfId="0" applyFont="1" applyFill="1" applyBorder="1" applyAlignment="1" applyProtection="1">
      <alignment horizontal="center" vertical="center" wrapText="1"/>
    </xf>
    <xf numFmtId="0" fontId="109"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7" fillId="5" borderId="65" xfId="0" applyFont="1" applyFill="1" applyBorder="1" applyAlignment="1" applyProtection="1">
      <alignment vertical="center"/>
    </xf>
    <xf numFmtId="0" fontId="117" fillId="5" borderId="0" xfId="0" applyFont="1" applyFill="1" applyBorder="1" applyAlignment="1" applyProtection="1">
      <alignment vertical="center"/>
    </xf>
    <xf numFmtId="0" fontId="0" fillId="0" borderId="0" xfId="0" applyAlignment="1" applyProtection="1">
      <alignment horizontal="center" vertical="center"/>
    </xf>
    <xf numFmtId="0" fontId="109" fillId="5" borderId="2" xfId="0" applyFont="1" applyFill="1" applyBorder="1" applyAlignment="1" applyProtection="1">
      <alignment horizontal="center" vertical="center" wrapText="1"/>
    </xf>
    <xf numFmtId="0" fontId="109" fillId="5" borderId="3" xfId="0" applyFont="1" applyFill="1" applyBorder="1" applyAlignment="1" applyProtection="1">
      <alignment horizontal="center" vertical="center" wrapText="1"/>
    </xf>
    <xf numFmtId="0" fontId="109" fillId="5" borderId="0" xfId="0" applyFont="1" applyFill="1" applyBorder="1" applyAlignment="1" applyProtection="1">
      <alignment horizontal="center" vertical="center" wrapText="1"/>
    </xf>
    <xf numFmtId="0" fontId="109" fillId="5" borderId="1" xfId="0" applyFont="1" applyFill="1" applyBorder="1" applyAlignment="1" applyProtection="1">
      <alignment horizontal="center" vertical="center"/>
    </xf>
    <xf numFmtId="0" fontId="109" fillId="5" borderId="2" xfId="0" applyFont="1" applyFill="1" applyBorder="1" applyAlignment="1" applyProtection="1">
      <alignment horizontal="left" vertical="center"/>
    </xf>
    <xf numFmtId="0" fontId="109" fillId="5" borderId="3" xfId="0" applyFont="1" applyFill="1" applyBorder="1" applyAlignment="1" applyProtection="1">
      <alignment horizontal="left" vertical="center"/>
    </xf>
    <xf numFmtId="0" fontId="109" fillId="5" borderId="0" xfId="0" applyFont="1" applyFill="1" applyBorder="1" applyAlignment="1" applyProtection="1">
      <alignment vertical="center"/>
    </xf>
    <xf numFmtId="0" fontId="109" fillId="5" borderId="0" xfId="0" applyFont="1" applyFill="1" applyBorder="1" applyAlignment="1" applyProtection="1">
      <alignment horizontal="center" vertical="center"/>
    </xf>
    <xf numFmtId="0" fontId="0" fillId="0" borderId="0" xfId="0" applyAlignment="1" applyProtection="1">
      <alignment vertical="center"/>
    </xf>
    <xf numFmtId="0" fontId="109" fillId="0" borderId="36" xfId="0" applyFont="1" applyBorder="1" applyAlignment="1" applyProtection="1">
      <alignment vertical="center"/>
    </xf>
    <xf numFmtId="0" fontId="109" fillId="0" borderId="0" xfId="0" applyFont="1" applyBorder="1" applyAlignment="1" applyProtection="1">
      <alignment vertical="center"/>
    </xf>
    <xf numFmtId="0" fontId="109" fillId="5" borderId="64" xfId="0" applyFont="1" applyFill="1" applyBorder="1" applyAlignment="1" applyProtection="1">
      <alignment vertical="center" wrapText="1"/>
    </xf>
    <xf numFmtId="0" fontId="109" fillId="5" borderId="17" xfId="0" applyFont="1" applyFill="1" applyBorder="1" applyAlignment="1" applyProtection="1">
      <alignment vertical="center" wrapText="1"/>
    </xf>
    <xf numFmtId="0" fontId="109" fillId="5" borderId="24" xfId="0" applyFont="1" applyFill="1" applyBorder="1" applyAlignment="1" applyProtection="1">
      <alignment vertical="center" wrapText="1"/>
    </xf>
    <xf numFmtId="0" fontId="109" fillId="5" borderId="17" xfId="0" applyFont="1" applyFill="1" applyBorder="1" applyAlignment="1" applyProtection="1">
      <alignment horizontal="center" vertical="center"/>
    </xf>
    <xf numFmtId="0" fontId="109" fillId="5" borderId="0" xfId="0" applyFont="1" applyFill="1" applyAlignment="1" applyProtection="1">
      <alignment horizontal="center" vertical="center"/>
    </xf>
    <xf numFmtId="9" fontId="109" fillId="5" borderId="1" xfId="0" applyNumberFormat="1" applyFont="1" applyFill="1" applyBorder="1" applyAlignment="1" applyProtection="1">
      <alignment horizontal="center" vertical="center"/>
    </xf>
    <xf numFmtId="179" fontId="77" fillId="0" borderId="65" xfId="3" applyNumberFormat="1" applyFont="1" applyBorder="1" applyAlignment="1" applyProtection="1">
      <alignment vertical="center"/>
    </xf>
    <xf numFmtId="0" fontId="77" fillId="0" borderId="65" xfId="3" applyNumberFormat="1" applyFont="1" applyBorder="1" applyAlignment="1" applyProtection="1">
      <alignment vertical="center"/>
    </xf>
    <xf numFmtId="0" fontId="0" fillId="0" borderId="0" xfId="0" applyNumberFormat="1" applyProtection="1">
      <alignment vertical="center"/>
    </xf>
    <xf numFmtId="179" fontId="78" fillId="5" borderId="1" xfId="3" applyNumberFormat="1" applyFont="1" applyFill="1" applyBorder="1" applyAlignment="1" applyProtection="1">
      <alignment horizontal="center" vertical="center"/>
    </xf>
    <xf numFmtId="0" fontId="78" fillId="5" borderId="1" xfId="3" applyNumberFormat="1" applyFont="1" applyFill="1" applyBorder="1" applyAlignment="1" applyProtection="1">
      <alignment horizontal="center" vertical="center"/>
    </xf>
    <xf numFmtId="0" fontId="78" fillId="5" borderId="1" xfId="3" applyNumberFormat="1" applyFont="1" applyFill="1" applyBorder="1" applyAlignment="1" applyProtection="1">
      <alignment horizontal="center" vertical="center" wrapText="1"/>
    </xf>
    <xf numFmtId="0" fontId="78" fillId="5" borderId="49" xfId="3" applyNumberFormat="1" applyFont="1" applyFill="1" applyBorder="1" applyAlignment="1" applyProtection="1">
      <alignment horizontal="center" vertical="center"/>
    </xf>
    <xf numFmtId="0" fontId="119"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8"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9" fillId="5" borderId="2" xfId="0" applyFont="1" applyFill="1" applyBorder="1" applyAlignment="1" applyProtection="1">
      <alignment horizontal="center" vertical="center" wrapText="1"/>
    </xf>
    <xf numFmtId="181" fontId="99" fillId="0" borderId="1" xfId="0" applyNumberFormat="1" applyFont="1" applyBorder="1" applyAlignment="1" applyProtection="1">
      <alignment horizontal="center" vertical="center"/>
      <protection locked="0"/>
    </xf>
    <xf numFmtId="0" fontId="109" fillId="5" borderId="1" xfId="0" applyFont="1" applyFill="1" applyBorder="1" applyAlignment="1" applyProtection="1">
      <alignment horizontal="center" vertical="center"/>
    </xf>
    <xf numFmtId="0" fontId="102" fillId="5" borderId="1" xfId="0" applyFont="1" applyFill="1" applyBorder="1" applyAlignment="1" applyProtection="1">
      <alignment horizontal="center" vertical="center"/>
    </xf>
    <xf numFmtId="0" fontId="102" fillId="0" borderId="1" xfId="0" applyFont="1" applyFill="1" applyBorder="1" applyAlignment="1" applyProtection="1">
      <alignment horizontal="center" vertical="center"/>
      <protection locked="0"/>
    </xf>
    <xf numFmtId="0" fontId="43" fillId="0" borderId="6" xfId="0" applyFont="1" applyBorder="1" applyAlignment="1" applyProtection="1">
      <alignment vertical="center" wrapText="1"/>
      <protection locked="0"/>
    </xf>
    <xf numFmtId="181" fontId="48" fillId="5" borderId="41" xfId="0" applyNumberFormat="1" applyFont="1" applyFill="1" applyBorder="1" applyAlignment="1" applyProtection="1">
      <alignment horizontal="center" vertical="center"/>
    </xf>
    <xf numFmtId="0" fontId="43" fillId="5" borderId="0" xfId="0" applyFont="1" applyFill="1" applyAlignment="1" applyProtection="1">
      <alignment vertical="center" wrapText="1"/>
    </xf>
    <xf numFmtId="0" fontId="43" fillId="0" borderId="31" xfId="0" applyFont="1" applyBorder="1" applyAlignment="1" applyProtection="1">
      <alignment vertical="center" wrapText="1"/>
      <protection locked="0"/>
    </xf>
    <xf numFmtId="0" fontId="43" fillId="0" borderId="43" xfId="0" applyFont="1" applyBorder="1" applyAlignment="1" applyProtection="1">
      <alignment vertical="center" wrapText="1"/>
      <protection locked="0"/>
    </xf>
    <xf numFmtId="0" fontId="43" fillId="5" borderId="4" xfId="0" applyFont="1" applyFill="1" applyBorder="1" applyAlignment="1" applyProtection="1">
      <alignment vertical="center" wrapText="1"/>
    </xf>
    <xf numFmtId="0" fontId="43" fillId="5" borderId="7" xfId="0" applyFont="1" applyFill="1" applyBorder="1" applyAlignment="1" applyProtection="1">
      <alignment vertical="center" wrapText="1"/>
    </xf>
    <xf numFmtId="0" fontId="43" fillId="5" borderId="8" xfId="0" applyFont="1" applyFill="1" applyBorder="1" applyAlignment="1" applyProtection="1">
      <alignment vertical="center" wrapText="1"/>
    </xf>
    <xf numFmtId="0" fontId="43" fillId="5" borderId="23" xfId="0" applyFont="1" applyFill="1" applyBorder="1" applyAlignment="1" applyProtection="1">
      <alignment vertical="center" wrapText="1"/>
    </xf>
    <xf numFmtId="0" fontId="48" fillId="5" borderId="37" xfId="0" applyFont="1" applyFill="1" applyBorder="1" applyAlignment="1" applyProtection="1">
      <alignment vertical="center" wrapText="1"/>
    </xf>
    <xf numFmtId="0" fontId="43" fillId="0" borderId="11" xfId="0" applyFont="1" applyFill="1" applyBorder="1" applyAlignment="1" applyProtection="1">
      <alignment vertical="center" wrapText="1"/>
      <protection locked="0"/>
    </xf>
    <xf numFmtId="0" fontId="43" fillId="0" borderId="61" xfId="0" applyFont="1" applyFill="1" applyBorder="1" applyAlignment="1" applyProtection="1">
      <alignment vertical="center" wrapText="1"/>
      <protection locked="0"/>
    </xf>
    <xf numFmtId="0" fontId="43" fillId="0" borderId="0" xfId="0" applyFont="1" applyAlignment="1" applyProtection="1">
      <alignment vertical="center"/>
    </xf>
    <xf numFmtId="0" fontId="43" fillId="5" borderId="0" xfId="0" applyFont="1" applyFill="1" applyBorder="1" applyAlignment="1" applyProtection="1">
      <alignment vertical="center" wrapText="1"/>
    </xf>
    <xf numFmtId="0" fontId="43" fillId="5" borderId="0" xfId="0" applyFont="1" applyFill="1" applyBorder="1" applyAlignment="1" applyProtection="1">
      <alignment horizontal="center" vertical="center" wrapText="1"/>
    </xf>
    <xf numFmtId="0" fontId="127" fillId="0" borderId="0" xfId="0" applyFont="1">
      <alignment vertical="center"/>
    </xf>
    <xf numFmtId="0" fontId="127" fillId="0" borderId="0" xfId="0" applyFont="1" applyAlignment="1">
      <alignment vertical="top" wrapText="1"/>
    </xf>
    <xf numFmtId="0" fontId="0" fillId="0" borderId="0" xfId="0" applyAlignment="1">
      <alignment vertical="top" wrapText="1"/>
    </xf>
    <xf numFmtId="0" fontId="128" fillId="0" borderId="0" xfId="0" applyFont="1" applyAlignment="1">
      <alignment horizontal="left" vertical="center"/>
    </xf>
    <xf numFmtId="0" fontId="129" fillId="0" borderId="0" xfId="0" applyFont="1">
      <alignment vertical="center"/>
    </xf>
    <xf numFmtId="0" fontId="57" fillId="0" borderId="1" xfId="0" applyFont="1" applyFill="1" applyBorder="1" applyAlignment="1" applyProtection="1">
      <alignment horizontal="center" vertical="center" wrapText="1"/>
    </xf>
    <xf numFmtId="0" fontId="43" fillId="0" borderId="2" xfId="0" applyFont="1" applyBorder="1" applyAlignment="1" applyProtection="1">
      <alignment vertical="center" wrapText="1"/>
      <protection locked="0"/>
    </xf>
    <xf numFmtId="0" fontId="43" fillId="0" borderId="58" xfId="0" applyFont="1" applyBorder="1" applyAlignment="1" applyProtection="1">
      <alignment vertical="center" wrapText="1"/>
      <protection locked="0"/>
    </xf>
    <xf numFmtId="0" fontId="43" fillId="5" borderId="26" xfId="0" applyFont="1" applyFill="1" applyBorder="1" applyAlignment="1" applyProtection="1">
      <alignment vertical="center" wrapText="1"/>
    </xf>
    <xf numFmtId="0" fontId="43" fillId="0" borderId="50" xfId="0" applyFont="1" applyBorder="1" applyAlignment="1" applyProtection="1">
      <alignment vertical="center" wrapText="1"/>
      <protection locked="0"/>
    </xf>
    <xf numFmtId="0" fontId="43" fillId="5" borderId="89" xfId="0" applyFont="1" applyFill="1" applyBorder="1" applyAlignment="1" applyProtection="1">
      <alignment vertical="center" wrapText="1"/>
    </xf>
    <xf numFmtId="0" fontId="43" fillId="5" borderId="83" xfId="0" applyFont="1" applyFill="1" applyBorder="1" applyAlignment="1" applyProtection="1">
      <alignment vertical="center" wrapText="1"/>
    </xf>
    <xf numFmtId="0" fontId="43" fillId="5" borderId="90" xfId="0" applyFont="1" applyFill="1" applyBorder="1" applyAlignment="1" applyProtection="1">
      <alignment vertical="center" wrapText="1"/>
    </xf>
    <xf numFmtId="0" fontId="43" fillId="0" borderId="94" xfId="0" applyFont="1" applyFill="1" applyBorder="1" applyAlignment="1" applyProtection="1">
      <alignment vertical="center" wrapText="1"/>
      <protection locked="0"/>
    </xf>
    <xf numFmtId="0" fontId="43" fillId="0" borderId="0" xfId="0" applyFont="1" applyAlignment="1" applyProtection="1">
      <alignment vertical="center" wrapText="1"/>
    </xf>
    <xf numFmtId="0" fontId="48" fillId="5" borderId="78" xfId="0" applyFont="1" applyFill="1" applyBorder="1" applyAlignment="1" applyProtection="1">
      <alignment vertical="center"/>
    </xf>
    <xf numFmtId="0" fontId="43" fillId="5" borderId="40" xfId="0" applyFont="1" applyFill="1" applyBorder="1" applyAlignment="1" applyProtection="1">
      <alignment vertical="center" wrapText="1"/>
    </xf>
    <xf numFmtId="0" fontId="43" fillId="5" borderId="53" xfId="0" applyFont="1" applyFill="1" applyBorder="1" applyAlignment="1" applyProtection="1">
      <alignment vertical="center" wrapText="1"/>
    </xf>
    <xf numFmtId="0" fontId="43" fillId="5" borderId="30" xfId="0" applyFont="1" applyFill="1" applyBorder="1" applyAlignment="1" applyProtection="1">
      <alignment vertical="center" wrapText="1"/>
    </xf>
    <xf numFmtId="0" fontId="0" fillId="0" borderId="0" xfId="0" applyBorder="1">
      <alignment vertical="center"/>
    </xf>
    <xf numFmtId="0" fontId="128" fillId="8" borderId="0" xfId="0" applyFont="1" applyFill="1" applyProtection="1">
      <alignment vertical="center"/>
    </xf>
    <xf numFmtId="0" fontId="128" fillId="8" borderId="0" xfId="0" applyFont="1" applyFill="1" applyAlignment="1" applyProtection="1">
      <alignment vertical="top" wrapText="1"/>
    </xf>
    <xf numFmtId="0" fontId="0" fillId="0" borderId="0" xfId="0" applyProtection="1">
      <alignment vertical="center"/>
      <protection locked="0"/>
    </xf>
    <xf numFmtId="0" fontId="48" fillId="0" borderId="0" xfId="0" applyFont="1" applyAlignment="1" applyProtection="1">
      <alignment vertical="center" wrapText="1"/>
    </xf>
    <xf numFmtId="0" fontId="43" fillId="5" borderId="37" xfId="0" applyFont="1" applyFill="1" applyBorder="1" applyAlignment="1" applyProtection="1">
      <alignment vertical="center" wrapText="1"/>
    </xf>
    <xf numFmtId="0" fontId="43" fillId="5" borderId="79" xfId="0" applyFont="1" applyFill="1" applyBorder="1" applyAlignment="1" applyProtection="1">
      <alignment vertical="center" wrapText="1"/>
    </xf>
    <xf numFmtId="0" fontId="53" fillId="5" borderId="18" xfId="0" applyFont="1" applyFill="1" applyBorder="1" applyAlignment="1" applyProtection="1">
      <alignment horizontal="center" vertical="center"/>
      <protection locked="0"/>
    </xf>
    <xf numFmtId="49" fontId="46" fillId="6" borderId="47" xfId="0" applyNumberFormat="1" applyFont="1" applyFill="1" applyBorder="1" applyAlignment="1" applyProtection="1">
      <alignment vertical="center"/>
      <protection locked="0"/>
    </xf>
    <xf numFmtId="0" fontId="132" fillId="5" borderId="0" xfId="0" applyFont="1" applyFill="1" applyAlignment="1" applyProtection="1">
      <alignment horizontal="center" vertical="center"/>
    </xf>
    <xf numFmtId="0" fontId="113" fillId="5" borderId="12" xfId="0" applyFont="1" applyFill="1" applyBorder="1" applyAlignment="1" applyProtection="1">
      <alignment horizontal="center" vertical="center"/>
    </xf>
    <xf numFmtId="0" fontId="113" fillId="5" borderId="22" xfId="0" applyFont="1" applyFill="1" applyBorder="1" applyAlignment="1" applyProtection="1">
      <alignment vertical="center" wrapText="1"/>
    </xf>
    <xf numFmtId="0" fontId="113" fillId="5" borderId="18" xfId="0" applyFont="1" applyFill="1" applyBorder="1" applyAlignment="1" applyProtection="1">
      <alignment horizontal="center" vertical="center"/>
    </xf>
    <xf numFmtId="10" fontId="102" fillId="0" borderId="11" xfId="0" applyNumberFormat="1" applyFont="1" applyBorder="1" applyAlignment="1">
      <alignment horizontal="center" vertical="center" wrapText="1"/>
    </xf>
    <xf numFmtId="10" fontId="102" fillId="0" borderId="31" xfId="0" applyNumberFormat="1" applyFont="1" applyBorder="1" applyAlignment="1">
      <alignment horizontal="center" vertical="center" wrapText="1"/>
    </xf>
    <xf numFmtId="10" fontId="102" fillId="0" borderId="1" xfId="0" applyNumberFormat="1" applyFont="1" applyBorder="1" applyAlignment="1">
      <alignment horizontal="center" vertical="center" wrapText="1"/>
    </xf>
    <xf numFmtId="10" fontId="102" fillId="0" borderId="6" xfId="0" applyNumberFormat="1" applyFont="1" applyBorder="1" applyAlignment="1">
      <alignment horizontal="center" vertical="center" wrapText="1"/>
    </xf>
    <xf numFmtId="10" fontId="102"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2" fillId="0" borderId="43" xfId="0" applyNumberFormat="1" applyFont="1" applyBorder="1" applyAlignment="1">
      <alignment horizontal="center" vertical="center" wrapText="1"/>
    </xf>
    <xf numFmtId="0" fontId="112" fillId="5" borderId="18" xfId="0" applyFont="1" applyFill="1" applyBorder="1" applyAlignment="1" applyProtection="1">
      <alignment horizontal="center" vertical="center" wrapText="1"/>
    </xf>
    <xf numFmtId="10" fontId="102" fillId="0" borderId="18" xfId="0" applyNumberFormat="1" applyFont="1" applyBorder="1" applyAlignment="1">
      <alignment horizontal="center" vertical="center" wrapText="1"/>
    </xf>
    <xf numFmtId="0" fontId="112" fillId="5" borderId="84" xfId="0" applyFont="1" applyFill="1" applyBorder="1" applyAlignment="1" applyProtection="1">
      <alignment horizontal="center" vertical="center" wrapText="1"/>
    </xf>
    <xf numFmtId="10" fontId="0" fillId="0" borderId="66" xfId="0" applyNumberFormat="1" applyBorder="1">
      <alignment vertical="center"/>
    </xf>
    <xf numFmtId="10" fontId="102" fillId="0" borderId="15" xfId="0" applyNumberFormat="1" applyFont="1" applyBorder="1" applyAlignment="1">
      <alignment horizontal="center" vertical="center" wrapText="1"/>
    </xf>
    <xf numFmtId="0" fontId="112" fillId="5" borderId="26" xfId="0" applyFont="1" applyFill="1" applyBorder="1" applyAlignment="1" applyProtection="1">
      <alignment vertical="center" wrapText="1"/>
    </xf>
    <xf numFmtId="10" fontId="102" fillId="0" borderId="34" xfId="0" applyNumberFormat="1" applyFont="1" applyBorder="1" applyAlignment="1">
      <alignment horizontal="center" vertical="center" wrapText="1"/>
    </xf>
    <xf numFmtId="10" fontId="0" fillId="0" borderId="79" xfId="0" applyNumberFormat="1" applyBorder="1">
      <alignment vertical="center"/>
    </xf>
    <xf numFmtId="0" fontId="54" fillId="5" borderId="6" xfId="0" applyFont="1" applyFill="1" applyBorder="1" applyAlignment="1" applyProtection="1">
      <alignment horizontal="center" vertical="center"/>
    </xf>
    <xf numFmtId="0" fontId="43" fillId="5" borderId="0" xfId="0" applyFont="1" applyFill="1" applyAlignment="1" applyProtection="1">
      <alignment horizontal="center" vertical="center"/>
    </xf>
    <xf numFmtId="0" fontId="44" fillId="0" borderId="2" xfId="0" applyNumberFormat="1" applyFont="1" applyFill="1" applyBorder="1" applyAlignment="1" applyProtection="1">
      <alignment horizontal="center" vertical="center" wrapText="1"/>
      <protection locked="0"/>
    </xf>
    <xf numFmtId="0" fontId="43" fillId="0" borderId="60" xfId="0" applyFont="1" applyFill="1" applyBorder="1" applyAlignment="1" applyProtection="1">
      <alignment horizontal="center" vertical="center"/>
      <protection locked="0"/>
    </xf>
    <xf numFmtId="0" fontId="43" fillId="0" borderId="2" xfId="0" applyNumberFormat="1" applyFont="1" applyFill="1" applyBorder="1" applyAlignment="1" applyProtection="1">
      <alignment horizontal="center" vertical="center" wrapText="1"/>
      <protection locked="0"/>
    </xf>
    <xf numFmtId="0" fontId="43" fillId="0" borderId="49" xfId="0" applyNumberFormat="1" applyFont="1" applyFill="1" applyBorder="1" applyAlignment="1" applyProtection="1">
      <alignment horizontal="center" vertical="center" wrapText="1"/>
      <protection locked="0"/>
    </xf>
    <xf numFmtId="0" fontId="43" fillId="0" borderId="49" xfId="0" applyFont="1" applyFill="1" applyBorder="1" applyAlignment="1" applyProtection="1">
      <alignment horizontal="center" vertical="center" wrapText="1"/>
      <protection locked="0"/>
    </xf>
    <xf numFmtId="9" fontId="43" fillId="0" borderId="49" xfId="0" applyNumberFormat="1" applyFont="1" applyFill="1" applyBorder="1" applyAlignment="1" applyProtection="1">
      <alignment horizontal="center" vertical="center" wrapText="1"/>
      <protection locked="0"/>
    </xf>
    <xf numFmtId="0" fontId="43" fillId="0" borderId="49" xfId="0" applyFont="1" applyFill="1" applyBorder="1" applyAlignment="1" applyProtection="1">
      <alignment horizontal="center" vertical="center"/>
      <protection locked="0"/>
    </xf>
    <xf numFmtId="0" fontId="43" fillId="0" borderId="23" xfId="0" applyNumberFormat="1" applyFont="1" applyFill="1" applyBorder="1" applyAlignment="1" applyProtection="1">
      <alignment horizontal="center" vertical="center" wrapText="1"/>
      <protection locked="0"/>
    </xf>
    <xf numFmtId="0" fontId="43" fillId="0" borderId="17" xfId="0" applyNumberFormat="1" applyFont="1" applyFill="1" applyBorder="1" applyAlignment="1" applyProtection="1">
      <alignment horizontal="center" vertical="center" wrapText="1"/>
      <protection locked="0"/>
    </xf>
    <xf numFmtId="0" fontId="43" fillId="0" borderId="17" xfId="0" applyNumberFormat="1" applyFont="1" applyFill="1" applyBorder="1" applyAlignment="1" applyProtection="1">
      <alignment horizontal="left" vertical="center" wrapText="1"/>
      <protection locked="0"/>
    </xf>
    <xf numFmtId="0" fontId="43" fillId="0" borderId="64" xfId="0" applyNumberFormat="1" applyFont="1" applyFill="1" applyBorder="1" applyAlignment="1" applyProtection="1">
      <alignment horizontal="center" vertical="center" wrapText="1"/>
      <protection locked="0"/>
    </xf>
    <xf numFmtId="0" fontId="43" fillId="0" borderId="39" xfId="0" applyNumberFormat="1" applyFont="1" applyFill="1" applyBorder="1" applyAlignment="1" applyProtection="1">
      <alignment horizontal="center" vertical="center" wrapText="1"/>
      <protection locked="0"/>
    </xf>
    <xf numFmtId="0" fontId="43" fillId="5" borderId="98" xfId="0" applyNumberFormat="1" applyFont="1" applyFill="1" applyBorder="1" applyAlignment="1" applyProtection="1">
      <alignment horizontal="center" vertical="center" wrapText="1"/>
    </xf>
    <xf numFmtId="0" fontId="43" fillId="5" borderId="99" xfId="0" applyNumberFormat="1" applyFont="1" applyFill="1" applyBorder="1" applyAlignment="1" applyProtection="1">
      <alignment horizontal="center" vertical="center" wrapText="1"/>
    </xf>
    <xf numFmtId="0" fontId="49" fillId="5" borderId="100" xfId="0" applyNumberFormat="1" applyFont="1" applyFill="1" applyBorder="1" applyAlignment="1" applyProtection="1">
      <alignment horizontal="center" vertical="center" wrapText="1"/>
    </xf>
    <xf numFmtId="0" fontId="49" fillId="5" borderId="101" xfId="0" applyNumberFormat="1" applyFont="1" applyFill="1" applyBorder="1" applyAlignment="1" applyProtection="1">
      <alignment horizontal="center" vertical="center" wrapText="1"/>
    </xf>
    <xf numFmtId="0" fontId="49" fillId="5" borderId="102" xfId="0" applyNumberFormat="1" applyFont="1" applyFill="1" applyBorder="1" applyAlignment="1" applyProtection="1">
      <alignment horizontal="center" vertical="center" wrapText="1"/>
    </xf>
    <xf numFmtId="0" fontId="43" fillId="5" borderId="39" xfId="0" applyNumberFormat="1" applyFont="1" applyFill="1" applyBorder="1" applyAlignment="1" applyProtection="1">
      <alignment horizontal="center" vertical="center" wrapText="1"/>
    </xf>
    <xf numFmtId="0" fontId="43" fillId="0" borderId="16" xfId="0" applyNumberFormat="1" applyFont="1" applyFill="1" applyBorder="1" applyAlignment="1" applyProtection="1">
      <alignment horizontal="center" vertical="center" wrapText="1"/>
      <protection locked="0"/>
    </xf>
    <xf numFmtId="0" fontId="49" fillId="0" borderId="18" xfId="0" applyNumberFormat="1" applyFont="1" applyFill="1" applyBorder="1" applyAlignment="1" applyProtection="1">
      <alignment horizontal="center" vertical="center" wrapText="1"/>
      <protection locked="0"/>
    </xf>
    <xf numFmtId="0" fontId="49" fillId="0" borderId="35" xfId="0" applyNumberFormat="1" applyFont="1" applyFill="1" applyBorder="1" applyAlignment="1" applyProtection="1">
      <alignment horizontal="center" vertical="center" wrapText="1"/>
      <protection locked="0"/>
    </xf>
    <xf numFmtId="0" fontId="43" fillId="0" borderId="35" xfId="0" applyNumberFormat="1" applyFont="1" applyFill="1" applyBorder="1" applyAlignment="1" applyProtection="1">
      <alignment horizontal="center" vertical="center" wrapText="1"/>
      <protection locked="0"/>
    </xf>
    <xf numFmtId="0" fontId="43" fillId="0" borderId="103" xfId="0" applyNumberFormat="1" applyFont="1" applyFill="1" applyBorder="1" applyAlignment="1" applyProtection="1">
      <alignment horizontal="center" vertical="center" wrapText="1"/>
      <protection locked="0"/>
    </xf>
    <xf numFmtId="0" fontId="43" fillId="0" borderId="104" xfId="0" applyNumberFormat="1" applyFont="1" applyFill="1" applyBorder="1" applyAlignment="1" applyProtection="1">
      <alignment horizontal="center" vertical="center" wrapText="1"/>
      <protection locked="0"/>
    </xf>
    <xf numFmtId="0" fontId="43" fillId="0" borderId="104" xfId="0" applyNumberFormat="1" applyFont="1" applyFill="1" applyBorder="1" applyAlignment="1" applyProtection="1">
      <alignment horizontal="left" vertical="center" wrapText="1"/>
      <protection locked="0"/>
    </xf>
    <xf numFmtId="0" fontId="43" fillId="0" borderId="105" xfId="0" applyNumberFormat="1" applyFont="1" applyFill="1" applyBorder="1" applyAlignment="1" applyProtection="1">
      <alignment horizontal="center" vertical="center" wrapText="1"/>
      <protection locked="0"/>
    </xf>
    <xf numFmtId="0" fontId="43" fillId="0" borderId="106" xfId="0" applyNumberFormat="1" applyFont="1" applyFill="1" applyBorder="1" applyAlignment="1" applyProtection="1">
      <alignment horizontal="center" vertical="center" wrapText="1"/>
      <protection locked="0"/>
    </xf>
    <xf numFmtId="0" fontId="43" fillId="5" borderId="16" xfId="0" applyNumberFormat="1" applyFont="1" applyFill="1" applyBorder="1" applyAlignment="1" applyProtection="1">
      <alignment horizontal="center" vertical="center" wrapText="1"/>
    </xf>
    <xf numFmtId="0" fontId="49" fillId="5" borderId="18" xfId="0" applyNumberFormat="1" applyFont="1" applyFill="1" applyBorder="1" applyAlignment="1" applyProtection="1">
      <alignment horizontal="center" vertical="center" wrapText="1"/>
    </xf>
    <xf numFmtId="0" fontId="49" fillId="5" borderId="35"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08" xfId="0" applyFont="1" applyFill="1" applyBorder="1" applyAlignment="1" applyProtection="1">
      <alignment horizontal="center" vertical="center"/>
      <protection locked="0"/>
    </xf>
    <xf numFmtId="0" fontId="43" fillId="0" borderId="109" xfId="0" applyNumberFormat="1" applyFont="1" applyFill="1" applyBorder="1" applyAlignment="1" applyProtection="1">
      <alignment horizontal="center" vertical="center" wrapText="1"/>
      <protection locked="0"/>
    </xf>
    <xf numFmtId="0" fontId="43" fillId="0" borderId="109" xfId="0" applyFont="1" applyFill="1" applyBorder="1" applyAlignment="1" applyProtection="1">
      <alignment horizontal="center" vertical="center" wrapText="1"/>
      <protection locked="0"/>
    </xf>
    <xf numFmtId="9" fontId="43" fillId="0" borderId="109" xfId="0" applyNumberFormat="1" applyFont="1" applyFill="1" applyBorder="1" applyAlignment="1" applyProtection="1">
      <alignment horizontal="center" vertical="center" wrapText="1"/>
      <protection locked="0"/>
    </xf>
    <xf numFmtId="0" fontId="43" fillId="0" borderId="109" xfId="0" applyFont="1" applyFill="1" applyBorder="1" applyAlignment="1" applyProtection="1">
      <alignment horizontal="center" vertical="center"/>
      <protection locked="0"/>
    </xf>
    <xf numFmtId="0" fontId="103" fillId="5" borderId="1" xfId="0" applyFont="1" applyFill="1" applyBorder="1" applyAlignment="1" applyProtection="1">
      <alignment horizontal="center" vertical="center"/>
    </xf>
    <xf numFmtId="0" fontId="48" fillId="5" borderId="0" xfId="0" applyFont="1" applyFill="1" applyAlignment="1" applyProtection="1">
      <alignment horizontal="left" vertical="center"/>
    </xf>
    <xf numFmtId="0" fontId="0" fillId="8" borderId="0" xfId="0" applyFill="1">
      <alignment vertical="center"/>
    </xf>
    <xf numFmtId="0" fontId="129" fillId="8" borderId="0" xfId="0" applyFont="1" applyFill="1">
      <alignment vertical="center"/>
    </xf>
    <xf numFmtId="0" fontId="128" fillId="8" borderId="0" xfId="0" applyFont="1" applyFill="1" applyProtection="1">
      <alignment vertical="center"/>
    </xf>
    <xf numFmtId="0" fontId="0" fillId="8" borderId="0" xfId="0" applyFont="1" applyFill="1">
      <alignment vertical="center"/>
    </xf>
    <xf numFmtId="0" fontId="56" fillId="0" borderId="1" xfId="0" applyNumberFormat="1" applyFont="1" applyFill="1" applyBorder="1" applyAlignment="1" applyProtection="1">
      <alignment horizontal="center" vertical="center"/>
      <protection locked="0"/>
    </xf>
    <xf numFmtId="0" fontId="43" fillId="0" borderId="99" xfId="0" applyNumberFormat="1" applyFont="1" applyFill="1" applyBorder="1" applyAlignment="1" applyProtection="1">
      <alignment horizontal="center" vertical="center" wrapText="1"/>
      <protection locked="0"/>
    </xf>
    <xf numFmtId="0" fontId="49" fillId="0" borderId="100" xfId="0" applyNumberFormat="1" applyFont="1" applyFill="1" applyBorder="1" applyAlignment="1" applyProtection="1">
      <alignment horizontal="center" vertical="center" wrapText="1"/>
      <protection locked="0"/>
    </xf>
    <xf numFmtId="0" fontId="49" fillId="0" borderId="101" xfId="0" applyNumberFormat="1" applyFont="1" applyFill="1" applyBorder="1" applyAlignment="1" applyProtection="1">
      <alignment horizontal="center" vertical="center" wrapText="1"/>
      <protection locked="0"/>
    </xf>
    <xf numFmtId="0" fontId="43" fillId="5" borderId="106" xfId="0" applyNumberFormat="1" applyFont="1" applyFill="1" applyBorder="1" applyAlignment="1" applyProtection="1">
      <alignment horizontal="center" vertical="center" wrapText="1"/>
    </xf>
    <xf numFmtId="0" fontId="43" fillId="5" borderId="38" xfId="0" applyNumberFormat="1" applyFont="1" applyFill="1" applyBorder="1" applyAlignment="1" applyProtection="1">
      <alignment horizontal="center" vertical="center" wrapText="1"/>
    </xf>
    <xf numFmtId="0" fontId="43" fillId="0" borderId="41" xfId="0" applyNumberFormat="1" applyFont="1" applyFill="1" applyBorder="1" applyAlignment="1" applyProtection="1">
      <alignment horizontal="center" vertical="center" wrapText="1"/>
      <protection locked="0"/>
    </xf>
    <xf numFmtId="0" fontId="49" fillId="0" borderId="80" xfId="0" applyNumberFormat="1" applyFont="1" applyFill="1" applyBorder="1" applyAlignment="1" applyProtection="1">
      <alignment horizontal="center" vertical="center" wrapText="1"/>
      <protection locked="0"/>
    </xf>
    <xf numFmtId="0" fontId="43" fillId="0" borderId="110" xfId="0" applyNumberFormat="1" applyFont="1" applyFill="1" applyBorder="1" applyAlignment="1" applyProtection="1">
      <alignment horizontal="center" vertical="center" wrapText="1"/>
      <protection locked="0"/>
    </xf>
    <xf numFmtId="0" fontId="49" fillId="5" borderId="111" xfId="0" applyNumberFormat="1" applyFont="1" applyFill="1" applyBorder="1" applyAlignment="1" applyProtection="1">
      <alignment horizontal="center" vertical="center" wrapText="1"/>
    </xf>
    <xf numFmtId="0" fontId="43" fillId="0" borderId="53" xfId="0" applyFont="1" applyFill="1" applyBorder="1" applyAlignment="1" applyProtection="1">
      <alignment horizontal="center" vertical="center"/>
      <protection locked="0"/>
    </xf>
    <xf numFmtId="0" fontId="49" fillId="5" borderId="80" xfId="0" applyNumberFormat="1" applyFont="1" applyFill="1" applyBorder="1" applyAlignment="1" applyProtection="1">
      <alignment horizontal="center" vertical="center" wrapText="1"/>
    </xf>
    <xf numFmtId="0" fontId="43" fillId="0" borderId="106" xfId="0" applyFont="1" applyFill="1" applyBorder="1" applyAlignment="1" applyProtection="1">
      <alignment horizontal="center" vertical="center"/>
      <protection locked="0"/>
    </xf>
    <xf numFmtId="0" fontId="49" fillId="0" borderId="111" xfId="0" applyNumberFormat="1" applyFont="1" applyFill="1" applyBorder="1" applyAlignment="1" applyProtection="1">
      <alignment horizontal="center" vertical="center" wrapText="1"/>
      <protection locked="0"/>
    </xf>
    <xf numFmtId="0" fontId="109" fillId="5" borderId="18" xfId="0" applyFont="1" applyFill="1" applyBorder="1" applyAlignment="1" applyProtection="1">
      <alignment horizontal="center" vertical="center" wrapText="1"/>
    </xf>
    <xf numFmtId="0" fontId="109" fillId="5" borderId="17" xfId="0" applyFont="1" applyFill="1" applyBorder="1" applyAlignment="1" applyProtection="1">
      <alignment horizontal="center" vertical="center" wrapText="1"/>
    </xf>
    <xf numFmtId="0" fontId="98" fillId="8" borderId="0" xfId="0" applyFont="1" applyFill="1" applyProtection="1">
      <alignment vertical="center"/>
      <protection locked="0"/>
    </xf>
    <xf numFmtId="0" fontId="41" fillId="5" borderId="0" xfId="1" applyFont="1" applyFill="1" applyBorder="1" applyAlignment="1" applyProtection="1">
      <alignment vertical="center"/>
      <protection locked="0"/>
    </xf>
    <xf numFmtId="49" fontId="58" fillId="5" borderId="0" xfId="0" applyNumberFormat="1" applyFont="1" applyFill="1" applyBorder="1" applyAlignment="1" applyProtection="1">
      <alignment horizontal="center"/>
      <protection locked="0"/>
    </xf>
    <xf numFmtId="49" fontId="58" fillId="5" borderId="0" xfId="0" applyNumberFormat="1" applyFont="1" applyFill="1" applyBorder="1" applyAlignment="1" applyProtection="1">
      <alignment horizontal="left"/>
      <protection locked="0"/>
    </xf>
    <xf numFmtId="0" fontId="54" fillId="5" borderId="0" xfId="0" applyFont="1" applyFill="1" applyBorder="1" applyAlignment="1" applyProtection="1">
      <alignment vertical="center"/>
      <protection locked="0"/>
    </xf>
    <xf numFmtId="49" fontId="53" fillId="5" borderId="0" xfId="0" applyNumberFormat="1" applyFont="1" applyFill="1" applyBorder="1" applyAlignment="1" applyProtection="1">
      <protection locked="0"/>
    </xf>
    <xf numFmtId="49" fontId="53" fillId="5" borderId="0" xfId="0" applyNumberFormat="1" applyFont="1" applyFill="1" applyBorder="1" applyAlignment="1" applyProtection="1">
      <alignment horizontal="center"/>
      <protection locked="0"/>
    </xf>
    <xf numFmtId="49" fontId="53" fillId="5" borderId="0" xfId="0" applyNumberFormat="1" applyFont="1" applyFill="1" applyBorder="1" applyAlignment="1" applyProtection="1">
      <alignment horizontal="left"/>
      <protection locked="0"/>
    </xf>
    <xf numFmtId="49" fontId="50" fillId="5" borderId="0" xfId="0" applyNumberFormat="1" applyFont="1" applyFill="1" applyBorder="1" applyAlignment="1" applyProtection="1">
      <alignment horizontal="left" vertical="center"/>
      <protection locked="0"/>
    </xf>
    <xf numFmtId="0" fontId="50" fillId="5" borderId="0" xfId="0" applyFont="1" applyFill="1" applyBorder="1" applyAlignment="1" applyProtection="1">
      <alignment horizontal="left" vertical="center"/>
      <protection locked="0"/>
    </xf>
    <xf numFmtId="0" fontId="56" fillId="5" borderId="0" xfId="0" applyFont="1" applyFill="1" applyBorder="1" applyAlignment="1" applyProtection="1">
      <alignment horizontal="center" vertical="center"/>
      <protection locked="0"/>
    </xf>
    <xf numFmtId="0" fontId="43" fillId="5" borderId="0" xfId="0" applyFont="1" applyFill="1" applyBorder="1" applyAlignment="1" applyProtection="1">
      <alignment vertical="center"/>
      <protection locked="0"/>
    </xf>
    <xf numFmtId="0" fontId="49" fillId="5" borderId="0" xfId="0" applyFont="1" applyFill="1" applyBorder="1" applyAlignment="1" applyProtection="1">
      <alignment horizontal="left" vertical="center"/>
      <protection locked="0"/>
    </xf>
    <xf numFmtId="179" fontId="56" fillId="5" borderId="0" xfId="0" applyNumberFormat="1" applyFont="1" applyFill="1" applyBorder="1" applyAlignment="1" applyProtection="1">
      <alignment horizontal="center" vertical="center"/>
      <protection locked="0"/>
    </xf>
    <xf numFmtId="49" fontId="62" fillId="5" borderId="0" xfId="0" applyNumberFormat="1" applyFont="1" applyFill="1" applyBorder="1" applyAlignment="1" applyProtection="1">
      <alignment horizontal="left" vertical="center"/>
      <protection locked="0"/>
    </xf>
    <xf numFmtId="0" fontId="62" fillId="5" borderId="0" xfId="0" applyFont="1" applyFill="1" applyBorder="1" applyAlignment="1" applyProtection="1">
      <alignment horizontal="left" vertical="center"/>
      <protection locked="0"/>
    </xf>
    <xf numFmtId="0" fontId="63" fillId="5" borderId="0" xfId="0" applyFont="1" applyFill="1" applyBorder="1" applyAlignment="1" applyProtection="1">
      <alignment horizontal="center" vertical="center"/>
      <protection locked="0"/>
    </xf>
    <xf numFmtId="0" fontId="64" fillId="5" borderId="0" xfId="0" applyFont="1" applyFill="1" applyBorder="1" applyAlignment="1" applyProtection="1">
      <alignment vertical="center"/>
      <protection locked="0"/>
    </xf>
    <xf numFmtId="0" fontId="65" fillId="5" borderId="0" xfId="0" applyFont="1" applyFill="1" applyBorder="1" applyAlignment="1" applyProtection="1">
      <alignment horizontal="left" vertical="center"/>
      <protection locked="0"/>
    </xf>
    <xf numFmtId="179" fontId="63" fillId="5" borderId="0" xfId="0" applyNumberFormat="1" applyFont="1" applyFill="1" applyBorder="1" applyAlignment="1" applyProtection="1">
      <alignment horizontal="center" vertical="center"/>
      <protection locked="0"/>
    </xf>
    <xf numFmtId="0" fontId="99" fillId="5" borderId="0" xfId="0" applyFont="1" applyFill="1" applyAlignment="1" applyProtection="1">
      <protection locked="0"/>
    </xf>
    <xf numFmtId="0" fontId="99" fillId="5" borderId="0" xfId="0" applyFont="1" applyFill="1" applyAlignment="1" applyProtection="1">
      <alignment horizontal="left"/>
      <protection locked="0"/>
    </xf>
    <xf numFmtId="0" fontId="42" fillId="5" borderId="0" xfId="0" applyFont="1" applyFill="1" applyAlignment="1" applyProtection="1">
      <alignment horizontal="left"/>
      <protection locked="0"/>
    </xf>
    <xf numFmtId="0" fontId="42" fillId="5" borderId="0" xfId="0" applyFont="1" applyFill="1" applyAlignment="1" applyProtection="1">
      <protection locked="0"/>
    </xf>
    <xf numFmtId="0" fontId="43" fillId="5" borderId="0" xfId="0" applyFont="1" applyFill="1" applyAlignment="1" applyProtection="1">
      <alignment horizontal="left" vertical="center"/>
      <protection locked="0"/>
    </xf>
    <xf numFmtId="0" fontId="54" fillId="5" borderId="0" xfId="0" applyFont="1" applyFill="1" applyAlignment="1" applyProtection="1">
      <alignment horizontal="left" vertical="center"/>
      <protection locked="0"/>
    </xf>
    <xf numFmtId="0" fontId="54" fillId="5" borderId="0" xfId="0" applyFont="1" applyFill="1" applyAlignment="1" applyProtection="1">
      <alignment vertical="center"/>
      <protection locked="0"/>
    </xf>
    <xf numFmtId="0" fontId="43" fillId="5" borderId="0" xfId="0" applyFont="1" applyFill="1" applyAlignment="1" applyProtection="1">
      <alignment vertical="center"/>
      <protection locked="0"/>
    </xf>
    <xf numFmtId="0" fontId="54" fillId="8" borderId="0" xfId="0" applyFont="1" applyFill="1" applyAlignment="1" applyProtection="1">
      <alignment vertical="center"/>
    </xf>
    <xf numFmtId="0" fontId="61" fillId="8" borderId="0" xfId="0" applyFont="1" applyFill="1" applyAlignment="1" applyProtection="1">
      <alignment vertical="center"/>
    </xf>
    <xf numFmtId="177" fontId="53" fillId="8" borderId="0" xfId="0" applyNumberFormat="1" applyFont="1" applyFill="1" applyBorder="1" applyAlignment="1" applyProtection="1"/>
    <xf numFmtId="0" fontId="40" fillId="5" borderId="0" xfId="0" applyFont="1" applyFill="1" applyBorder="1" applyAlignment="1" applyProtection="1">
      <alignment horizontal="center" vertical="center"/>
      <protection locked="0"/>
    </xf>
    <xf numFmtId="0" fontId="47" fillId="5" borderId="0" xfId="0" applyFont="1" applyFill="1" applyAlignment="1" applyProtection="1">
      <alignment horizontal="center" vertical="center"/>
      <protection locked="0"/>
    </xf>
    <xf numFmtId="181" fontId="47" fillId="5" borderId="0" xfId="0" applyNumberFormat="1" applyFont="1" applyFill="1" applyAlignment="1" applyProtection="1">
      <alignment horizontal="center" vertical="center"/>
      <protection locked="0"/>
    </xf>
    <xf numFmtId="14" fontId="47" fillId="5" borderId="0" xfId="0" applyNumberFormat="1" applyFont="1" applyFill="1" applyAlignment="1" applyProtection="1">
      <alignment horizontal="center" vertical="center"/>
      <protection locked="0"/>
    </xf>
    <xf numFmtId="189" fontId="47" fillId="5" borderId="0" xfId="0" applyNumberFormat="1" applyFont="1" applyFill="1" applyAlignment="1" applyProtection="1">
      <alignment horizontal="center" vertical="center"/>
      <protection locked="0"/>
    </xf>
    <xf numFmtId="176" fontId="47" fillId="5" borderId="0" xfId="0" applyNumberFormat="1" applyFont="1" applyFill="1" applyAlignment="1" applyProtection="1">
      <alignment horizontal="center" vertical="center"/>
      <protection locked="0"/>
    </xf>
    <xf numFmtId="0" fontId="49" fillId="5" borderId="0" xfId="0" applyFont="1" applyFill="1" applyAlignment="1" applyProtection="1">
      <protection locked="0"/>
    </xf>
    <xf numFmtId="189" fontId="47" fillId="5" borderId="0" xfId="0" applyNumberFormat="1" applyFont="1" applyFill="1" applyBorder="1" applyAlignment="1" applyProtection="1">
      <alignment horizontal="center"/>
      <protection locked="0"/>
    </xf>
    <xf numFmtId="181" fontId="47" fillId="5" borderId="0" xfId="0" applyNumberFormat="1" applyFont="1" applyFill="1" applyBorder="1" applyAlignment="1" applyProtection="1">
      <protection locked="0"/>
    </xf>
    <xf numFmtId="0" fontId="47" fillId="5" borderId="0" xfId="0" applyFont="1" applyFill="1" applyBorder="1" applyAlignment="1" applyProtection="1">
      <protection locked="0"/>
    </xf>
    <xf numFmtId="0" fontId="70" fillId="5" borderId="42" xfId="0" applyNumberFormat="1" applyFont="1" applyFill="1" applyBorder="1" applyAlignment="1" applyProtection="1">
      <alignment vertical="center" wrapText="1"/>
      <protection locked="0"/>
    </xf>
    <xf numFmtId="0" fontId="98" fillId="5" borderId="0" xfId="0" applyFont="1" applyFill="1" applyProtection="1">
      <alignment vertical="center"/>
      <protection locked="0"/>
    </xf>
    <xf numFmtId="0" fontId="99" fillId="5" borderId="0" xfId="0" applyFont="1" applyFill="1" applyProtection="1">
      <alignment vertical="center"/>
      <protection locked="0"/>
    </xf>
    <xf numFmtId="0" fontId="99"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10" fillId="5" borderId="0" xfId="0" applyFont="1" applyFill="1" applyBorder="1" applyAlignment="1" applyProtection="1">
      <alignment vertical="center"/>
      <protection locked="0"/>
    </xf>
    <xf numFmtId="10" fontId="17" fillId="5" borderId="0" xfId="0" applyNumberFormat="1" applyFont="1" applyFill="1" applyBorder="1" applyAlignment="1" applyProtection="1">
      <alignment horizontal="center" vertical="center" wrapText="1"/>
      <protection locked="0"/>
    </xf>
    <xf numFmtId="0" fontId="121" fillId="5" borderId="47" xfId="0" applyFont="1" applyFill="1" applyBorder="1" applyAlignment="1" applyProtection="1">
      <alignment vertical="center"/>
      <protection locked="0"/>
    </xf>
    <xf numFmtId="10" fontId="17"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9" fillId="8" borderId="0" xfId="0" applyFont="1" applyFill="1" applyProtection="1">
      <alignment vertical="center"/>
      <protection locked="0"/>
    </xf>
    <xf numFmtId="0" fontId="99"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8" fillId="0" borderId="0" xfId="0" applyFont="1" applyProtection="1">
      <alignment vertical="center"/>
      <protection locked="0"/>
    </xf>
    <xf numFmtId="0" fontId="99" fillId="0" borderId="0" xfId="0" applyFont="1" applyProtection="1">
      <alignment vertical="center"/>
      <protection locked="0"/>
    </xf>
    <xf numFmtId="0" fontId="99" fillId="0" borderId="0" xfId="0" applyFont="1" applyAlignment="1" applyProtection="1">
      <alignment horizontal="center" vertical="center"/>
      <protection locked="0"/>
    </xf>
    <xf numFmtId="9" fontId="73" fillId="6" borderId="1" xfId="0" applyNumberFormat="1" applyFont="1" applyFill="1" applyBorder="1" applyAlignment="1" applyProtection="1">
      <alignment horizontal="center" vertical="center"/>
      <protection locked="0"/>
    </xf>
    <xf numFmtId="0" fontId="54" fillId="5" borderId="64" xfId="0" applyFont="1" applyFill="1" applyBorder="1" applyAlignment="1" applyProtection="1">
      <alignment vertical="center"/>
      <protection locked="0"/>
    </xf>
    <xf numFmtId="0" fontId="54" fillId="5" borderId="65" xfId="0" applyFont="1" applyFill="1" applyBorder="1" applyAlignment="1" applyProtection="1">
      <alignment vertical="center"/>
      <protection locked="0"/>
    </xf>
    <xf numFmtId="0" fontId="48" fillId="5" borderId="34" xfId="0" applyFont="1" applyFill="1" applyBorder="1" applyAlignment="1" applyProtection="1">
      <alignment horizontal="center" vertical="center"/>
    </xf>
    <xf numFmtId="0" fontId="43" fillId="5" borderId="12" xfId="0" applyFont="1" applyFill="1" applyBorder="1" applyAlignment="1" applyProtection="1">
      <alignment horizontal="right" vertical="center"/>
    </xf>
    <xf numFmtId="0" fontId="43" fillId="5" borderId="79" xfId="0" applyFont="1" applyFill="1" applyBorder="1" applyAlignment="1" applyProtection="1">
      <alignment horizontal="center" vertical="center"/>
    </xf>
    <xf numFmtId="0" fontId="50" fillId="8" borderId="6" xfId="0" applyFont="1" applyFill="1" applyBorder="1" applyAlignment="1" applyProtection="1">
      <alignment horizontal="center" vertical="center"/>
      <protection locked="0"/>
    </xf>
    <xf numFmtId="0" fontId="54" fillId="5" borderId="41" xfId="0" applyFont="1" applyFill="1" applyBorder="1" applyAlignment="1" applyProtection="1">
      <alignment vertical="center"/>
      <protection locked="0"/>
    </xf>
    <xf numFmtId="0" fontId="54" fillId="5" borderId="39" xfId="0" applyFont="1" applyFill="1" applyBorder="1" applyAlignment="1" applyProtection="1">
      <alignment vertical="center"/>
      <protection locked="0"/>
    </xf>
    <xf numFmtId="0" fontId="54" fillId="5" borderId="68" xfId="0" applyFont="1" applyFill="1" applyBorder="1" applyAlignment="1" applyProtection="1">
      <alignment vertical="center"/>
      <protection locked="0"/>
    </xf>
    <xf numFmtId="0" fontId="54" fillId="5" borderId="55" xfId="0" applyFont="1" applyFill="1" applyBorder="1" applyAlignment="1" applyProtection="1">
      <alignment horizontal="center" vertical="center"/>
    </xf>
    <xf numFmtId="49" fontId="55" fillId="5" borderId="7" xfId="1" applyNumberFormat="1" applyFont="1" applyFill="1" applyBorder="1" applyAlignment="1" applyProtection="1">
      <alignment horizontal="left"/>
    </xf>
    <xf numFmtId="49" fontId="50" fillId="5" borderId="7" xfId="0" applyNumberFormat="1" applyFont="1" applyFill="1" applyBorder="1" applyAlignment="1" applyProtection="1">
      <alignment horizontal="left" vertical="center"/>
    </xf>
    <xf numFmtId="49" fontId="43" fillId="5" borderId="7" xfId="0" applyNumberFormat="1" applyFont="1" applyFill="1" applyBorder="1" applyAlignment="1" applyProtection="1">
      <alignment horizontal="center" vertical="center"/>
    </xf>
    <xf numFmtId="0" fontId="43" fillId="5" borderId="7" xfId="1" applyFont="1" applyFill="1" applyBorder="1" applyAlignment="1" applyProtection="1">
      <alignment horizontal="right" vertical="center"/>
    </xf>
    <xf numFmtId="0" fontId="56" fillId="8" borderId="1" xfId="0" applyFont="1" applyFill="1" applyBorder="1" applyProtection="1">
      <alignment vertical="center"/>
      <protection locked="0"/>
    </xf>
    <xf numFmtId="0" fontId="43" fillId="8" borderId="1" xfId="0" applyFont="1" applyFill="1" applyBorder="1" applyProtection="1">
      <alignment vertical="center"/>
      <protection locked="0"/>
    </xf>
    <xf numFmtId="0" fontId="102" fillId="8" borderId="0" xfId="0" applyFont="1" applyFill="1" applyProtection="1">
      <alignment vertical="center"/>
      <protection locked="0"/>
    </xf>
    <xf numFmtId="0" fontId="102" fillId="8" borderId="0" xfId="0" applyFont="1" applyFill="1" applyAlignment="1" applyProtection="1">
      <alignment horizontal="center" vertical="center"/>
      <protection locked="0"/>
    </xf>
    <xf numFmtId="0" fontId="102" fillId="8" borderId="0" xfId="0" applyFont="1" applyFill="1" applyProtection="1">
      <alignment vertical="center"/>
    </xf>
    <xf numFmtId="0" fontId="53" fillId="6" borderId="47" xfId="1" applyFont="1" applyFill="1" applyBorder="1" applyAlignment="1" applyProtection="1">
      <alignment vertical="center"/>
      <protection locked="0"/>
    </xf>
    <xf numFmtId="0" fontId="50" fillId="5" borderId="35" xfId="0" applyNumberFormat="1" applyFont="1" applyFill="1" applyBorder="1" applyAlignment="1" applyProtection="1">
      <alignment vertical="center" wrapText="1"/>
      <protection locked="0"/>
    </xf>
    <xf numFmtId="0" fontId="56" fillId="5" borderId="60" xfId="0" applyNumberFormat="1" applyFont="1" applyFill="1" applyBorder="1" applyAlignment="1" applyProtection="1">
      <alignment vertical="center" textRotation="255" wrapText="1"/>
      <protection locked="0"/>
    </xf>
    <xf numFmtId="0" fontId="56" fillId="5" borderId="60" xfId="0" applyNumberFormat="1" applyFont="1" applyFill="1" applyBorder="1" applyAlignment="1" applyProtection="1">
      <alignment vertical="center" wrapText="1"/>
      <protection locked="0"/>
    </xf>
    <xf numFmtId="0" fontId="48" fillId="5" borderId="60" xfId="0" applyNumberFormat="1" applyFont="1" applyFill="1" applyBorder="1" applyAlignment="1" applyProtection="1">
      <alignment vertical="center" wrapText="1"/>
      <protection locked="0"/>
    </xf>
    <xf numFmtId="0" fontId="43" fillId="10" borderId="4" xfId="0" applyNumberFormat="1" applyFont="1" applyFill="1" applyBorder="1" applyAlignment="1" applyProtection="1">
      <alignment horizontal="center" vertical="center" wrapText="1"/>
      <protection locked="0"/>
    </xf>
    <xf numFmtId="0" fontId="43" fillId="10" borderId="11" xfId="0" applyNumberFormat="1" applyFont="1" applyFill="1" applyBorder="1" applyAlignment="1" applyProtection="1">
      <alignment horizontal="center" vertical="center" wrapText="1"/>
      <protection locked="0"/>
    </xf>
    <xf numFmtId="0" fontId="43" fillId="10" borderId="11" xfId="0" applyNumberFormat="1" applyFont="1" applyFill="1" applyBorder="1" applyAlignment="1" applyProtection="1">
      <alignment horizontal="left" vertical="center" wrapText="1"/>
      <protection locked="0"/>
    </xf>
    <xf numFmtId="0" fontId="43" fillId="10" borderId="13" xfId="0" applyNumberFormat="1" applyFont="1" applyFill="1" applyBorder="1" applyAlignment="1" applyProtection="1">
      <alignment horizontal="center" vertical="center" wrapText="1"/>
      <protection locked="0"/>
    </xf>
    <xf numFmtId="0" fontId="43" fillId="10" borderId="12" xfId="0" applyFont="1" applyFill="1" applyBorder="1" applyAlignment="1" applyProtection="1">
      <alignment horizontal="center" vertical="center"/>
      <protection locked="0"/>
    </xf>
    <xf numFmtId="0" fontId="43" fillId="10" borderId="57" xfId="0" applyNumberFormat="1" applyFont="1" applyFill="1" applyBorder="1" applyAlignment="1" applyProtection="1">
      <alignment horizontal="center" vertical="center" wrapText="1"/>
      <protection locked="0"/>
    </xf>
    <xf numFmtId="0" fontId="43" fillId="10" borderId="57" xfId="0" applyFont="1" applyFill="1" applyBorder="1" applyAlignment="1" applyProtection="1">
      <alignment horizontal="center" vertical="center" wrapText="1"/>
      <protection locked="0"/>
    </xf>
    <xf numFmtId="9" fontId="43" fillId="10" borderId="57" xfId="0" applyNumberFormat="1" applyFont="1" applyFill="1" applyBorder="1" applyAlignment="1" applyProtection="1">
      <alignment horizontal="center" vertical="center" wrapText="1"/>
      <protection locked="0"/>
    </xf>
    <xf numFmtId="0" fontId="43" fillId="10" borderId="57" xfId="0" applyFont="1" applyFill="1" applyBorder="1" applyAlignment="1" applyProtection="1">
      <alignment horizontal="center" vertical="center"/>
      <protection locked="0"/>
    </xf>
    <xf numFmtId="0" fontId="43" fillId="10" borderId="79" xfId="0" applyFont="1" applyFill="1" applyBorder="1" applyAlignment="1" applyProtection="1">
      <alignment horizontal="center" vertical="center"/>
      <protection locked="0"/>
    </xf>
    <xf numFmtId="0" fontId="48" fillId="10" borderId="123" xfId="0" applyNumberFormat="1" applyFont="1" applyFill="1" applyBorder="1" applyAlignment="1" applyProtection="1">
      <alignment vertical="center" wrapText="1"/>
      <protection locked="0"/>
    </xf>
    <xf numFmtId="0" fontId="43" fillId="10" borderId="29" xfId="0" applyNumberFormat="1" applyFont="1" applyFill="1" applyBorder="1" applyAlignment="1" applyProtection="1">
      <alignment horizontal="center" vertical="center" wrapText="1"/>
    </xf>
    <xf numFmtId="0" fontId="43" fillId="10" borderId="8" xfId="0" applyNumberFormat="1" applyFont="1" applyFill="1" applyBorder="1" applyAlignment="1" applyProtection="1">
      <alignment horizontal="center" vertical="center" wrapText="1"/>
      <protection locked="0"/>
    </xf>
    <xf numFmtId="0" fontId="49" fillId="10" borderId="61" xfId="0" applyNumberFormat="1" applyFont="1" applyFill="1" applyBorder="1" applyAlignment="1" applyProtection="1">
      <alignment horizontal="center" vertical="center" wrapText="1"/>
      <protection locked="0"/>
    </xf>
    <xf numFmtId="0" fontId="49" fillId="10" borderId="44" xfId="0" applyNumberFormat="1" applyFont="1" applyFill="1" applyBorder="1" applyAlignment="1" applyProtection="1">
      <alignment horizontal="center" vertical="center" wrapText="1"/>
      <protection locked="0"/>
    </xf>
    <xf numFmtId="0" fontId="49" fillId="10" borderId="62" xfId="0" applyNumberFormat="1" applyFont="1" applyFill="1" applyBorder="1" applyAlignment="1" applyProtection="1">
      <alignment horizontal="center" vertical="center" wrapText="1"/>
      <protection locked="0"/>
    </xf>
    <xf numFmtId="0" fontId="54" fillId="8" borderId="66" xfId="0" applyFont="1" applyFill="1" applyBorder="1" applyAlignment="1" applyProtection="1">
      <alignment vertical="center"/>
      <protection locked="0"/>
    </xf>
    <xf numFmtId="0" fontId="54" fillId="8" borderId="81" xfId="0" applyFont="1" applyFill="1" applyBorder="1" applyAlignment="1" applyProtection="1">
      <alignment horizontal="left" vertical="center"/>
      <protection locked="0"/>
    </xf>
    <xf numFmtId="0" fontId="54" fillId="5" borderId="31" xfId="0" applyFont="1" applyFill="1" applyBorder="1" applyAlignment="1" applyProtection="1">
      <alignment horizontal="center" vertical="center"/>
    </xf>
    <xf numFmtId="0" fontId="54" fillId="0" borderId="6" xfId="0" applyFont="1" applyFill="1" applyBorder="1" applyAlignment="1" applyProtection="1">
      <alignment horizontal="center" vertical="center"/>
      <protection locked="0"/>
    </xf>
    <xf numFmtId="0" fontId="130" fillId="5" borderId="6" xfId="0" applyFont="1" applyFill="1" applyBorder="1" applyAlignment="1" applyProtection="1">
      <alignment horizontal="center"/>
    </xf>
    <xf numFmtId="0" fontId="54" fillId="5" borderId="6" xfId="0" applyNumberFormat="1" applyFont="1" applyFill="1" applyBorder="1" applyAlignment="1" applyProtection="1">
      <alignment horizontal="center" vertical="center"/>
    </xf>
    <xf numFmtId="194" fontId="54" fillId="5" borderId="6" xfId="0" applyNumberFormat="1" applyFont="1" applyFill="1" applyBorder="1" applyAlignment="1" applyProtection="1">
      <alignment horizontal="center" vertical="center"/>
    </xf>
    <xf numFmtId="10" fontId="54" fillId="0" borderId="43" xfId="0" applyNumberFormat="1" applyFont="1" applyFill="1" applyBorder="1" applyAlignment="1" applyProtection="1">
      <alignment horizontal="center" vertical="center"/>
      <protection locked="0"/>
    </xf>
    <xf numFmtId="0" fontId="54" fillId="5" borderId="84" xfId="0" applyFont="1" applyFill="1" applyBorder="1" applyAlignment="1" applyProtection="1">
      <alignment horizontal="center" vertical="center"/>
    </xf>
    <xf numFmtId="0" fontId="54" fillId="6" borderId="38" xfId="0" applyFont="1" applyFill="1" applyBorder="1" applyAlignment="1" applyProtection="1">
      <alignment horizontal="center" vertical="center"/>
      <protection locked="0"/>
    </xf>
    <xf numFmtId="0" fontId="54" fillId="5" borderId="43"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6" borderId="0" xfId="0" applyFont="1" applyFill="1" applyAlignment="1" applyProtection="1">
      <alignment horizontal="center" vertical="center"/>
      <protection locked="0"/>
    </xf>
    <xf numFmtId="181" fontId="48" fillId="0" borderId="6" xfId="0" applyNumberFormat="1" applyFont="1" applyFill="1" applyBorder="1" applyAlignment="1" applyProtection="1">
      <alignment horizontal="center" vertical="center"/>
      <protection locked="0"/>
    </xf>
    <xf numFmtId="0" fontId="133" fillId="5" borderId="82" xfId="0" applyFont="1" applyFill="1" applyBorder="1" applyAlignment="1" applyProtection="1">
      <alignment horizontal="center" vertical="center"/>
    </xf>
    <xf numFmtId="0" fontId="54" fillId="5" borderId="0" xfId="0" applyFont="1" applyFill="1" applyAlignment="1" applyProtection="1">
      <alignment horizontal="center" vertical="center"/>
    </xf>
    <xf numFmtId="0" fontId="60" fillId="8" borderId="0" xfId="0" applyFont="1" applyFill="1" applyAlignment="1" applyProtection="1">
      <alignment horizontal="center" vertical="center"/>
      <protection locked="0"/>
    </xf>
    <xf numFmtId="0" fontId="61" fillId="8" borderId="0" xfId="0" applyFont="1" applyFill="1" applyAlignment="1" applyProtection="1">
      <alignment horizontal="center" vertical="center"/>
      <protection locked="0"/>
    </xf>
    <xf numFmtId="0" fontId="140" fillId="5" borderId="0" xfId="0" applyFont="1" applyFill="1" applyAlignment="1" applyProtection="1">
      <alignment vertical="center"/>
    </xf>
    <xf numFmtId="0" fontId="54" fillId="5" borderId="0" xfId="0" applyFont="1" applyFill="1" applyAlignment="1" applyProtection="1">
      <alignment vertical="center"/>
    </xf>
    <xf numFmtId="0" fontId="130" fillId="5" borderId="82" xfId="0" applyFont="1" applyFill="1" applyBorder="1" applyAlignment="1" applyProtection="1">
      <alignment vertical="center" wrapText="1"/>
    </xf>
    <xf numFmtId="0" fontId="130" fillId="5" borderId="81" xfId="0" applyFont="1" applyFill="1" applyBorder="1" applyAlignment="1" applyProtection="1">
      <alignment vertical="center"/>
    </xf>
    <xf numFmtId="0" fontId="130" fillId="5" borderId="81" xfId="0" applyFont="1" applyFill="1" applyBorder="1" applyAlignment="1" applyProtection="1">
      <alignment horizontal="center" vertical="center" wrapText="1"/>
    </xf>
    <xf numFmtId="0" fontId="130" fillId="5" borderId="81" xfId="0" applyFont="1" applyFill="1" applyBorder="1" applyAlignment="1" applyProtection="1">
      <alignment vertical="center" wrapText="1"/>
    </xf>
    <xf numFmtId="0" fontId="130" fillId="5" borderId="78" xfId="0" applyFont="1" applyFill="1" applyBorder="1" applyAlignment="1" applyProtection="1">
      <alignment vertical="center" wrapText="1"/>
    </xf>
    <xf numFmtId="0" fontId="130" fillId="5" borderId="30" xfId="0" applyFont="1" applyFill="1" applyBorder="1" applyAlignment="1" applyProtection="1">
      <alignment vertical="center"/>
    </xf>
    <xf numFmtId="0" fontId="130" fillId="5" borderId="30" xfId="0"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30" fillId="5" borderId="78" xfId="0" applyFont="1" applyFill="1" applyBorder="1" applyAlignment="1" applyProtection="1">
      <alignment horizontal="right" vertical="center" wrapText="1"/>
    </xf>
    <xf numFmtId="10" fontId="130" fillId="5" borderId="30" xfId="0" applyNumberFormat="1" applyFont="1" applyFill="1" applyBorder="1" applyAlignment="1" applyProtection="1">
      <alignment horizontal="center" vertical="center" wrapText="1"/>
    </xf>
    <xf numFmtId="194" fontId="130" fillId="5" borderId="30" xfId="0" applyNumberFormat="1" applyFont="1" applyFill="1" applyBorder="1" applyAlignment="1" applyProtection="1">
      <alignment horizontal="center" vertical="center" wrapText="1"/>
    </xf>
    <xf numFmtId="0" fontId="131" fillId="5" borderId="30" xfId="0" applyFont="1" applyFill="1" applyBorder="1" applyAlignment="1" applyProtection="1">
      <alignment vertical="center" wrapText="1"/>
    </xf>
    <xf numFmtId="0" fontId="105" fillId="5" borderId="30" xfId="0" applyFont="1" applyFill="1" applyBorder="1" applyAlignment="1" applyProtection="1">
      <alignment vertical="center"/>
    </xf>
    <xf numFmtId="0" fontId="54" fillId="5" borderId="53" xfId="0" applyFont="1" applyFill="1" applyBorder="1" applyAlignment="1" applyProtection="1">
      <alignment vertical="center"/>
      <protection locked="0"/>
    </xf>
    <xf numFmtId="49" fontId="43" fillId="5" borderId="16" xfId="0" applyNumberFormat="1" applyFont="1" applyFill="1" applyBorder="1" applyAlignment="1" applyProtection="1">
      <alignment horizontal="left" vertical="center"/>
    </xf>
    <xf numFmtId="0" fontId="48" fillId="5" borderId="27" xfId="0" applyFont="1" applyFill="1" applyBorder="1" applyAlignment="1" applyProtection="1">
      <alignment horizontal="center" vertical="center"/>
    </xf>
    <xf numFmtId="0" fontId="48" fillId="5" borderId="64" xfId="0" applyFont="1" applyFill="1" applyBorder="1" applyAlignment="1" applyProtection="1">
      <alignment horizontal="center" vertical="center"/>
    </xf>
    <xf numFmtId="49" fontId="43" fillId="5" borderId="23" xfId="0" applyNumberFormat="1" applyFont="1" applyFill="1" applyBorder="1" applyAlignment="1" applyProtection="1">
      <alignment horizontal="left" vertical="center"/>
    </xf>
    <xf numFmtId="49" fontId="43" fillId="5" borderId="65" xfId="0" applyNumberFormat="1" applyFont="1" applyFill="1" applyBorder="1" applyAlignment="1" applyProtection="1">
      <alignment vertical="center"/>
    </xf>
    <xf numFmtId="0" fontId="17" fillId="0" borderId="1" xfId="0" applyFont="1" applyFill="1" applyBorder="1" applyAlignment="1">
      <alignment horizontal="center" vertical="center"/>
    </xf>
    <xf numFmtId="177" fontId="17" fillId="0" borderId="6" xfId="0" applyNumberFormat="1" applyFont="1" applyFill="1" applyBorder="1" applyAlignment="1">
      <alignment horizontal="center" vertical="center"/>
    </xf>
    <xf numFmtId="0" fontId="139" fillId="0" borderId="1" xfId="0" applyFont="1" applyFill="1" applyBorder="1" applyAlignment="1">
      <alignment horizontal="center" vertical="center"/>
    </xf>
    <xf numFmtId="9" fontId="17" fillId="0" borderId="1" xfId="0" applyNumberFormat="1" applyFont="1" applyFill="1" applyBorder="1" applyAlignment="1">
      <alignment horizontal="center" vertical="center"/>
    </xf>
    <xf numFmtId="177" fontId="17" fillId="0" borderId="1" xfId="0" applyNumberFormat="1" applyFont="1" applyFill="1" applyBorder="1" applyAlignment="1">
      <alignment horizontal="center" vertical="center"/>
    </xf>
    <xf numFmtId="0" fontId="17" fillId="0" borderId="6" xfId="0" applyFont="1" applyFill="1" applyBorder="1" applyAlignment="1">
      <alignment horizontal="center" vertical="center"/>
    </xf>
    <xf numFmtId="0" fontId="148" fillId="0" borderId="1" xfId="0" applyFont="1" applyFill="1" applyBorder="1" applyAlignment="1">
      <alignment horizontal="center" vertical="center"/>
    </xf>
    <xf numFmtId="9" fontId="137" fillId="0" borderId="1" xfId="0" applyNumberFormat="1" applyFont="1" applyFill="1" applyBorder="1" applyAlignment="1">
      <alignment horizontal="center" vertical="center"/>
    </xf>
    <xf numFmtId="177" fontId="137" fillId="0" borderId="1" xfId="0" applyNumberFormat="1" applyFont="1" applyFill="1" applyBorder="1" applyAlignment="1">
      <alignment horizontal="center" vertical="center"/>
    </xf>
    <xf numFmtId="0" fontId="137" fillId="0" borderId="6" xfId="0" applyFont="1" applyFill="1" applyBorder="1" applyAlignment="1">
      <alignment horizontal="center" vertical="center"/>
    </xf>
    <xf numFmtId="0" fontId="31" fillId="0" borderId="1" xfId="0" applyFont="1" applyFill="1" applyBorder="1" applyAlignment="1">
      <alignment horizontal="center" vertical="center"/>
    </xf>
    <xf numFmtId="0" fontId="0" fillId="0" borderId="1" xfId="0" applyFill="1" applyBorder="1" applyAlignment="1">
      <alignment vertical="center"/>
    </xf>
    <xf numFmtId="0" fontId="148" fillId="0" borderId="6" xfId="0" applyFont="1" applyFill="1" applyBorder="1" applyAlignment="1">
      <alignment horizontal="center" vertical="center"/>
    </xf>
    <xf numFmtId="0" fontId="139" fillId="0" borderId="1" xfId="0" applyFont="1" applyFill="1" applyBorder="1" applyAlignment="1">
      <alignment horizontal="center" vertical="center" wrapText="1"/>
    </xf>
    <xf numFmtId="0" fontId="31" fillId="0" borderId="1" xfId="0" applyFont="1" applyFill="1" applyBorder="1" applyAlignment="1">
      <alignment vertical="center"/>
    </xf>
    <xf numFmtId="0" fontId="139" fillId="0" borderId="6" xfId="0" applyFont="1" applyFill="1" applyBorder="1" applyAlignment="1">
      <alignment horizontal="center" vertical="center"/>
    </xf>
    <xf numFmtId="9" fontId="148" fillId="0" borderId="1" xfId="0" applyNumberFormat="1" applyFont="1" applyFill="1" applyBorder="1" applyAlignment="1">
      <alignment horizontal="center" vertical="center"/>
    </xf>
    <xf numFmtId="0" fontId="139" fillId="0" borderId="1" xfId="0" applyFont="1" applyBorder="1" applyAlignment="1">
      <alignment horizontal="center" vertical="center"/>
    </xf>
    <xf numFmtId="9" fontId="139" fillId="0" borderId="1" xfId="0" applyNumberFormat="1" applyFont="1" applyBorder="1" applyAlignment="1">
      <alignment horizontal="center" vertical="center"/>
    </xf>
    <xf numFmtId="0" fontId="148" fillId="0" borderId="61" xfId="0" applyFont="1" applyFill="1" applyBorder="1" applyAlignment="1">
      <alignment horizontal="center" vertical="center"/>
    </xf>
    <xf numFmtId="9" fontId="148" fillId="0" borderId="61" xfId="0" applyNumberFormat="1" applyFont="1" applyFill="1" applyBorder="1" applyAlignment="1">
      <alignment horizontal="center" vertical="center"/>
    </xf>
    <xf numFmtId="177" fontId="148" fillId="0" borderId="61" xfId="0" applyNumberFormat="1" applyFont="1" applyFill="1" applyBorder="1" applyAlignment="1">
      <alignment horizontal="center" vertical="center"/>
    </xf>
    <xf numFmtId="0" fontId="137" fillId="0" borderId="43" xfId="0" applyFont="1" applyFill="1" applyBorder="1" applyAlignment="1">
      <alignment horizontal="center" vertical="center"/>
    </xf>
    <xf numFmtId="0" fontId="148" fillId="11" borderId="1" xfId="0" applyFont="1" applyFill="1" applyBorder="1" applyAlignment="1">
      <alignment vertical="center"/>
    </xf>
    <xf numFmtId="0" fontId="17" fillId="0" borderId="1" xfId="0" applyFont="1" applyBorder="1" applyAlignment="1">
      <alignment horizontal="center"/>
    </xf>
    <xf numFmtId="0" fontId="17" fillId="0" borderId="1" xfId="0" applyFont="1" applyBorder="1" applyAlignment="1"/>
    <xf numFmtId="49" fontId="17" fillId="0" borderId="1" xfId="0" applyNumberFormat="1" applyFont="1" applyBorder="1" applyAlignment="1">
      <alignment horizontal="center"/>
    </xf>
    <xf numFmtId="9" fontId="17" fillId="0" borderId="1" xfId="0" applyNumberFormat="1" applyFont="1" applyBorder="1" applyAlignment="1"/>
    <xf numFmtId="0" fontId="17" fillId="0" borderId="1" xfId="0" applyFont="1" applyFill="1" applyBorder="1" applyAlignment="1">
      <alignment horizontal="center"/>
    </xf>
    <xf numFmtId="0" fontId="48" fillId="5" borderId="1" xfId="0" applyFont="1" applyFill="1" applyBorder="1" applyAlignment="1" applyProtection="1">
      <alignment horizontal="center" vertical="center"/>
      <protection locked="0"/>
    </xf>
    <xf numFmtId="49" fontId="48" fillId="5" borderId="23" xfId="0" applyNumberFormat="1" applyFont="1" applyFill="1" applyBorder="1" applyAlignment="1" applyProtection="1">
      <alignment horizontal="left" vertical="center"/>
    </xf>
    <xf numFmtId="0" fontId="48" fillId="5" borderId="17" xfId="0" applyFont="1" applyFill="1" applyBorder="1" applyAlignment="1" applyProtection="1">
      <alignment horizontal="left" vertical="center"/>
    </xf>
    <xf numFmtId="0" fontId="43" fillId="5" borderId="49" xfId="0" applyFont="1" applyFill="1" applyBorder="1" applyAlignment="1" applyProtection="1">
      <alignment horizontal="left" vertical="center"/>
    </xf>
    <xf numFmtId="181" fontId="43" fillId="5" borderId="50" xfId="0" applyNumberFormat="1" applyFont="1" applyFill="1" applyBorder="1" applyAlignment="1" applyProtection="1">
      <alignment horizontal="center" vertical="center"/>
    </xf>
    <xf numFmtId="49" fontId="43" fillId="5" borderId="124" xfId="0" applyNumberFormat="1" applyFont="1" applyFill="1" applyBorder="1" applyAlignment="1" applyProtection="1">
      <alignment vertical="center"/>
    </xf>
    <xf numFmtId="0" fontId="48" fillId="0" borderId="75" xfId="0" applyFont="1" applyFill="1" applyBorder="1" applyAlignment="1" applyProtection="1">
      <alignment horizontal="center" vertical="center"/>
      <protection locked="0"/>
    </xf>
    <xf numFmtId="181" fontId="48" fillId="5" borderId="76" xfId="0" applyNumberFormat="1" applyFont="1" applyFill="1" applyBorder="1" applyAlignment="1" applyProtection="1">
      <alignment horizontal="center" vertical="center"/>
    </xf>
    <xf numFmtId="0" fontId="43" fillId="5" borderId="64" xfId="0" applyFont="1" applyFill="1" applyBorder="1" applyAlignment="1" applyProtection="1">
      <alignment horizontal="left" vertical="center"/>
    </xf>
    <xf numFmtId="0" fontId="43" fillId="5" borderId="65" xfId="0" applyFont="1" applyFill="1" applyBorder="1" applyAlignment="1" applyProtection="1">
      <alignment horizontal="center" vertical="center"/>
    </xf>
    <xf numFmtId="0" fontId="43" fillId="5" borderId="68" xfId="0" applyFont="1" applyFill="1" applyBorder="1" applyAlignment="1" applyProtection="1">
      <alignment horizontal="center" vertical="center"/>
    </xf>
    <xf numFmtId="49" fontId="43" fillId="5" borderId="124" xfId="0" applyNumberFormat="1" applyFont="1" applyFill="1" applyBorder="1" applyAlignment="1" applyProtection="1">
      <alignment horizontal="left" vertical="center"/>
    </xf>
    <xf numFmtId="0" fontId="43" fillId="5" borderId="75" xfId="0" applyFont="1" applyFill="1" applyBorder="1" applyAlignment="1" applyProtection="1">
      <alignment horizontal="left" vertical="center"/>
    </xf>
    <xf numFmtId="0" fontId="43" fillId="5" borderId="75" xfId="0" applyFont="1" applyFill="1" applyBorder="1" applyAlignment="1" applyProtection="1">
      <alignment horizontal="center" vertical="center"/>
    </xf>
    <xf numFmtId="0" fontId="43" fillId="5" borderId="75" xfId="0" applyFont="1" applyFill="1" applyBorder="1" applyAlignment="1" applyProtection="1">
      <alignment horizontal="left" vertical="center" wrapText="1"/>
    </xf>
    <xf numFmtId="181" fontId="43" fillId="5" borderId="76" xfId="0" applyNumberFormat="1" applyFont="1" applyFill="1" applyBorder="1" applyAlignment="1" applyProtection="1">
      <alignment horizontal="center" vertical="center"/>
    </xf>
    <xf numFmtId="0" fontId="48" fillId="5" borderId="17" xfId="0" applyFont="1" applyFill="1" applyBorder="1" applyAlignment="1" applyProtection="1">
      <alignment horizontal="left" vertical="center" wrapText="1"/>
    </xf>
    <xf numFmtId="0" fontId="43" fillId="5" borderId="64" xfId="0" applyFont="1" applyFill="1" applyBorder="1" applyAlignment="1" applyProtection="1">
      <alignment horizontal="left" vertical="center" wrapText="1"/>
    </xf>
    <xf numFmtId="0" fontId="43" fillId="5" borderId="65" xfId="0" applyFont="1" applyFill="1" applyBorder="1" applyAlignment="1" applyProtection="1">
      <alignment horizontal="center" vertical="center" wrapText="1"/>
    </xf>
    <xf numFmtId="0" fontId="43" fillId="5" borderId="68" xfId="0" applyFont="1" applyFill="1" applyBorder="1" applyAlignment="1" applyProtection="1">
      <alignment horizontal="center" vertical="center" wrapText="1"/>
    </xf>
    <xf numFmtId="0" fontId="57" fillId="5" borderId="65" xfId="0" applyFont="1" applyFill="1" applyBorder="1" applyAlignment="1" applyProtection="1">
      <alignment vertical="center"/>
    </xf>
    <xf numFmtId="0" fontId="57" fillId="5" borderId="68" xfId="0" applyFont="1" applyFill="1" applyBorder="1" applyAlignment="1" applyProtection="1">
      <alignment vertical="center"/>
    </xf>
    <xf numFmtId="0" fontId="43" fillId="5" borderId="85" xfId="0" applyFont="1" applyFill="1" applyBorder="1" applyAlignment="1" applyProtection="1">
      <alignment vertical="center"/>
    </xf>
    <xf numFmtId="181" fontId="48" fillId="5" borderId="125" xfId="0" applyNumberFormat="1" applyFont="1" applyFill="1" applyBorder="1" applyAlignment="1" applyProtection="1">
      <alignment horizontal="center" vertical="center"/>
    </xf>
    <xf numFmtId="181" fontId="48" fillId="5" borderId="75" xfId="0" applyNumberFormat="1" applyFont="1" applyFill="1" applyBorder="1" applyAlignment="1" applyProtection="1">
      <alignment horizontal="center" vertical="center"/>
    </xf>
    <xf numFmtId="0" fontId="43" fillId="5" borderId="85" xfId="0" applyFont="1" applyFill="1" applyBorder="1" applyAlignment="1" applyProtection="1">
      <alignment horizontal="left" vertical="center"/>
    </xf>
    <xf numFmtId="0" fontId="57" fillId="5" borderId="126" xfId="0" applyFont="1" applyFill="1" applyBorder="1" applyAlignment="1" applyProtection="1">
      <alignment vertical="center"/>
    </xf>
    <xf numFmtId="0" fontId="57" fillId="5" borderId="125" xfId="0" applyFont="1" applyFill="1" applyBorder="1" applyAlignment="1" applyProtection="1">
      <alignment vertical="center"/>
    </xf>
    <xf numFmtId="49" fontId="43" fillId="5" borderId="26" xfId="0" applyNumberFormat="1" applyFont="1" applyFill="1" applyBorder="1" applyAlignment="1" applyProtection="1">
      <alignment vertical="center"/>
    </xf>
    <xf numFmtId="186" fontId="43" fillId="5" borderId="1" xfId="0" applyNumberFormat="1" applyFont="1" applyFill="1" applyBorder="1" applyAlignment="1" applyProtection="1">
      <alignment horizontal="center"/>
      <protection locked="0"/>
    </xf>
    <xf numFmtId="186" fontId="43" fillId="5" borderId="6" xfId="0" applyNumberFormat="1" applyFont="1" applyFill="1" applyBorder="1" applyAlignment="1" applyProtection="1">
      <alignment horizontal="center"/>
      <protection locked="0"/>
    </xf>
    <xf numFmtId="186" fontId="102" fillId="5" borderId="1" xfId="0" applyNumberFormat="1" applyFont="1" applyFill="1" applyBorder="1" applyAlignment="1" applyProtection="1">
      <alignment horizontal="center"/>
      <protection locked="0"/>
    </xf>
    <xf numFmtId="186" fontId="42" fillId="5" borderId="13" xfId="0" applyNumberFormat="1" applyFont="1" applyFill="1" applyBorder="1" applyAlignment="1" applyProtection="1">
      <alignment horizontal="center"/>
    </xf>
    <xf numFmtId="0" fontId="41" fillId="6" borderId="0" xfId="1" applyFont="1" applyFill="1" applyBorder="1" applyAlignment="1" applyProtection="1">
      <alignment vertical="center"/>
      <protection locked="0"/>
    </xf>
    <xf numFmtId="178" fontId="49" fillId="5" borderId="1" xfId="0" applyNumberFormat="1" applyFont="1" applyFill="1" applyBorder="1" applyAlignment="1" applyProtection="1">
      <alignment horizontal="center" vertical="center"/>
    </xf>
    <xf numFmtId="0" fontId="42" fillId="5" borderId="21" xfId="0" applyNumberFormat="1" applyFont="1" applyFill="1" applyBorder="1" applyAlignment="1" applyProtection="1">
      <alignment vertical="center"/>
    </xf>
    <xf numFmtId="49" fontId="43" fillId="5" borderId="26" xfId="0" applyNumberFormat="1" applyFont="1" applyFill="1" applyBorder="1" applyAlignment="1" applyProtection="1">
      <alignment horizontal="center" vertical="center"/>
    </xf>
    <xf numFmtId="0" fontId="43" fillId="5" borderId="49" xfId="0" applyFont="1" applyFill="1" applyBorder="1" applyAlignment="1" applyProtection="1">
      <alignment horizontal="center" vertical="center"/>
    </xf>
    <xf numFmtId="0" fontId="43" fillId="5" borderId="60" xfId="0" applyFont="1" applyFill="1" applyBorder="1" applyAlignment="1" applyProtection="1">
      <alignment horizontal="center" vertical="center"/>
    </xf>
    <xf numFmtId="0" fontId="47" fillId="5" borderId="33" xfId="0" applyNumberFormat="1" applyFont="1" applyFill="1" applyBorder="1" applyAlignment="1" applyProtection="1">
      <alignment horizontal="center" vertical="center" wrapText="1"/>
    </xf>
    <xf numFmtId="49" fontId="47" fillId="2" borderId="25" xfId="0" applyNumberFormat="1" applyFont="1" applyFill="1" applyBorder="1" applyAlignment="1" applyProtection="1">
      <alignment horizontal="center" vertical="center" wrapText="1"/>
      <protection locked="0"/>
    </xf>
    <xf numFmtId="0" fontId="54" fillId="5" borderId="26" xfId="0" applyNumberFormat="1" applyFont="1" applyFill="1" applyBorder="1" applyAlignment="1" applyProtection="1">
      <alignment horizontal="center" vertical="center" wrapText="1"/>
    </xf>
    <xf numFmtId="49" fontId="47" fillId="2" borderId="65" xfId="0" applyNumberFormat="1" applyFont="1" applyFill="1" applyBorder="1" applyAlignment="1" applyProtection="1">
      <alignment horizontal="center" vertical="center" wrapText="1"/>
      <protection locked="0"/>
    </xf>
    <xf numFmtId="49" fontId="47" fillId="2" borderId="0" xfId="0" applyNumberFormat="1" applyFont="1" applyFill="1" applyBorder="1" applyAlignment="1" applyProtection="1">
      <alignment horizontal="center" vertical="center" wrapText="1"/>
      <protection locked="0"/>
    </xf>
    <xf numFmtId="0" fontId="47" fillId="2" borderId="24" xfId="0" applyNumberFormat="1" applyFont="1" applyFill="1" applyBorder="1" applyAlignment="1" applyProtection="1">
      <alignment horizontal="center" vertical="center" wrapText="1"/>
      <protection locked="0"/>
    </xf>
    <xf numFmtId="0" fontId="40" fillId="0" borderId="24" xfId="0" applyNumberFormat="1" applyFont="1" applyFill="1" applyBorder="1" applyAlignment="1" applyProtection="1">
      <alignment horizontal="center" vertical="center" wrapText="1"/>
      <protection locked="0"/>
    </xf>
    <xf numFmtId="0" fontId="47" fillId="5" borderId="10" xfId="0" applyNumberFormat="1" applyFont="1" applyFill="1" applyBorder="1" applyAlignment="1" applyProtection="1">
      <alignment horizontal="center" vertical="center" wrapText="1"/>
    </xf>
    <xf numFmtId="0" fontId="47" fillId="5" borderId="45" xfId="0" applyNumberFormat="1" applyFont="1" applyFill="1" applyBorder="1" applyAlignment="1" applyProtection="1">
      <alignment horizontal="center" vertical="center" wrapText="1"/>
    </xf>
    <xf numFmtId="0" fontId="47" fillId="5" borderId="77" xfId="0" applyNumberFormat="1" applyFont="1" applyFill="1" applyBorder="1" applyAlignment="1" applyProtection="1">
      <alignment horizontal="center" vertical="center" wrapText="1"/>
    </xf>
    <xf numFmtId="0" fontId="47" fillId="5" borderId="69" xfId="0" applyNumberFormat="1" applyFont="1" applyFill="1" applyBorder="1" applyAlignment="1" applyProtection="1">
      <alignment horizontal="center" vertical="center" wrapText="1"/>
    </xf>
    <xf numFmtId="0" fontId="47" fillId="5" borderId="86" xfId="0" applyNumberFormat="1" applyFont="1" applyFill="1" applyBorder="1" applyAlignment="1" applyProtection="1">
      <alignment horizontal="center" vertical="center" wrapText="1"/>
    </xf>
    <xf numFmtId="0" fontId="40" fillId="5" borderId="78" xfId="0" applyNumberFormat="1" applyFont="1" applyFill="1" applyBorder="1" applyAlignment="1" applyProtection="1">
      <alignment horizontal="center" vertical="center" wrapText="1"/>
    </xf>
    <xf numFmtId="0" fontId="47" fillId="5" borderId="37" xfId="0" applyNumberFormat="1" applyFont="1" applyFill="1" applyBorder="1" applyAlignment="1" applyProtection="1">
      <alignment horizontal="center" vertical="center" wrapText="1"/>
    </xf>
    <xf numFmtId="0" fontId="47" fillId="2" borderId="65" xfId="0" applyNumberFormat="1" applyFont="1" applyFill="1" applyBorder="1" applyAlignment="1" applyProtection="1">
      <alignment horizontal="center" vertical="center" wrapText="1"/>
      <protection locked="0"/>
    </xf>
    <xf numFmtId="0" fontId="47" fillId="5" borderId="36" xfId="0" applyNumberFormat="1" applyFont="1" applyFill="1" applyBorder="1" applyAlignment="1" applyProtection="1">
      <alignment horizontal="center" vertical="center" wrapText="1"/>
    </xf>
    <xf numFmtId="0" fontId="40" fillId="0" borderId="6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2" fillId="5" borderId="29" xfId="0" applyFont="1" applyFill="1" applyBorder="1" applyAlignment="1" applyProtection="1">
      <alignment vertical="center" wrapText="1"/>
    </xf>
    <xf numFmtId="0" fontId="45" fillId="5" borderId="50" xfId="0" applyNumberFormat="1" applyFont="1" applyFill="1" applyBorder="1" applyAlignment="1" applyProtection="1">
      <alignment horizontal="center" vertical="center" wrapText="1"/>
    </xf>
    <xf numFmtId="0" fontId="47" fillId="5" borderId="19" xfId="0" applyNumberFormat="1" applyFont="1" applyFill="1" applyBorder="1" applyAlignment="1" applyProtection="1">
      <alignment horizontal="center" vertical="center" wrapText="1"/>
    </xf>
    <xf numFmtId="0" fontId="50" fillId="5" borderId="17" xfId="0" applyFont="1" applyFill="1" applyBorder="1" applyAlignment="1" applyProtection="1">
      <alignment horizontal="center" vertical="center"/>
    </xf>
    <xf numFmtId="0" fontId="54" fillId="5" borderId="125" xfId="0" applyFont="1" applyFill="1" applyBorder="1" applyAlignment="1" applyProtection="1">
      <alignment vertical="center"/>
      <protection locked="0"/>
    </xf>
    <xf numFmtId="0" fontId="46" fillId="5" borderId="46" xfId="0" applyNumberFormat="1" applyFont="1" applyFill="1" applyBorder="1" applyAlignment="1" applyProtection="1">
      <alignment horizontal="right" vertical="center" wrapText="1"/>
    </xf>
    <xf numFmtId="0" fontId="46" fillId="5" borderId="38" xfId="0" applyNumberFormat="1" applyFont="1" applyFill="1" applyBorder="1" applyAlignment="1" applyProtection="1">
      <alignment vertical="center" wrapText="1"/>
    </xf>
    <xf numFmtId="0" fontId="71" fillId="3" borderId="47" xfId="0" applyNumberFormat="1" applyFont="1" applyFill="1" applyBorder="1" applyAlignment="1" applyProtection="1">
      <alignment vertical="center" wrapText="1"/>
      <protection locked="0"/>
    </xf>
    <xf numFmtId="0" fontId="71" fillId="5" borderId="47" xfId="0" applyNumberFormat="1" applyFont="1" applyFill="1" applyBorder="1" applyAlignment="1" applyProtection="1">
      <alignment vertical="center" wrapText="1"/>
    </xf>
    <xf numFmtId="0" fontId="71" fillId="3" borderId="46" xfId="0" applyNumberFormat="1" applyFont="1" applyFill="1" applyBorder="1" applyAlignment="1" applyProtection="1">
      <alignment vertical="center" wrapText="1"/>
      <protection locked="0"/>
    </xf>
    <xf numFmtId="0" fontId="71" fillId="5" borderId="38" xfId="0" applyNumberFormat="1" applyFont="1" applyFill="1" applyBorder="1" applyAlignment="1" applyProtection="1">
      <alignment vertical="center" wrapText="1"/>
    </xf>
    <xf numFmtId="0" fontId="46" fillId="5" borderId="20" xfId="0" applyNumberFormat="1" applyFont="1" applyFill="1" applyBorder="1" applyAlignment="1" applyProtection="1">
      <alignment vertical="center" wrapText="1"/>
    </xf>
    <xf numFmtId="0" fontId="46" fillId="5" borderId="48" xfId="0" applyNumberFormat="1" applyFont="1" applyFill="1" applyBorder="1" applyAlignment="1" applyProtection="1">
      <alignment vertical="center" wrapText="1"/>
    </xf>
    <xf numFmtId="0" fontId="46" fillId="5" borderId="40" xfId="0" applyNumberFormat="1" applyFont="1" applyFill="1" applyBorder="1" applyAlignment="1" applyProtection="1">
      <alignment vertical="center" wrapText="1"/>
    </xf>
    <xf numFmtId="9" fontId="40" fillId="5" borderId="0" xfId="0" applyNumberFormat="1" applyFont="1" applyFill="1" applyBorder="1" applyAlignment="1" applyProtection="1">
      <alignment horizontal="center" vertical="center" wrapText="1"/>
    </xf>
    <xf numFmtId="0" fontId="52" fillId="5" borderId="0" xfId="0" applyFont="1" applyFill="1" applyBorder="1" applyAlignment="1" applyProtection="1">
      <protection locked="0"/>
    </xf>
    <xf numFmtId="0" fontId="47" fillId="5" borderId="0" xfId="0" applyFont="1" applyFill="1" applyBorder="1" applyAlignment="1" applyProtection="1">
      <alignment horizontal="center"/>
      <protection locked="0"/>
    </xf>
    <xf numFmtId="177" fontId="49" fillId="0" borderId="1" xfId="1" applyNumberFormat="1" applyFont="1" applyFill="1" applyBorder="1" applyAlignment="1" applyProtection="1">
      <alignment horizontal="center" vertical="center"/>
      <protection locked="0"/>
    </xf>
    <xf numFmtId="0" fontId="50" fillId="5" borderId="1" xfId="1" applyFont="1" applyFill="1" applyBorder="1" applyAlignment="1" applyProtection="1">
      <alignment horizontal="center" vertical="center"/>
    </xf>
    <xf numFmtId="179" fontId="49" fillId="5" borderId="1" xfId="1" applyNumberFormat="1" applyFont="1" applyFill="1" applyBorder="1" applyAlignment="1" applyProtection="1">
      <alignment horizontal="center" vertical="center"/>
    </xf>
    <xf numFmtId="0" fontId="49" fillId="5" borderId="1" xfId="1" applyFont="1" applyFill="1" applyBorder="1" applyAlignment="1" applyProtection="1">
      <alignment horizontal="center" vertical="center"/>
    </xf>
    <xf numFmtId="10" fontId="49" fillId="5" borderId="1" xfId="1" applyNumberFormat="1" applyFont="1" applyFill="1" applyBorder="1" applyAlignment="1" applyProtection="1">
      <alignment horizontal="center" vertical="center"/>
    </xf>
    <xf numFmtId="177" fontId="49" fillId="5" borderId="1" xfId="1" applyNumberFormat="1" applyFont="1" applyFill="1" applyBorder="1" applyAlignment="1" applyProtection="1">
      <alignment vertical="center"/>
    </xf>
    <xf numFmtId="177" fontId="55" fillId="5" borderId="1" xfId="1" applyNumberFormat="1" applyFont="1" applyFill="1" applyBorder="1" applyAlignment="1" applyProtection="1">
      <alignment horizontal="center" vertical="center"/>
    </xf>
    <xf numFmtId="179" fontId="55" fillId="5" borderId="1" xfId="1" applyNumberFormat="1" applyFont="1" applyFill="1" applyBorder="1" applyAlignment="1" applyProtection="1">
      <alignment horizontal="center" vertical="center"/>
    </xf>
    <xf numFmtId="0" fontId="49" fillId="5" borderId="0" xfId="1" applyFont="1" applyFill="1" applyBorder="1" applyAlignment="1" applyProtection="1">
      <alignment horizontal="center" vertical="center"/>
    </xf>
    <xf numFmtId="0" fontId="49" fillId="5" borderId="1" xfId="0" applyFont="1" applyFill="1" applyBorder="1" applyAlignment="1" applyProtection="1">
      <alignment vertical="center"/>
    </xf>
    <xf numFmtId="179" fontId="50" fillId="5" borderId="1" xfId="1" applyNumberFormat="1" applyFont="1" applyFill="1" applyBorder="1" applyAlignment="1" applyProtection="1">
      <alignment horizontal="center" vertical="center"/>
    </xf>
    <xf numFmtId="9" fontId="50" fillId="5" borderId="1" xfId="1" applyNumberFormat="1" applyFont="1" applyFill="1" applyBorder="1" applyAlignment="1" applyProtection="1">
      <alignment horizontal="center" vertical="center"/>
    </xf>
    <xf numFmtId="49" fontId="53" fillId="5" borderId="51" xfId="1" applyNumberFormat="1" applyFont="1" applyFill="1" applyBorder="1" applyAlignment="1" applyProtection="1">
      <alignment vertical="center"/>
    </xf>
    <xf numFmtId="181" fontId="50" fillId="5" borderId="2" xfId="1" applyNumberFormat="1" applyFont="1" applyFill="1" applyBorder="1" applyAlignment="1" applyProtection="1">
      <alignment horizontal="center" vertical="center"/>
    </xf>
    <xf numFmtId="10" fontId="49" fillId="5" borderId="2" xfId="1" applyNumberFormat="1" applyFont="1" applyFill="1" applyBorder="1" applyAlignment="1" applyProtection="1">
      <alignment horizontal="center" vertical="center"/>
    </xf>
    <xf numFmtId="177" fontId="49" fillId="5" borderId="2" xfId="1" applyNumberFormat="1" applyFont="1" applyFill="1" applyBorder="1" applyAlignment="1" applyProtection="1">
      <alignment horizontal="right" vertical="center"/>
    </xf>
    <xf numFmtId="0" fontId="40" fillId="0" borderId="2" xfId="0" applyNumberFormat="1" applyFont="1" applyFill="1" applyBorder="1" applyAlignment="1" applyProtection="1">
      <alignment horizontal="center" vertical="center" wrapText="1"/>
      <protection locked="0"/>
    </xf>
    <xf numFmtId="14" fontId="47" fillId="5" borderId="0" xfId="0" applyNumberFormat="1" applyFont="1" applyFill="1" applyAlignment="1" applyProtection="1">
      <alignment horizontal="center" vertical="center"/>
    </xf>
    <xf numFmtId="0" fontId="40" fillId="5" borderId="28" xfId="0" applyNumberFormat="1" applyFont="1" applyFill="1" applyBorder="1" applyAlignment="1" applyProtection="1">
      <alignment horizontal="center" vertical="center" wrapText="1"/>
    </xf>
    <xf numFmtId="0" fontId="40" fillId="0" borderId="41" xfId="0" applyNumberFormat="1" applyFont="1" applyFill="1" applyBorder="1" applyAlignment="1" applyProtection="1">
      <alignment horizontal="center" vertical="center" wrapText="1"/>
      <protection locked="0"/>
    </xf>
    <xf numFmtId="0" fontId="40" fillId="0" borderId="30" xfId="0" applyNumberFormat="1" applyFont="1" applyFill="1" applyBorder="1" applyAlignment="1" applyProtection="1">
      <alignment horizontal="center" vertical="center" wrapText="1"/>
      <protection locked="0"/>
    </xf>
    <xf numFmtId="0" fontId="40" fillId="5" borderId="27" xfId="0" applyNumberFormat="1" applyFont="1" applyFill="1" applyBorder="1" applyAlignment="1" applyProtection="1">
      <alignment horizontal="center" vertical="center" wrapText="1"/>
      <protection locked="0"/>
    </xf>
    <xf numFmtId="190" fontId="40" fillId="5" borderId="28" xfId="0" applyNumberFormat="1" applyFont="1" applyFill="1" applyBorder="1" applyAlignment="1" applyProtection="1">
      <alignment horizontal="center" vertical="center" wrapText="1"/>
    </xf>
    <xf numFmtId="190" fontId="40" fillId="5" borderId="11" xfId="0" applyNumberFormat="1" applyFont="1" applyFill="1" applyBorder="1" applyAlignment="1" applyProtection="1">
      <alignment horizontal="center" vertical="center" wrapText="1"/>
    </xf>
    <xf numFmtId="190" fontId="40" fillId="0" borderId="11" xfId="0" applyNumberFormat="1" applyFont="1" applyFill="1" applyBorder="1" applyAlignment="1" applyProtection="1">
      <alignment horizontal="center" vertical="center" wrapText="1"/>
    </xf>
    <xf numFmtId="0" fontId="133" fillId="0" borderId="1" xfId="0" applyFont="1" applyBorder="1" applyAlignment="1" applyProtection="1">
      <alignment horizontal="center" vertical="center"/>
    </xf>
    <xf numFmtId="17" fontId="48" fillId="0" borderId="94" xfId="0" applyNumberFormat="1" applyFont="1" applyFill="1" applyBorder="1" applyAlignment="1" applyProtection="1">
      <alignment vertical="center" wrapText="1"/>
      <protection locked="0"/>
    </xf>
    <xf numFmtId="0" fontId="43" fillId="5" borderId="159" xfId="0" applyFont="1" applyFill="1" applyBorder="1" applyAlignment="1" applyProtection="1">
      <alignment vertical="center" wrapText="1"/>
    </xf>
    <xf numFmtId="0" fontId="43" fillId="5" borderId="160" xfId="0" applyFont="1" applyFill="1" applyBorder="1" applyAlignment="1" applyProtection="1">
      <alignment vertical="center" wrapText="1"/>
    </xf>
    <xf numFmtId="0" fontId="130" fillId="0" borderId="32" xfId="12" applyFont="1" applyBorder="1" applyAlignment="1" applyProtection="1">
      <alignment horizontal="left" vertical="center"/>
    </xf>
    <xf numFmtId="0" fontId="130" fillId="0" borderId="17" xfId="12" applyFont="1" applyBorder="1" applyAlignment="1" applyProtection="1">
      <alignment horizontal="left" vertical="center"/>
    </xf>
    <xf numFmtId="0" fontId="130" fillId="0" borderId="49" xfId="12" applyFont="1" applyBorder="1" applyAlignment="1" applyProtection="1">
      <alignment horizontal="left" vertical="center"/>
    </xf>
    <xf numFmtId="0" fontId="130" fillId="0" borderId="1" xfId="12" applyFont="1" applyBorder="1" applyAlignment="1" applyProtection="1">
      <alignment horizontal="left" vertical="center"/>
    </xf>
    <xf numFmtId="0" fontId="130" fillId="0" borderId="75" xfId="12" applyFont="1" applyBorder="1" applyAlignment="1" applyProtection="1">
      <alignment horizontal="left" vertical="center"/>
    </xf>
    <xf numFmtId="0" fontId="130" fillId="0" borderId="74" xfId="12" applyFont="1" applyBorder="1" applyAlignment="1" applyProtection="1">
      <alignment horizontal="left" vertical="center"/>
    </xf>
    <xf numFmtId="0" fontId="130" fillId="0" borderId="54" xfId="12" applyFont="1" applyBorder="1" applyAlignment="1" applyProtection="1">
      <alignment horizontal="left" vertical="center"/>
    </xf>
    <xf numFmtId="14" fontId="130" fillId="0" borderId="1" xfId="12" applyNumberFormat="1" applyFont="1" applyBorder="1" applyAlignment="1" applyProtection="1">
      <alignment horizontal="left" vertical="center"/>
    </xf>
    <xf numFmtId="0" fontId="130" fillId="0" borderId="0" xfId="12" applyFont="1" applyAlignment="1" applyProtection="1">
      <alignment horizontal="left" vertical="center"/>
    </xf>
    <xf numFmtId="14" fontId="130" fillId="0" borderId="17" xfId="12" applyNumberFormat="1" applyFont="1" applyBorder="1" applyAlignment="1" applyProtection="1">
      <alignment horizontal="left" vertical="center"/>
    </xf>
    <xf numFmtId="193" fontId="97" fillId="0" borderId="75" xfId="12" applyNumberFormat="1" applyFont="1" applyBorder="1" applyAlignment="1" applyProtection="1">
      <alignment horizontal="left" vertical="center"/>
    </xf>
    <xf numFmtId="0" fontId="94" fillId="0" borderId="75" xfId="12" applyFont="1" applyBorder="1" applyAlignment="1" applyProtection="1">
      <alignment horizontal="left" vertical="center" wrapText="1"/>
    </xf>
    <xf numFmtId="0" fontId="133" fillId="0" borderId="18" xfId="0" applyFont="1" applyBorder="1" applyAlignment="1" applyProtection="1">
      <alignment horizontal="left" vertical="center"/>
    </xf>
    <xf numFmtId="0" fontId="156" fillId="0" borderId="90" xfId="12" applyFont="1" applyBorder="1" applyProtection="1">
      <alignment vertical="center"/>
    </xf>
    <xf numFmtId="0" fontId="94" fillId="0" borderId="17" xfId="12" applyFont="1" applyBorder="1" applyAlignment="1" applyProtection="1">
      <alignment vertical="center" wrapText="1"/>
    </xf>
    <xf numFmtId="0" fontId="156" fillId="0" borderId="0" xfId="12" applyFont="1" applyBorder="1" applyProtection="1">
      <alignment vertical="center"/>
    </xf>
    <xf numFmtId="0" fontId="94" fillId="0" borderId="1" xfId="12" applyFont="1" applyBorder="1" applyAlignment="1" applyProtection="1">
      <alignment vertical="center" wrapText="1"/>
    </xf>
    <xf numFmtId="0" fontId="94" fillId="0" borderId="75" xfId="12" applyFont="1" applyBorder="1" applyAlignment="1" applyProtection="1">
      <alignment vertical="center" wrapText="1"/>
    </xf>
    <xf numFmtId="0" fontId="156" fillId="0" borderId="0" xfId="12" applyFont="1" applyProtection="1">
      <alignment vertical="center"/>
    </xf>
    <xf numFmtId="0" fontId="156" fillId="0" borderId="1" xfId="12" applyFont="1" applyBorder="1" applyAlignment="1" applyProtection="1">
      <alignment vertical="center" wrapText="1"/>
    </xf>
    <xf numFmtId="0" fontId="156" fillId="0" borderId="75" xfId="12" applyFont="1" applyBorder="1" applyAlignment="1" applyProtection="1">
      <alignment vertical="center" wrapText="1"/>
    </xf>
    <xf numFmtId="0" fontId="156" fillId="0" borderId="17" xfId="12" applyFont="1" applyBorder="1" applyAlignment="1" applyProtection="1">
      <alignment vertical="center" wrapText="1"/>
    </xf>
    <xf numFmtId="0" fontId="156" fillId="0" borderId="0" xfId="12" applyFont="1" applyBorder="1" applyAlignment="1" applyProtection="1">
      <alignment vertical="center" wrapText="1"/>
    </xf>
    <xf numFmtId="0" fontId="53" fillId="5" borderId="17" xfId="0" applyFont="1" applyFill="1" applyBorder="1" applyAlignment="1" applyProtection="1">
      <alignment horizontal="right" vertical="center"/>
    </xf>
    <xf numFmtId="0" fontId="53" fillId="6" borderId="89" xfId="1" applyFont="1" applyFill="1" applyBorder="1" applyAlignment="1" applyProtection="1">
      <alignment vertical="center"/>
      <protection locked="0"/>
    </xf>
    <xf numFmtId="0" fontId="53" fillId="5" borderId="17" xfId="1" applyFont="1" applyFill="1" applyBorder="1" applyAlignment="1" applyProtection="1">
      <alignment vertical="center"/>
    </xf>
    <xf numFmtId="0" fontId="101" fillId="5" borderId="85" xfId="0" applyFont="1" applyFill="1" applyBorder="1" applyAlignment="1" applyProtection="1">
      <alignment vertical="center"/>
    </xf>
    <xf numFmtId="0" fontId="53" fillId="6" borderId="75" xfId="1" applyFont="1" applyFill="1" applyBorder="1" applyAlignment="1" applyProtection="1">
      <alignment vertical="center"/>
      <protection locked="0"/>
    </xf>
    <xf numFmtId="0" fontId="58" fillId="5" borderId="126" xfId="0" applyFont="1" applyFill="1" applyBorder="1" applyAlignment="1" applyProtection="1">
      <alignment vertical="center"/>
      <protection locked="0"/>
    </xf>
    <xf numFmtId="0" fontId="66" fillId="5" borderId="126" xfId="0" applyFont="1" applyFill="1" applyBorder="1" applyAlignment="1" applyProtection="1">
      <alignment vertical="center"/>
      <protection locked="0"/>
    </xf>
    <xf numFmtId="189" fontId="58" fillId="5" borderId="126" xfId="0" applyNumberFormat="1" applyFont="1" applyFill="1" applyBorder="1" applyAlignment="1" applyProtection="1">
      <alignment horizontal="center" vertical="center"/>
      <protection locked="0"/>
    </xf>
    <xf numFmtId="181" fontId="58" fillId="5" borderId="126" xfId="0" applyNumberFormat="1" applyFont="1" applyFill="1" applyBorder="1" applyAlignment="1" applyProtection="1">
      <alignment vertical="center"/>
    </xf>
    <xf numFmtId="0" fontId="58" fillId="5" borderId="126" xfId="0" applyFont="1" applyFill="1" applyBorder="1" applyAlignment="1" applyProtection="1">
      <alignment horizontal="center" vertical="center"/>
    </xf>
    <xf numFmtId="0" fontId="58" fillId="5" borderId="90" xfId="0" applyFont="1" applyFill="1" applyBorder="1" applyAlignment="1" applyProtection="1">
      <alignment horizontal="center" vertical="center"/>
    </xf>
    <xf numFmtId="0" fontId="60" fillId="5" borderId="90" xfId="0" applyFont="1" applyFill="1" applyBorder="1" applyAlignment="1" applyProtection="1">
      <alignment horizontal="center" vertical="center"/>
    </xf>
    <xf numFmtId="0" fontId="60" fillId="0" borderId="90" xfId="0" applyFont="1" applyFill="1" applyBorder="1" applyAlignment="1" applyProtection="1">
      <alignment horizontal="center" vertical="center"/>
      <protection locked="0"/>
    </xf>
    <xf numFmtId="0" fontId="54" fillId="5" borderId="17" xfId="0" applyFont="1" applyFill="1" applyBorder="1" applyAlignment="1" applyProtection="1">
      <alignment vertical="center"/>
      <protection locked="0"/>
    </xf>
    <xf numFmtId="0" fontId="58" fillId="5" borderId="126" xfId="0" applyFont="1" applyFill="1" applyBorder="1" applyAlignment="1" applyProtection="1">
      <alignment vertical="center"/>
    </xf>
    <xf numFmtId="0" fontId="66" fillId="5" borderId="126" xfId="0" applyFont="1" applyFill="1" applyBorder="1" applyAlignment="1" applyProtection="1">
      <alignment vertical="center"/>
    </xf>
    <xf numFmtId="189" fontId="58" fillId="5" borderId="126" xfId="0" applyNumberFormat="1" applyFont="1" applyFill="1" applyBorder="1" applyAlignment="1" applyProtection="1">
      <alignment horizontal="center" vertical="center"/>
    </xf>
    <xf numFmtId="0" fontId="0" fillId="0" borderId="0" xfId="0" applyAlignment="1"/>
    <xf numFmtId="0" fontId="95" fillId="5" borderId="0" xfId="0" applyFont="1" applyFill="1" applyAlignment="1"/>
    <xf numFmtId="0" fontId="137" fillId="5" borderId="0" xfId="2" applyFont="1" applyFill="1"/>
    <xf numFmtId="0" fontId="17" fillId="5" borderId="0" xfId="2" applyFont="1" applyFill="1"/>
    <xf numFmtId="0" fontId="17" fillId="5" borderId="4" xfId="2" applyFont="1" applyFill="1" applyBorder="1"/>
    <xf numFmtId="0" fontId="139" fillId="5" borderId="11" xfId="2" applyFont="1" applyFill="1" applyBorder="1" applyAlignment="1">
      <alignment horizontal="center" vertical="center" wrapText="1"/>
    </xf>
    <xf numFmtId="0" fontId="17" fillId="5" borderId="31" xfId="2" applyFont="1" applyFill="1" applyBorder="1" applyAlignment="1">
      <alignment horizontal="center"/>
    </xf>
    <xf numFmtId="0" fontId="139" fillId="5" borderId="4" xfId="2" applyFont="1" applyFill="1" applyBorder="1" applyAlignment="1">
      <alignment horizontal="center" vertical="center" wrapText="1"/>
    </xf>
    <xf numFmtId="0" fontId="17" fillId="5" borderId="11" xfId="2" applyNumberFormat="1" applyFont="1" applyFill="1" applyBorder="1" applyAlignment="1">
      <alignment horizontal="center"/>
    </xf>
    <xf numFmtId="0" fontId="17" fillId="0" borderId="0" xfId="2" applyFont="1"/>
    <xf numFmtId="0" fontId="17" fillId="5" borderId="7" xfId="2" applyFont="1" applyFill="1" applyBorder="1"/>
    <xf numFmtId="0" fontId="139" fillId="5" borderId="1" xfId="2" applyFont="1" applyFill="1" applyBorder="1" applyAlignment="1">
      <alignment horizontal="center" vertical="center" wrapText="1"/>
    </xf>
    <xf numFmtId="0" fontId="17" fillId="5" borderId="6" xfId="2" applyFont="1" applyFill="1" applyBorder="1" applyAlignment="1">
      <alignment horizontal="center"/>
    </xf>
    <xf numFmtId="0" fontId="139" fillId="5" borderId="7" xfId="2" applyFont="1" applyFill="1" applyBorder="1" applyAlignment="1">
      <alignment horizontal="center" vertical="center" wrapText="1"/>
    </xf>
    <xf numFmtId="0" fontId="17" fillId="5" borderId="1" xfId="2" applyNumberFormat="1" applyFont="1" applyFill="1" applyBorder="1" applyAlignment="1">
      <alignment horizontal="center"/>
    </xf>
    <xf numFmtId="0" fontId="17" fillId="5" borderId="8" xfId="2" applyFont="1" applyFill="1" applyBorder="1"/>
    <xf numFmtId="0" fontId="139" fillId="5" borderId="61" xfId="2" applyFont="1" applyFill="1" applyBorder="1" applyAlignment="1">
      <alignment horizontal="center" vertical="center" wrapText="1"/>
    </xf>
    <xf numFmtId="0" fontId="17" fillId="5" borderId="43" xfId="2" applyFont="1" applyFill="1" applyBorder="1" applyAlignment="1">
      <alignment horizontal="center"/>
    </xf>
    <xf numFmtId="0" fontId="139" fillId="5" borderId="8" xfId="2" applyFont="1" applyFill="1" applyBorder="1" applyAlignment="1">
      <alignment horizontal="center" vertical="center" wrapText="1"/>
    </xf>
    <xf numFmtId="0" fontId="17" fillId="5" borderId="61" xfId="2" applyNumberFormat="1" applyFont="1" applyFill="1" applyBorder="1" applyAlignment="1">
      <alignment horizontal="center"/>
    </xf>
    <xf numFmtId="0" fontId="17" fillId="5" borderId="0" xfId="2" applyNumberFormat="1" applyFont="1" applyFill="1" applyAlignment="1">
      <alignment horizontal="center"/>
    </xf>
    <xf numFmtId="0" fontId="17" fillId="5" borderId="0" xfId="2" applyFont="1" applyFill="1" applyAlignment="1">
      <alignment horizontal="right"/>
    </xf>
    <xf numFmtId="14" fontId="17" fillId="5" borderId="0" xfId="2" applyNumberFormat="1" applyFont="1" applyFill="1" applyAlignment="1">
      <alignment horizontal="center"/>
    </xf>
    <xf numFmtId="0" fontId="161" fillId="5" borderId="0" xfId="2" applyNumberFormat="1" applyFont="1" applyFill="1" applyAlignment="1">
      <alignment horizontal="center"/>
    </xf>
    <xf numFmtId="0" fontId="162" fillId="5" borderId="0" xfId="2" applyFont="1" applyFill="1" applyAlignment="1">
      <alignment horizontal="left"/>
    </xf>
    <xf numFmtId="14" fontId="161" fillId="5" borderId="0" xfId="2" applyNumberFormat="1" applyFont="1" applyFill="1" applyAlignment="1">
      <alignment horizontal="center"/>
    </xf>
    <xf numFmtId="0" fontId="161" fillId="5" borderId="0" xfId="2" applyFont="1" applyFill="1"/>
    <xf numFmtId="0" fontId="161" fillId="0" borderId="0" xfId="2" applyFont="1"/>
    <xf numFmtId="0" fontId="161" fillId="0" borderId="0" xfId="0" applyFont="1" applyAlignment="1"/>
    <xf numFmtId="0" fontId="163" fillId="5" borderId="0" xfId="2" applyFont="1" applyFill="1"/>
    <xf numFmtId="0" fontId="164" fillId="5" borderId="0" xfId="2" applyFont="1" applyFill="1"/>
    <xf numFmtId="0" fontId="163" fillId="0" borderId="0" xfId="2" applyFont="1"/>
    <xf numFmtId="0" fontId="139" fillId="5" borderId="0" xfId="2" applyFont="1" applyFill="1" applyAlignment="1"/>
    <xf numFmtId="0" fontId="148" fillId="5" borderId="18" xfId="2" applyFont="1" applyFill="1" applyBorder="1" applyAlignment="1">
      <alignment horizontal="center" vertical="center"/>
    </xf>
    <xf numFmtId="0" fontId="148" fillId="5" borderId="18" xfId="2" applyFont="1" applyFill="1" applyBorder="1" applyAlignment="1">
      <alignment vertical="center"/>
    </xf>
    <xf numFmtId="0" fontId="148" fillId="5" borderId="2" xfId="2" applyFont="1" applyFill="1" applyBorder="1" applyAlignment="1">
      <alignment vertical="center"/>
    </xf>
    <xf numFmtId="0" fontId="148" fillId="5" borderId="3" xfId="2" applyFont="1" applyFill="1" applyBorder="1" applyAlignment="1">
      <alignment vertical="center"/>
    </xf>
    <xf numFmtId="0" fontId="148" fillId="5" borderId="51" xfId="2" applyFont="1" applyFill="1" applyBorder="1" applyAlignment="1">
      <alignment vertical="center"/>
    </xf>
    <xf numFmtId="0" fontId="139" fillId="0" borderId="0" xfId="2" applyFont="1" applyAlignment="1"/>
    <xf numFmtId="0" fontId="139" fillId="5" borderId="0" xfId="2" applyFont="1" applyFill="1"/>
    <xf numFmtId="0" fontId="148" fillId="5" borderId="17" xfId="2" applyFont="1" applyFill="1" applyBorder="1" applyAlignment="1">
      <alignment horizontal="center" vertical="center" wrapText="1"/>
    </xf>
    <xf numFmtId="0" fontId="148" fillId="5" borderId="17" xfId="2" applyFont="1" applyFill="1" applyBorder="1" applyAlignment="1">
      <alignment vertical="center" wrapText="1"/>
    </xf>
    <xf numFmtId="0" fontId="17" fillId="5" borderId="1" xfId="2" applyFont="1" applyFill="1" applyBorder="1"/>
    <xf numFmtId="0" fontId="148" fillId="5" borderId="1" xfId="2" applyFont="1" applyFill="1" applyBorder="1" applyAlignment="1">
      <alignment horizontal="center" vertical="center" wrapText="1"/>
    </xf>
    <xf numFmtId="0" fontId="139" fillId="0" borderId="0" xfId="2" applyFont="1"/>
    <xf numFmtId="0" fontId="166" fillId="5" borderId="0" xfId="2" applyFont="1" applyFill="1" applyAlignment="1">
      <alignment vertical="center"/>
    </xf>
    <xf numFmtId="0" fontId="166" fillId="5" borderId="1" xfId="2" applyFont="1" applyFill="1" applyBorder="1" applyAlignment="1">
      <alignment horizontal="left" vertical="center" wrapText="1"/>
    </xf>
    <xf numFmtId="195" fontId="166" fillId="5" borderId="1" xfId="2" applyNumberFormat="1" applyFont="1" applyFill="1" applyBorder="1" applyAlignment="1">
      <alignment horizontal="center" vertical="center" wrapText="1"/>
    </xf>
    <xf numFmtId="0" fontId="166" fillId="5" borderId="1" xfId="2" applyFont="1" applyFill="1" applyBorder="1" applyAlignment="1">
      <alignment horizontal="center" vertical="center" wrapText="1"/>
    </xf>
    <xf numFmtId="14" fontId="166" fillId="5" borderId="1" xfId="2" applyNumberFormat="1" applyFont="1" applyFill="1" applyBorder="1" applyAlignment="1">
      <alignment horizontal="center" vertical="center" wrapText="1"/>
    </xf>
    <xf numFmtId="0" fontId="166" fillId="6" borderId="0" xfId="2" applyFont="1" applyFill="1" applyAlignment="1">
      <alignment vertical="center"/>
    </xf>
    <xf numFmtId="0" fontId="167" fillId="0" borderId="0" xfId="0" applyFont="1" applyAlignment="1"/>
    <xf numFmtId="0" fontId="17" fillId="5" borderId="1" xfId="2" applyFont="1" applyFill="1" applyBorder="1" applyAlignment="1">
      <alignment horizontal="center" wrapText="1"/>
    </xf>
    <xf numFmtId="14" fontId="17" fillId="5" borderId="1" xfId="2" applyNumberFormat="1" applyFont="1" applyFill="1" applyBorder="1" applyAlignment="1">
      <alignment horizontal="center" wrapText="1"/>
    </xf>
    <xf numFmtId="179" fontId="168" fillId="5" borderId="1" xfId="2" applyNumberFormat="1" applyFont="1" applyFill="1" applyBorder="1" applyAlignment="1">
      <alignment horizontal="center"/>
    </xf>
    <xf numFmtId="14" fontId="144" fillId="5" borderId="1" xfId="2" applyNumberFormat="1" applyFont="1" applyFill="1" applyBorder="1" applyAlignment="1">
      <alignment horizontal="center" wrapText="1"/>
    </xf>
    <xf numFmtId="0" fontId="17" fillId="5" borderId="0" xfId="2" applyFont="1" applyFill="1" applyBorder="1" applyAlignment="1">
      <alignment horizontal="center" wrapText="1"/>
    </xf>
    <xf numFmtId="14" fontId="17" fillId="5" borderId="0" xfId="2" applyNumberFormat="1" applyFont="1" applyFill="1" applyBorder="1" applyAlignment="1">
      <alignment horizontal="center" wrapText="1"/>
    </xf>
    <xf numFmtId="0" fontId="137" fillId="5" borderId="90" xfId="2" applyFont="1" applyFill="1" applyBorder="1"/>
    <xf numFmtId="0" fontId="137" fillId="5" borderId="75" xfId="2" applyFont="1" applyFill="1" applyBorder="1" applyAlignment="1">
      <alignment horizontal="center"/>
    </xf>
    <xf numFmtId="177" fontId="137" fillId="5" borderId="90" xfId="2" applyNumberFormat="1" applyFont="1" applyFill="1" applyBorder="1" applyAlignment="1">
      <alignment horizontal="center"/>
    </xf>
    <xf numFmtId="0" fontId="137" fillId="0" borderId="90" xfId="2" applyFont="1" applyBorder="1"/>
    <xf numFmtId="0" fontId="95" fillId="0" borderId="90" xfId="0" applyFont="1" applyBorder="1" applyAlignment="1"/>
    <xf numFmtId="0" fontId="95" fillId="0" borderId="0" xfId="0" applyFont="1" applyAlignment="1"/>
    <xf numFmtId="14" fontId="169" fillId="5" borderId="75" xfId="2" applyNumberFormat="1" applyFont="1" applyFill="1" applyBorder="1" applyAlignment="1" applyProtection="1">
      <alignment horizontal="center"/>
    </xf>
    <xf numFmtId="0" fontId="169" fillId="5" borderId="75" xfId="2" applyFont="1" applyFill="1" applyBorder="1" applyAlignment="1" applyProtection="1">
      <alignment horizontal="center"/>
    </xf>
    <xf numFmtId="10" fontId="169" fillId="5" borderId="75" xfId="2" applyNumberFormat="1" applyFont="1" applyFill="1" applyBorder="1" applyAlignment="1">
      <alignment horizontal="center"/>
    </xf>
    <xf numFmtId="0" fontId="124" fillId="0" borderId="1" xfId="5" applyFont="1" applyFill="1" applyBorder="1" applyAlignment="1">
      <alignment horizontal="left" vertical="center"/>
    </xf>
    <xf numFmtId="0" fontId="50" fillId="5" borderId="1" xfId="0" applyNumberFormat="1" applyFont="1" applyFill="1" applyBorder="1" applyAlignment="1" applyProtection="1">
      <alignment horizontal="right" vertical="center"/>
    </xf>
    <xf numFmtId="0" fontId="43" fillId="6" borderId="1" xfId="0" applyFont="1" applyFill="1" applyBorder="1" applyAlignment="1" applyProtection="1">
      <alignment horizontal="left" vertical="center"/>
      <protection locked="0"/>
    </xf>
    <xf numFmtId="0" fontId="170" fillId="0" borderId="0" xfId="0" applyFont="1">
      <alignment vertical="center"/>
    </xf>
    <xf numFmtId="0" fontId="172" fillId="0" borderId="1" xfId="13" applyFont="1" applyBorder="1" applyAlignment="1" applyProtection="1">
      <alignment horizontal="left" vertical="center" wrapText="1"/>
      <protection locked="0"/>
    </xf>
    <xf numFmtId="181" fontId="43" fillId="5" borderId="0" xfId="0" applyNumberFormat="1" applyFont="1" applyFill="1" applyProtection="1">
      <alignment vertical="center"/>
    </xf>
    <xf numFmtId="0" fontId="173" fillId="5" borderId="1" xfId="0" applyFont="1" applyFill="1" applyBorder="1" applyAlignment="1" applyProtection="1">
      <alignment horizontal="left" vertical="center" wrapText="1"/>
    </xf>
    <xf numFmtId="0" fontId="43" fillId="8" borderId="0" xfId="0" applyFont="1" applyFill="1" applyProtection="1">
      <alignment vertical="center"/>
    </xf>
    <xf numFmtId="0" fontId="99" fillId="5" borderId="0" xfId="0" applyFont="1" applyFill="1" applyAlignment="1" applyProtection="1">
      <alignment horizontal="left" vertical="center"/>
      <protection locked="0"/>
    </xf>
    <xf numFmtId="0" fontId="100" fillId="5" borderId="0" xfId="0" applyFont="1" applyFill="1" applyAlignment="1" applyProtection="1">
      <alignment horizontal="left" vertical="center"/>
      <protection locked="0"/>
    </xf>
    <xf numFmtId="0" fontId="40" fillId="5" borderId="0" xfId="0" applyFont="1" applyFill="1" applyAlignment="1" applyProtection="1">
      <alignment horizontal="left" vertical="center"/>
      <protection locked="0"/>
    </xf>
    <xf numFmtId="0" fontId="45" fillId="5" borderId="0" xfId="0" applyFont="1" applyFill="1" applyAlignment="1" applyProtection="1">
      <alignment horizontal="left" vertical="center"/>
      <protection locked="0"/>
    </xf>
    <xf numFmtId="0" fontId="99" fillId="5" borderId="11" xfId="0" applyNumberFormat="1" applyFont="1" applyFill="1" applyBorder="1" applyAlignment="1" applyProtection="1">
      <alignment horizontal="center" vertical="center" wrapText="1"/>
    </xf>
    <xf numFmtId="0" fontId="99" fillId="5" borderId="11" xfId="0" applyNumberFormat="1" applyFont="1" applyFill="1" applyBorder="1" applyAlignment="1" applyProtection="1">
      <alignment horizontal="left" vertical="center" wrapText="1"/>
    </xf>
    <xf numFmtId="0" fontId="99" fillId="5" borderId="31" xfId="0" applyNumberFormat="1" applyFont="1" applyFill="1" applyBorder="1" applyAlignment="1" applyProtection="1">
      <alignment horizontal="center" vertical="center" wrapText="1"/>
    </xf>
    <xf numFmtId="0" fontId="118" fillId="5" borderId="6" xfId="0" applyFont="1" applyFill="1" applyBorder="1" applyAlignment="1" applyProtection="1">
      <alignment horizontal="left" vertical="center"/>
    </xf>
    <xf numFmtId="0" fontId="43" fillId="5" borderId="77" xfId="0" applyFont="1" applyFill="1" applyBorder="1" applyAlignment="1" applyProtection="1">
      <alignment vertical="center" wrapText="1"/>
    </xf>
    <xf numFmtId="0" fontId="43" fillId="5" borderId="78" xfId="0" applyFont="1" applyFill="1" applyBorder="1" applyAlignment="1" applyProtection="1">
      <alignment vertical="center" wrapText="1"/>
    </xf>
    <xf numFmtId="181" fontId="54" fillId="5" borderId="2" xfId="0" applyNumberFormat="1" applyFont="1" applyFill="1" applyBorder="1" applyAlignment="1" applyProtection="1">
      <alignment horizontal="center" vertical="center"/>
    </xf>
    <xf numFmtId="181" fontId="54" fillId="5" borderId="11" xfId="0" applyNumberFormat="1" applyFont="1" applyFill="1" applyBorder="1" applyAlignment="1" applyProtection="1">
      <alignment horizontal="center" vertical="center"/>
    </xf>
    <xf numFmtId="9" fontId="54" fillId="5" borderId="1" xfId="0" applyNumberFormat="1" applyFont="1" applyFill="1" applyBorder="1" applyAlignment="1" applyProtection="1">
      <alignment horizontal="center" vertical="center"/>
      <protection locked="0"/>
    </xf>
    <xf numFmtId="0" fontId="54" fillId="5" borderId="1" xfId="0" applyFont="1" applyFill="1" applyBorder="1" applyAlignment="1" applyProtection="1">
      <alignment horizontal="center" vertical="center"/>
      <protection locked="0"/>
    </xf>
    <xf numFmtId="0" fontId="54" fillId="5" borderId="1" xfId="0" applyFont="1" applyFill="1" applyBorder="1" applyAlignment="1">
      <alignment horizontal="center"/>
    </xf>
    <xf numFmtId="0" fontId="43" fillId="5" borderId="37" xfId="0" applyFont="1" applyFill="1" applyBorder="1" applyAlignment="1" applyProtection="1">
      <alignment horizontal="center" vertical="center"/>
      <protection locked="0"/>
    </xf>
    <xf numFmtId="0" fontId="43" fillId="5" borderId="79" xfId="0" applyFont="1" applyFill="1" applyBorder="1" applyAlignment="1" applyProtection="1">
      <alignment horizontal="center" vertical="center"/>
      <protection locked="0"/>
    </xf>
    <xf numFmtId="0" fontId="43" fillId="6" borderId="56" xfId="0" applyFont="1" applyFill="1" applyBorder="1" applyAlignment="1" applyProtection="1">
      <alignment horizontal="center" vertical="center"/>
      <protection locked="0"/>
    </xf>
    <xf numFmtId="0" fontId="40" fillId="5" borderId="1" xfId="0" applyFont="1" applyFill="1" applyBorder="1" applyAlignment="1" applyProtection="1">
      <alignment horizontal="center" vertical="center" wrapText="1"/>
    </xf>
    <xf numFmtId="0" fontId="43" fillId="5" borderId="2" xfId="0" applyFont="1" applyFill="1" applyBorder="1" applyAlignment="1" applyProtection="1">
      <alignment horizontal="left" vertical="center" wrapText="1"/>
    </xf>
    <xf numFmtId="0" fontId="43" fillId="5" borderId="51" xfId="0" applyFont="1" applyFill="1" applyBorder="1" applyAlignment="1" applyProtection="1">
      <alignment horizontal="left" vertical="center" wrapText="1"/>
    </xf>
    <xf numFmtId="0" fontId="43" fillId="5" borderId="51" xfId="0" applyFont="1" applyFill="1" applyBorder="1" applyAlignment="1" applyProtection="1">
      <alignment horizontal="center" vertical="center" wrapText="1"/>
    </xf>
    <xf numFmtId="0" fontId="43" fillId="5" borderId="1" xfId="0" applyFont="1" applyFill="1" applyBorder="1" applyAlignment="1" applyProtection="1">
      <alignment horizontal="left" vertical="center" wrapText="1"/>
    </xf>
    <xf numFmtId="0" fontId="43" fillId="5" borderId="2" xfId="0" applyFont="1" applyFill="1" applyBorder="1" applyAlignment="1" applyProtection="1">
      <alignment horizontal="center" vertical="center"/>
    </xf>
    <xf numFmtId="0" fontId="43" fillId="5" borderId="51" xfId="0" applyFont="1" applyFill="1" applyBorder="1" applyAlignment="1" applyProtection="1">
      <alignment horizontal="center" vertical="center"/>
    </xf>
    <xf numFmtId="0" fontId="47" fillId="5" borderId="1" xfId="0" applyFont="1" applyFill="1" applyBorder="1" applyAlignment="1" applyProtection="1">
      <alignment horizontal="center" vertical="center" wrapText="1"/>
    </xf>
    <xf numFmtId="0" fontId="47" fillId="5" borderId="49" xfId="0" applyFont="1" applyFill="1" applyBorder="1" applyAlignment="1" applyProtection="1">
      <alignment horizontal="center" vertical="center"/>
    </xf>
    <xf numFmtId="0" fontId="47" fillId="5" borderId="1" xfId="0" applyFont="1" applyFill="1" applyBorder="1" applyAlignment="1" applyProtection="1">
      <alignment horizontal="center" vertical="center"/>
    </xf>
    <xf numFmtId="0" fontId="47" fillId="5" borderId="1" xfId="0" applyNumberFormat="1" applyFont="1" applyFill="1" applyBorder="1" applyAlignment="1" applyProtection="1">
      <alignment horizontal="center" vertical="center"/>
    </xf>
    <xf numFmtId="0" fontId="53" fillId="6" borderId="1" xfId="1" applyFont="1" applyFill="1" applyBorder="1" applyAlignment="1" applyProtection="1">
      <alignment vertical="center"/>
      <protection locked="0"/>
    </xf>
    <xf numFmtId="0" fontId="181" fillId="8" borderId="0" xfId="0" applyFont="1" applyFill="1" applyAlignment="1" applyProtection="1">
      <alignment vertical="top" wrapText="1"/>
    </xf>
    <xf numFmtId="0" fontId="181" fillId="8" borderId="0" xfId="0" applyFont="1" applyFill="1" applyProtection="1">
      <alignment vertical="center"/>
    </xf>
    <xf numFmtId="0" fontId="94" fillId="0" borderId="0" xfId="0" applyFont="1">
      <alignment vertical="center"/>
    </xf>
    <xf numFmtId="0" fontId="188" fillId="0" borderId="0" xfId="0" applyFont="1" applyBorder="1" applyAlignment="1">
      <alignment horizontal="center" vertical="center"/>
    </xf>
    <xf numFmtId="0" fontId="188" fillId="0" borderId="0" xfId="0" applyFont="1" applyAlignment="1">
      <alignment vertical="center"/>
    </xf>
    <xf numFmtId="0" fontId="99" fillId="0" borderId="0" xfId="0" applyFont="1">
      <alignment vertical="center"/>
    </xf>
    <xf numFmtId="0" fontId="99" fillId="0" borderId="0" xfId="0" applyFont="1" applyBorder="1">
      <alignment vertical="center"/>
    </xf>
    <xf numFmtId="0" fontId="189" fillId="0" borderId="0" xfId="0" applyFont="1" applyAlignment="1">
      <alignment vertical="center"/>
    </xf>
    <xf numFmtId="0" fontId="189" fillId="0" borderId="0" xfId="0" applyFont="1">
      <alignment vertical="center"/>
    </xf>
    <xf numFmtId="0" fontId="190" fillId="0" borderId="0" xfId="0" applyFont="1">
      <alignment vertical="center"/>
    </xf>
    <xf numFmtId="0" fontId="131" fillId="0" borderId="0" xfId="0" applyFont="1" applyAlignment="1">
      <alignment vertical="center" wrapText="1"/>
    </xf>
    <xf numFmtId="0" fontId="191" fillId="0" borderId="0" xfId="0" applyFont="1">
      <alignment vertical="center"/>
    </xf>
    <xf numFmtId="0" fontId="99" fillId="0" borderId="0" xfId="0" applyFont="1" applyAlignment="1">
      <alignment vertical="center" wrapText="1"/>
    </xf>
    <xf numFmtId="0" fontId="131" fillId="0" borderId="0" xfId="0" applyFont="1" applyFill="1" applyAlignment="1">
      <alignment vertical="center" wrapText="1"/>
    </xf>
    <xf numFmtId="0" fontId="131" fillId="0" borderId="0" xfId="0" applyFont="1" applyAlignment="1">
      <alignment horizontal="left" vertical="center" wrapText="1"/>
    </xf>
    <xf numFmtId="0" fontId="99" fillId="0" borderId="0" xfId="0" applyFont="1" applyAlignment="1">
      <alignment horizontal="left" vertical="center"/>
    </xf>
    <xf numFmtId="184" fontId="131" fillId="0" borderId="0" xfId="0" applyNumberFormat="1" applyFont="1" applyAlignment="1">
      <alignment horizontal="left" vertical="center"/>
    </xf>
    <xf numFmtId="184" fontId="131" fillId="0" borderId="0" xfId="0" applyNumberFormat="1" applyFont="1" applyAlignment="1">
      <alignment vertical="center"/>
    </xf>
    <xf numFmtId="0" fontId="192" fillId="0" borderId="0" xfId="0" applyFont="1" applyAlignment="1">
      <alignment vertical="center" wrapText="1"/>
    </xf>
    <xf numFmtId="0" fontId="131" fillId="0" borderId="0" xfId="0" applyFont="1">
      <alignment vertical="center"/>
    </xf>
    <xf numFmtId="0" fontId="94" fillId="0" borderId="0" xfId="0" applyFont="1" applyProtection="1">
      <alignment vertical="center"/>
    </xf>
    <xf numFmtId="0" fontId="94" fillId="0" borderId="1" xfId="0" applyFont="1" applyBorder="1">
      <alignment vertical="center"/>
    </xf>
    <xf numFmtId="0" fontId="186" fillId="0" borderId="0" xfId="0" applyFont="1" applyProtection="1">
      <alignment vertical="center"/>
    </xf>
    <xf numFmtId="0" fontId="187" fillId="0" borderId="0" xfId="0" applyFont="1" applyAlignment="1" applyProtection="1">
      <alignment horizontal="left" vertical="center" wrapText="1"/>
    </xf>
    <xf numFmtId="0" fontId="197" fillId="0" borderId="54"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122"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center" vertical="center" wrapText="1"/>
    </xf>
    <xf numFmtId="0" fontId="156" fillId="0" borderId="1" xfId="0" applyFont="1" applyBorder="1" applyProtection="1">
      <alignment vertical="center"/>
    </xf>
    <xf numFmtId="0" fontId="122" fillId="0" borderId="1" xfId="0" applyFont="1" applyFill="1" applyBorder="1" applyAlignment="1" applyProtection="1">
      <alignment horizontal="center" vertical="center" wrapText="1"/>
    </xf>
    <xf numFmtId="0" fontId="156"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left" vertical="center" wrapText="1"/>
    </xf>
    <xf numFmtId="0" fontId="200" fillId="0" borderId="1" xfId="0" applyFont="1" applyFill="1" applyBorder="1" applyAlignment="1" applyProtection="1">
      <alignment vertical="center" wrapText="1"/>
    </xf>
    <xf numFmtId="0" fontId="201"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center" vertical="center" wrapText="1"/>
    </xf>
    <xf numFmtId="0" fontId="156" fillId="0" borderId="75" xfId="0" applyFont="1" applyFill="1" applyBorder="1" applyAlignment="1" applyProtection="1">
      <alignment horizontal="left" vertical="center" wrapText="1"/>
    </xf>
    <xf numFmtId="0" fontId="200" fillId="0" borderId="75" xfId="0" applyFont="1" applyFill="1" applyBorder="1" applyAlignment="1" applyProtection="1">
      <alignment horizontal="center" vertical="center" wrapText="1"/>
    </xf>
    <xf numFmtId="0" fontId="122" fillId="0" borderId="17" xfId="0" applyFont="1" applyBorder="1" applyProtection="1">
      <alignment vertical="center"/>
    </xf>
    <xf numFmtId="0" fontId="122" fillId="0" borderId="17" xfId="0" applyFont="1" applyBorder="1" applyAlignment="1" applyProtection="1">
      <alignment horizontal="center" vertical="center"/>
    </xf>
    <xf numFmtId="0" fontId="156" fillId="0" borderId="17" xfId="0" applyFont="1" applyBorder="1" applyProtection="1">
      <alignment vertical="center"/>
    </xf>
    <xf numFmtId="0" fontId="122" fillId="0" borderId="17" xfId="0" applyNumberFormat="1" applyFont="1" applyBorder="1" applyAlignment="1" applyProtection="1">
      <alignment horizontal="center" vertical="center" wrapText="1"/>
    </xf>
    <xf numFmtId="0" fontId="156" fillId="0" borderId="1" xfId="0" applyFont="1" applyBorder="1" applyAlignment="1" applyProtection="1">
      <alignment horizontal="center" vertical="center"/>
    </xf>
    <xf numFmtId="0" fontId="122" fillId="0" borderId="1" xfId="0" applyFont="1" applyBorder="1" applyProtection="1">
      <alignment vertical="center"/>
    </xf>
    <xf numFmtId="0" fontId="122" fillId="0" borderId="1" xfId="0" applyFont="1" applyBorder="1" applyAlignment="1" applyProtection="1">
      <alignment horizontal="center" vertical="center"/>
    </xf>
    <xf numFmtId="0" fontId="122" fillId="0" borderId="1" xfId="0" applyFont="1" applyBorder="1" applyAlignment="1" applyProtection="1">
      <alignment horizontal="center" vertical="center" wrapText="1"/>
    </xf>
    <xf numFmtId="0" fontId="122" fillId="0" borderId="18" xfId="0" applyFont="1" applyBorder="1" applyAlignment="1" applyProtection="1">
      <alignment horizontal="center" vertical="center" wrapText="1"/>
    </xf>
    <xf numFmtId="0" fontId="156" fillId="0" borderId="75" xfId="0" applyFont="1" applyBorder="1" applyAlignment="1" applyProtection="1">
      <alignment horizontal="center" vertical="center"/>
    </xf>
    <xf numFmtId="0" fontId="203" fillId="6" borderId="0" xfId="0" applyFont="1" applyFill="1" applyProtection="1">
      <alignment vertical="center"/>
      <protection locked="0"/>
    </xf>
    <xf numFmtId="0" fontId="131" fillId="0" borderId="0" xfId="0" applyFont="1" applyProtection="1">
      <alignment vertical="center"/>
    </xf>
    <xf numFmtId="0" fontId="209" fillId="0" borderId="0" xfId="0" applyFont="1" applyBorder="1" applyAlignment="1">
      <alignment horizontal="center" vertical="center" wrapText="1"/>
    </xf>
    <xf numFmtId="14" fontId="131" fillId="0" borderId="0" xfId="0" applyNumberFormat="1" applyFont="1" applyBorder="1" applyAlignment="1">
      <alignment horizontal="center" vertical="center" wrapText="1"/>
    </xf>
    <xf numFmtId="0" fontId="131" fillId="0" borderId="0" xfId="0" applyFont="1" applyBorder="1" applyAlignment="1">
      <alignment horizontal="center" vertical="center" wrapText="1"/>
    </xf>
    <xf numFmtId="0" fontId="209" fillId="0" borderId="65" xfId="0" applyFont="1" applyBorder="1" applyAlignment="1">
      <alignment horizontal="justify" vertical="center" wrapText="1"/>
    </xf>
    <xf numFmtId="0" fontId="209" fillId="0" borderId="0" xfId="0" applyFont="1" applyBorder="1" applyAlignment="1">
      <alignment horizontal="right" vertical="center" wrapText="1"/>
    </xf>
    <xf numFmtId="0" fontId="209" fillId="0" borderId="51" xfId="0" applyFont="1" applyBorder="1" applyAlignment="1">
      <alignment horizontal="justify" vertical="center" wrapText="1"/>
    </xf>
    <xf numFmtId="0" fontId="209" fillId="0" borderId="0" xfId="0" applyFont="1" applyBorder="1" applyAlignment="1">
      <alignment horizontal="justify" vertical="center" wrapText="1"/>
    </xf>
    <xf numFmtId="0" fontId="192" fillId="0" borderId="0" xfId="0" applyFont="1" applyBorder="1" applyAlignment="1">
      <alignment horizontal="center" vertical="center" wrapText="1"/>
    </xf>
    <xf numFmtId="0" fontId="189" fillId="0" borderId="0" xfId="0" applyFont="1" applyBorder="1" applyAlignment="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193" fontId="210" fillId="0" borderId="0" xfId="0" applyNumberFormat="1" applyFont="1" applyAlignment="1">
      <alignment vertical="center"/>
    </xf>
    <xf numFmtId="193" fontId="131" fillId="0" borderId="0" xfId="0" applyNumberFormat="1" applyFont="1" applyAlignment="1">
      <alignment horizontal="right" vertical="center" shrinkToFit="1"/>
    </xf>
    <xf numFmtId="0" fontId="41" fillId="5" borderId="0" xfId="1" applyFont="1" applyFill="1" applyBorder="1" applyAlignment="1" applyProtection="1">
      <alignment vertical="center"/>
    </xf>
    <xf numFmtId="49" fontId="43" fillId="5" borderId="16" xfId="0" applyNumberFormat="1" applyFont="1" applyFill="1" applyBorder="1" applyAlignment="1" applyProtection="1">
      <alignment horizontal="center" vertical="center"/>
    </xf>
    <xf numFmtId="49" fontId="43" fillId="5" borderId="8" xfId="0" applyNumberFormat="1" applyFont="1" applyFill="1" applyBorder="1" applyAlignment="1" applyProtection="1">
      <alignment horizontal="center" vertical="center"/>
    </xf>
    <xf numFmtId="0" fontId="41"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41" fillId="0" borderId="0" xfId="0" applyFont="1" applyProtection="1">
      <alignment vertical="center"/>
    </xf>
    <xf numFmtId="0" fontId="41" fillId="2" borderId="1"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216" fillId="4" borderId="1" xfId="0" applyFont="1" applyFill="1" applyBorder="1" applyAlignment="1" applyProtection="1">
      <alignment horizontal="center" vertical="center"/>
    </xf>
    <xf numFmtId="0" fontId="217" fillId="0" borderId="1" xfId="0" applyFont="1" applyFill="1" applyBorder="1" applyAlignment="1" applyProtection="1">
      <alignment horizontal="center" vertical="center"/>
    </xf>
    <xf numFmtId="0" fontId="40" fillId="0" borderId="0" xfId="0" applyFont="1" applyProtection="1">
      <alignment vertical="center"/>
    </xf>
    <xf numFmtId="0" fontId="99" fillId="7" borderId="2" xfId="0" applyFont="1" applyFill="1" applyBorder="1" applyAlignment="1" applyProtection="1">
      <alignment vertical="center"/>
    </xf>
    <xf numFmtId="0" fontId="99" fillId="8" borderId="51" xfId="0" applyFont="1" applyFill="1" applyBorder="1" applyAlignment="1" applyProtection="1">
      <alignment vertical="center"/>
    </xf>
    <xf numFmtId="0" fontId="99" fillId="8" borderId="3" xfId="0" applyFont="1" applyFill="1" applyBorder="1" applyAlignment="1" applyProtection="1">
      <alignment vertical="center"/>
    </xf>
    <xf numFmtId="0" fontId="99" fillId="0" borderId="1" xfId="0" applyFont="1" applyBorder="1" applyAlignment="1" applyProtection="1">
      <alignment horizontal="left" vertical="center"/>
    </xf>
    <xf numFmtId="0" fontId="140" fillId="0" borderId="0" xfId="0" applyFont="1" applyProtection="1">
      <alignment vertical="center"/>
    </xf>
    <xf numFmtId="0" fontId="40" fillId="5" borderId="25" xfId="0"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xf>
    <xf numFmtId="0" fontId="40" fillId="5" borderId="0" xfId="0" applyFont="1" applyFill="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5" borderId="0" xfId="0" applyFont="1" applyFill="1" applyBorder="1" applyAlignment="1" applyProtection="1">
      <alignment horizontal="center" vertical="center"/>
      <protection locked="0"/>
    </xf>
    <xf numFmtId="0" fontId="40" fillId="0" borderId="1" xfId="0" applyFont="1" applyBorder="1" applyAlignment="1" applyProtection="1">
      <alignment horizontal="left" vertical="center"/>
      <protection locked="0"/>
    </xf>
    <xf numFmtId="0" fontId="99" fillId="5" borderId="0" xfId="0" applyFont="1" applyFill="1">
      <alignment vertical="center"/>
    </xf>
    <xf numFmtId="0" fontId="99" fillId="5" borderId="0" xfId="0" applyFont="1" applyFill="1" applyBorder="1" applyAlignment="1" applyProtection="1">
      <alignment horizontal="left" vertical="center"/>
    </xf>
    <xf numFmtId="0" fontId="99" fillId="5" borderId="0" xfId="0" applyFont="1" applyFill="1" applyBorder="1" applyAlignment="1" applyProtection="1">
      <alignment vertical="center" wrapText="1"/>
    </xf>
    <xf numFmtId="0" fontId="48" fillId="5" borderId="88" xfId="0" applyFont="1" applyFill="1" applyBorder="1" applyAlignment="1" applyProtection="1">
      <alignment vertical="center" wrapText="1"/>
    </xf>
    <xf numFmtId="0" fontId="43" fillId="5" borderId="158" xfId="0" applyFont="1" applyFill="1" applyBorder="1" applyAlignment="1" applyProtection="1">
      <alignment vertical="center"/>
    </xf>
    <xf numFmtId="0" fontId="43" fillId="0" borderId="32" xfId="0" applyFont="1" applyBorder="1" applyAlignment="1" applyProtection="1">
      <alignment vertical="center" wrapText="1"/>
      <protection locked="0"/>
    </xf>
    <xf numFmtId="0" fontId="43" fillId="6" borderId="32" xfId="0" applyFont="1" applyFill="1" applyBorder="1" applyAlignment="1" applyProtection="1">
      <alignment vertical="center" wrapText="1"/>
      <protection locked="0"/>
    </xf>
    <xf numFmtId="0" fontId="43" fillId="5" borderId="7" xfId="0" applyFont="1" applyFill="1" applyBorder="1" applyAlignment="1" applyProtection="1">
      <alignment vertical="center"/>
    </xf>
    <xf numFmtId="0" fontId="43" fillId="0" borderId="1" xfId="0" applyFont="1" applyBorder="1" applyAlignment="1" applyProtection="1">
      <alignment vertical="center" wrapText="1"/>
      <protection locked="0"/>
    </xf>
    <xf numFmtId="0" fontId="43" fillId="5" borderId="1" xfId="0" applyFont="1" applyFill="1" applyBorder="1" applyAlignment="1" applyProtection="1">
      <alignment vertical="center"/>
    </xf>
    <xf numFmtId="0" fontId="43" fillId="6" borderId="1" xfId="0" applyFont="1" applyFill="1" applyBorder="1" applyAlignment="1" applyProtection="1">
      <alignment vertical="center"/>
      <protection locked="0"/>
    </xf>
    <xf numFmtId="0" fontId="43" fillId="6" borderId="6" xfId="0" applyFont="1" applyFill="1" applyBorder="1" applyAlignment="1" applyProtection="1">
      <alignment vertical="center" wrapText="1"/>
      <protection locked="0"/>
    </xf>
    <xf numFmtId="0" fontId="43" fillId="5" borderId="7" xfId="0" applyFont="1" applyFill="1" applyBorder="1" applyAlignment="1" applyProtection="1">
      <alignment horizontal="left" vertical="center"/>
    </xf>
    <xf numFmtId="0" fontId="43" fillId="2" borderId="1" xfId="0" applyFont="1" applyFill="1" applyBorder="1" applyAlignment="1" applyProtection="1">
      <alignment horizontal="left" vertical="center" wrapText="1"/>
      <protection locked="0"/>
    </xf>
    <xf numFmtId="0" fontId="118" fillId="5" borderId="0" xfId="0" applyFont="1" applyFill="1" applyBorder="1" applyAlignment="1" applyProtection="1">
      <alignment horizontal="left" vertical="center"/>
    </xf>
    <xf numFmtId="0" fontId="43" fillId="0" borderId="75" xfId="0" applyFont="1" applyFill="1" applyBorder="1" applyAlignment="1" applyProtection="1">
      <alignment vertical="center" wrapText="1"/>
      <protection locked="0"/>
    </xf>
    <xf numFmtId="0" fontId="43" fillId="5" borderId="17" xfId="0" applyFont="1" applyFill="1" applyBorder="1" applyAlignment="1" applyProtection="1">
      <alignment vertical="center" wrapText="1"/>
    </xf>
    <xf numFmtId="0" fontId="43" fillId="6" borderId="41" xfId="0" applyFont="1" applyFill="1" applyBorder="1" applyAlignment="1" applyProtection="1">
      <alignment vertical="center" wrapText="1"/>
      <protection locked="0"/>
    </xf>
    <xf numFmtId="0" fontId="43" fillId="5" borderId="42" xfId="0" applyFont="1" applyFill="1" applyBorder="1" applyAlignment="1" applyProtection="1">
      <alignment vertical="center" wrapText="1"/>
    </xf>
    <xf numFmtId="0" fontId="43" fillId="5" borderId="18" xfId="0" applyFont="1" applyFill="1" applyBorder="1" applyAlignment="1" applyProtection="1">
      <alignment vertical="center" wrapText="1"/>
    </xf>
    <xf numFmtId="0" fontId="43" fillId="5" borderId="11" xfId="0" applyFont="1" applyFill="1" applyBorder="1" applyAlignment="1" applyProtection="1">
      <alignment vertical="center" wrapText="1"/>
    </xf>
    <xf numFmtId="0" fontId="43" fillId="6" borderId="31" xfId="0" applyFont="1" applyFill="1" applyBorder="1" applyAlignment="1" applyProtection="1">
      <alignment vertical="center" wrapText="1"/>
      <protection locked="0"/>
    </xf>
    <xf numFmtId="0" fontId="43" fillId="6" borderId="82" xfId="0" applyFont="1" applyFill="1" applyBorder="1" applyAlignment="1" applyProtection="1">
      <alignment vertical="center" wrapText="1"/>
      <protection locked="0"/>
    </xf>
    <xf numFmtId="0" fontId="43" fillId="5" borderId="61" xfId="0" applyFont="1" applyFill="1" applyBorder="1" applyAlignment="1" applyProtection="1">
      <alignment vertical="center" wrapText="1"/>
    </xf>
    <xf numFmtId="0" fontId="43" fillId="6" borderId="43" xfId="0" applyFont="1" applyFill="1" applyBorder="1" applyAlignment="1" applyProtection="1">
      <alignment vertical="center" wrapText="1"/>
      <protection locked="0"/>
    </xf>
    <xf numFmtId="0" fontId="43" fillId="5" borderId="29" xfId="0" applyFont="1" applyFill="1" applyBorder="1" applyAlignment="1" applyProtection="1">
      <alignment vertical="center"/>
    </xf>
    <xf numFmtId="0" fontId="118" fillId="5" borderId="0" xfId="0" applyFont="1" applyFill="1" applyBorder="1" applyAlignment="1" applyProtection="1">
      <alignment vertical="center" wrapText="1"/>
    </xf>
    <xf numFmtId="0" fontId="43" fillId="5" borderId="5" xfId="0" applyFont="1" applyFill="1" applyBorder="1" applyAlignment="1" applyProtection="1">
      <alignment vertical="center"/>
    </xf>
    <xf numFmtId="0" fontId="43" fillId="5" borderId="10" xfId="0" applyFont="1" applyFill="1" applyBorder="1" applyAlignment="1" applyProtection="1">
      <alignment vertical="center" wrapText="1"/>
    </xf>
    <xf numFmtId="0" fontId="43" fillId="0" borderId="7" xfId="0" applyFont="1" applyBorder="1" applyAlignment="1" applyProtection="1">
      <alignment vertical="center" wrapText="1"/>
      <protection locked="0"/>
    </xf>
    <xf numFmtId="0" fontId="43" fillId="6" borderId="2" xfId="0" applyFont="1" applyFill="1" applyBorder="1" applyAlignment="1" applyProtection="1">
      <alignment vertical="center" wrapText="1"/>
      <protection locked="0"/>
    </xf>
    <xf numFmtId="0" fontId="43" fillId="0" borderId="19" xfId="0" applyFont="1" applyBorder="1" applyAlignment="1" applyProtection="1">
      <alignment vertical="center" wrapText="1"/>
      <protection locked="0"/>
    </xf>
    <xf numFmtId="0" fontId="43" fillId="5" borderId="39" xfId="0" applyFont="1" applyFill="1" applyBorder="1" applyAlignment="1" applyProtection="1">
      <alignment vertical="center" wrapText="1"/>
    </xf>
    <xf numFmtId="0" fontId="43" fillId="0" borderId="1"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left" vertical="center" wrapText="1"/>
    </xf>
    <xf numFmtId="0" fontId="40" fillId="5" borderId="16" xfId="0" applyFont="1" applyFill="1" applyBorder="1" applyAlignment="1" applyProtection="1">
      <alignment horizontal="left" vertical="center" wrapText="1"/>
    </xf>
    <xf numFmtId="0" fontId="40" fillId="5" borderId="23" xfId="0" applyFont="1" applyFill="1" applyBorder="1" applyAlignment="1" applyProtection="1">
      <alignment horizontal="left" vertical="center" wrapText="1"/>
    </xf>
    <xf numFmtId="0" fontId="104" fillId="5" borderId="0" xfId="0" applyFont="1" applyFill="1" applyProtection="1">
      <alignment vertical="center"/>
    </xf>
    <xf numFmtId="0" fontId="43" fillId="5" borderId="0" xfId="0" applyFont="1" applyFill="1" applyProtection="1">
      <alignment vertical="center"/>
    </xf>
    <xf numFmtId="0" fontId="43" fillId="0" borderId="0" xfId="0" applyFont="1" applyProtection="1">
      <alignment vertical="center"/>
    </xf>
    <xf numFmtId="0" fontId="43" fillId="5" borderId="3" xfId="0" applyFont="1" applyFill="1" applyBorder="1" applyAlignment="1" applyProtection="1">
      <alignment vertical="center" wrapText="1"/>
    </xf>
    <xf numFmtId="0" fontId="40" fillId="5" borderId="0" xfId="0" applyFont="1" applyFill="1" applyProtection="1">
      <alignment vertical="center"/>
    </xf>
    <xf numFmtId="0" fontId="43" fillId="0" borderId="0" xfId="0" applyFont="1" applyFill="1" applyProtection="1">
      <alignment vertical="center"/>
    </xf>
    <xf numFmtId="0" fontId="42" fillId="5" borderId="63" xfId="0" applyFont="1" applyFill="1" applyBorder="1" applyAlignment="1" applyProtection="1">
      <alignment horizontal="left" vertical="center"/>
    </xf>
    <xf numFmtId="0" fontId="42" fillId="5" borderId="20" xfId="0" applyFont="1" applyFill="1" applyBorder="1" applyAlignment="1" applyProtection="1">
      <alignment horizontal="left" vertical="center"/>
    </xf>
    <xf numFmtId="0" fontId="40" fillId="5" borderId="28" xfId="0" applyFont="1" applyFill="1" applyBorder="1" applyAlignment="1" applyProtection="1">
      <alignment horizontal="left" vertical="center"/>
    </xf>
    <xf numFmtId="0" fontId="40" fillId="5" borderId="56" xfId="0" applyFont="1" applyFill="1" applyBorder="1" applyAlignment="1" applyProtection="1">
      <alignment horizontal="left" vertical="center"/>
    </xf>
    <xf numFmtId="0" fontId="43" fillId="5" borderId="0" xfId="0" applyFont="1" applyFill="1" applyBorder="1" applyAlignment="1" applyProtection="1">
      <alignment horizontal="center" vertical="center"/>
    </xf>
    <xf numFmtId="0" fontId="104" fillId="5" borderId="0"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0" fontId="222" fillId="5" borderId="0" xfId="0" applyFont="1" applyFill="1" applyBorder="1" applyAlignment="1" applyProtection="1">
      <alignment vertical="center"/>
    </xf>
    <xf numFmtId="0" fontId="222" fillId="5" borderId="0" xfId="0" applyFont="1" applyFill="1" applyBorder="1" applyAlignment="1" applyProtection="1">
      <alignment horizontal="center" vertical="center"/>
    </xf>
    <xf numFmtId="0" fontId="103" fillId="8" borderId="0" xfId="0" applyFont="1" applyFill="1" applyBorder="1" applyAlignment="1" applyProtection="1">
      <alignment horizontal="left" vertical="center"/>
    </xf>
    <xf numFmtId="0" fontId="99" fillId="8" borderId="0" xfId="0" applyFont="1" applyFill="1" applyBorder="1" applyProtection="1">
      <alignment vertical="center"/>
    </xf>
    <xf numFmtId="49" fontId="48" fillId="5" borderId="39" xfId="0" applyNumberFormat="1" applyFont="1" applyFill="1" applyBorder="1" applyAlignment="1" applyProtection="1">
      <alignment horizontal="left" vertical="center" wrapText="1"/>
    </xf>
    <xf numFmtId="0" fontId="50" fillId="5" borderId="0" xfId="0" applyFont="1" applyFill="1" applyBorder="1" applyAlignment="1" applyProtection="1">
      <alignment horizontal="left" vertical="center" wrapText="1"/>
    </xf>
    <xf numFmtId="177" fontId="50" fillId="5" borderId="0" xfId="0" applyNumberFormat="1" applyFont="1" applyFill="1" applyBorder="1" applyAlignment="1" applyProtection="1">
      <alignment horizontal="center" vertical="center" wrapText="1"/>
    </xf>
    <xf numFmtId="10" fontId="49" fillId="5" borderId="0" xfId="0" applyNumberFormat="1" applyFont="1" applyFill="1" applyBorder="1" applyAlignment="1" applyProtection="1">
      <alignment horizontal="center" vertical="center" wrapText="1"/>
    </xf>
    <xf numFmtId="0" fontId="43" fillId="5" borderId="0" xfId="0" applyFont="1" applyFill="1" applyBorder="1" applyAlignment="1" applyProtection="1">
      <alignment horizontal="left" vertical="center"/>
    </xf>
    <xf numFmtId="0" fontId="43" fillId="5" borderId="0" xfId="2" applyFont="1" applyFill="1" applyBorder="1" applyAlignment="1" applyProtection="1">
      <alignment horizontal="left" vertical="center" wrapText="1"/>
    </xf>
    <xf numFmtId="0" fontId="99" fillId="0" borderId="0" xfId="0" applyFont="1" applyFill="1" applyProtection="1">
      <alignment vertical="center"/>
    </xf>
    <xf numFmtId="0" fontId="99" fillId="8" borderId="0" xfId="0" applyFont="1" applyFill="1" applyProtection="1">
      <alignment vertical="center"/>
    </xf>
    <xf numFmtId="0" fontId="99" fillId="5" borderId="0" xfId="2" applyFont="1" applyFill="1" applyAlignment="1" applyProtection="1">
      <alignment vertical="center" wrapText="1"/>
    </xf>
    <xf numFmtId="0" fontId="43" fillId="2" borderId="51" xfId="0" applyFont="1" applyFill="1" applyBorder="1" applyAlignment="1" applyProtection="1">
      <alignment horizontal="left" vertical="center" wrapText="1"/>
      <protection locked="0"/>
    </xf>
    <xf numFmtId="0" fontId="99" fillId="5" borderId="0" xfId="2" applyFont="1" applyFill="1" applyProtection="1"/>
    <xf numFmtId="10" fontId="43" fillId="2" borderId="41" xfId="0" applyNumberFormat="1" applyFont="1" applyFill="1" applyBorder="1" applyAlignment="1" applyProtection="1">
      <alignment horizontal="left" vertical="center" wrapText="1"/>
      <protection locked="0"/>
    </xf>
    <xf numFmtId="10" fontId="43" fillId="6" borderId="41" xfId="0" applyNumberFormat="1" applyFont="1" applyFill="1" applyBorder="1" applyAlignment="1" applyProtection="1">
      <alignment horizontal="left" vertical="center" wrapText="1"/>
      <protection locked="0"/>
    </xf>
    <xf numFmtId="0" fontId="99" fillId="0" borderId="7" xfId="0" applyFont="1" applyFill="1" applyBorder="1" applyProtection="1">
      <alignment vertical="center"/>
      <protection locked="0"/>
    </xf>
    <xf numFmtId="0" fontId="140" fillId="0" borderId="60" xfId="0" applyFont="1" applyBorder="1" applyAlignment="1" applyProtection="1">
      <alignment horizontal="left" vertical="center"/>
      <protection locked="0"/>
    </xf>
    <xf numFmtId="0" fontId="43" fillId="0" borderId="0" xfId="0" applyFont="1" applyBorder="1" applyAlignment="1" applyProtection="1">
      <alignment horizontal="left" vertical="center" wrapText="1"/>
      <protection locked="0"/>
    </xf>
    <xf numFmtId="0" fontId="52" fillId="6" borderId="0"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center" vertical="center" wrapText="1"/>
      <protection locked="0"/>
    </xf>
    <xf numFmtId="0" fontId="43" fillId="8" borderId="0" xfId="0" applyFont="1" applyFill="1" applyBorder="1" applyAlignment="1" applyProtection="1">
      <alignment horizontal="center" vertical="center"/>
      <protection locked="0"/>
    </xf>
    <xf numFmtId="0" fontId="43" fillId="8" borderId="25" xfId="0" applyFont="1" applyFill="1" applyBorder="1" applyProtection="1">
      <alignment vertical="center"/>
      <protection locked="0"/>
    </xf>
    <xf numFmtId="0" fontId="43" fillId="8" borderId="60"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64" xfId="0" applyFont="1" applyFill="1" applyBorder="1" applyAlignment="1" applyProtection="1">
      <alignment horizontal="left" vertical="center" wrapText="1"/>
      <protection locked="0"/>
    </xf>
    <xf numFmtId="0" fontId="43" fillId="8" borderId="65" xfId="0" applyFont="1" applyFill="1" applyBorder="1" applyAlignment="1" applyProtection="1">
      <alignment horizontal="left" vertical="center" wrapText="1"/>
      <protection locked="0"/>
    </xf>
    <xf numFmtId="0" fontId="43" fillId="8" borderId="65" xfId="0" applyFont="1" applyFill="1" applyBorder="1" applyAlignment="1" applyProtection="1">
      <alignment horizontal="center" vertical="center" wrapText="1"/>
      <protection locked="0"/>
    </xf>
    <xf numFmtId="0" fontId="43" fillId="8" borderId="65" xfId="0" applyFont="1" applyFill="1" applyBorder="1" applyAlignment="1" applyProtection="1">
      <alignment horizontal="center" vertical="center"/>
      <protection locked="0"/>
    </xf>
    <xf numFmtId="0" fontId="43" fillId="8" borderId="24" xfId="0" applyFont="1" applyFill="1" applyBorder="1" applyProtection="1">
      <alignment vertical="center"/>
      <protection locked="0"/>
    </xf>
    <xf numFmtId="0" fontId="48" fillId="8" borderId="65" xfId="0" applyFont="1" applyFill="1" applyBorder="1" applyAlignment="1" applyProtection="1">
      <alignment horizontal="left" vertical="center"/>
      <protection locked="0"/>
    </xf>
    <xf numFmtId="0" fontId="43" fillId="8" borderId="65" xfId="0" applyFont="1" applyFill="1" applyBorder="1" applyProtection="1">
      <alignment vertical="center"/>
      <protection locked="0"/>
    </xf>
    <xf numFmtId="0" fontId="43" fillId="8" borderId="65" xfId="0" applyFont="1" applyFill="1" applyBorder="1" applyAlignment="1" applyProtection="1">
      <alignment horizontal="right" vertical="center"/>
      <protection locked="0"/>
    </xf>
    <xf numFmtId="0" fontId="48" fillId="8" borderId="0" xfId="0" applyFont="1" applyFill="1" applyAlignment="1" applyProtection="1">
      <alignment horizontal="left" vertical="center"/>
      <protection locked="0"/>
    </xf>
    <xf numFmtId="2" fontId="43" fillId="8" borderId="0" xfId="0" applyNumberFormat="1" applyFont="1" applyFill="1" applyAlignment="1" applyProtection="1">
      <alignment vertical="center" wrapText="1"/>
      <protection locked="0"/>
    </xf>
    <xf numFmtId="0" fontId="48" fillId="8" borderId="0" xfId="0" applyFont="1" applyFill="1" applyAlignment="1" applyProtection="1">
      <alignment vertical="center" wrapText="1"/>
      <protection locked="0"/>
    </xf>
    <xf numFmtId="0" fontId="43" fillId="8" borderId="0" xfId="0" applyFont="1" applyFill="1" applyAlignment="1" applyProtection="1">
      <alignment vertical="center" wrapText="1"/>
      <protection locked="0"/>
    </xf>
    <xf numFmtId="0" fontId="42" fillId="5" borderId="22" xfId="0" applyFont="1" applyFill="1" applyBorder="1" applyAlignment="1" applyProtection="1">
      <alignment horizontal="left" vertical="center"/>
    </xf>
    <xf numFmtId="0" fontId="42" fillId="5" borderId="26" xfId="0" applyFont="1" applyFill="1" applyBorder="1" applyAlignment="1" applyProtection="1">
      <alignment horizontal="left" vertical="center"/>
    </xf>
    <xf numFmtId="0" fontId="42" fillId="5" borderId="42" xfId="0" applyFont="1" applyFill="1" applyBorder="1" applyAlignment="1" applyProtection="1">
      <alignment horizontal="left" vertical="center"/>
    </xf>
    <xf numFmtId="0" fontId="42" fillId="5" borderId="46" xfId="0" applyFont="1" applyFill="1" applyBorder="1" applyAlignment="1" applyProtection="1">
      <alignment horizontal="left" vertical="center"/>
    </xf>
    <xf numFmtId="0" fontId="102" fillId="5" borderId="0" xfId="0" applyFont="1" applyFill="1" applyBorder="1" applyAlignment="1" applyProtection="1">
      <alignment horizontal="left" vertical="center"/>
    </xf>
    <xf numFmtId="0" fontId="50" fillId="6" borderId="2" xfId="1" applyFont="1" applyFill="1" applyBorder="1" applyAlignment="1" applyProtection="1">
      <alignment vertical="center"/>
      <protection locked="0"/>
    </xf>
    <xf numFmtId="0" fontId="133" fillId="5" borderId="3" xfId="1" applyFont="1" applyFill="1" applyBorder="1" applyAlignment="1" applyProtection="1">
      <alignment vertical="center"/>
    </xf>
    <xf numFmtId="0" fontId="50" fillId="6" borderId="6" xfId="1" applyFont="1" applyFill="1" applyBorder="1" applyAlignment="1" applyProtection="1">
      <alignment horizontal="left" vertical="center"/>
      <protection locked="0"/>
    </xf>
    <xf numFmtId="0" fontId="54" fillId="5" borderId="0" xfId="0" applyFont="1" applyFill="1" applyBorder="1" applyAlignment="1" applyProtection="1">
      <alignment vertical="center"/>
    </xf>
    <xf numFmtId="0" fontId="54" fillId="5" borderId="18" xfId="0" applyFont="1" applyFill="1" applyBorder="1" applyAlignment="1" applyProtection="1">
      <alignment vertical="center"/>
    </xf>
    <xf numFmtId="0" fontId="43" fillId="5" borderId="27" xfId="0" applyFont="1" applyFill="1" applyBorder="1" applyAlignment="1" applyProtection="1">
      <alignment vertical="center" wrapText="1"/>
    </xf>
    <xf numFmtId="0" fontId="43" fillId="5" borderId="25" xfId="0" applyFont="1" applyFill="1" applyBorder="1" applyAlignment="1" applyProtection="1">
      <alignment vertical="center"/>
    </xf>
    <xf numFmtId="0" fontId="54" fillId="6" borderId="53" xfId="0" applyFont="1" applyFill="1" applyBorder="1" applyAlignment="1" applyProtection="1">
      <alignment horizontal="center" vertical="center"/>
      <protection locked="0"/>
    </xf>
    <xf numFmtId="0" fontId="233" fillId="5" borderId="1" xfId="0" applyFont="1" applyFill="1" applyBorder="1" applyAlignment="1" applyProtection="1">
      <alignment horizontal="right" vertical="center" wrapText="1"/>
    </xf>
    <xf numFmtId="0" fontId="43" fillId="5" borderId="91" xfId="0" applyFont="1" applyFill="1" applyBorder="1" applyAlignment="1" applyProtection="1">
      <alignment vertical="center" wrapText="1"/>
    </xf>
    <xf numFmtId="0" fontId="43" fillId="5" borderId="75" xfId="0" applyFont="1" applyFill="1" applyBorder="1" applyAlignment="1" applyProtection="1">
      <alignment vertical="center"/>
    </xf>
    <xf numFmtId="0" fontId="101" fillId="8" borderId="0" xfId="0" applyFont="1" applyFill="1" applyAlignment="1" applyProtection="1">
      <protection locked="0"/>
    </xf>
    <xf numFmtId="0" fontId="40" fillId="5" borderId="81" xfId="0" applyFont="1" applyFill="1" applyBorder="1" applyAlignment="1" applyProtection="1"/>
    <xf numFmtId="0" fontId="140" fillId="8" borderId="55" xfId="0" applyFont="1" applyFill="1" applyBorder="1" applyAlignment="1" applyProtection="1">
      <alignment vertical="center"/>
      <protection locked="0"/>
    </xf>
    <xf numFmtId="0" fontId="54" fillId="5" borderId="4" xfId="0" applyFont="1" applyFill="1" applyBorder="1" applyAlignment="1" applyProtection="1">
      <alignment vertical="center"/>
    </xf>
    <xf numFmtId="0" fontId="54" fillId="6" borderId="31" xfId="0" applyFont="1" applyFill="1" applyBorder="1" applyAlignment="1" applyProtection="1">
      <alignment horizontal="center" vertical="center"/>
      <protection locked="0"/>
    </xf>
    <xf numFmtId="0" fontId="54" fillId="5" borderId="4" xfId="0" applyFont="1" applyFill="1" applyBorder="1" applyAlignment="1" applyProtection="1">
      <alignment horizontal="left" vertical="center"/>
      <protection locked="0"/>
    </xf>
    <xf numFmtId="0" fontId="54" fillId="5" borderId="7" xfId="0" applyFont="1" applyFill="1" applyBorder="1" applyAlignment="1" applyProtection="1">
      <alignment vertical="center"/>
    </xf>
    <xf numFmtId="0" fontId="130" fillId="6" borderId="6" xfId="0" applyFont="1" applyFill="1" applyBorder="1" applyAlignment="1" applyProtection="1">
      <alignment horizontal="center"/>
      <protection locked="0"/>
    </xf>
    <xf numFmtId="0" fontId="130" fillId="5" borderId="7" xfId="0" applyFont="1" applyFill="1" applyBorder="1" applyAlignment="1" applyProtection="1">
      <alignment horizontal="left"/>
      <protection locked="0"/>
    </xf>
    <xf numFmtId="0" fontId="40" fillId="5" borderId="1" xfId="0" applyFont="1" applyFill="1" applyBorder="1" applyAlignment="1" applyProtection="1">
      <protection locked="0"/>
    </xf>
    <xf numFmtId="0" fontId="99" fillId="5" borderId="7" xfId="0" applyFont="1" applyFill="1" applyBorder="1" applyAlignment="1" applyProtection="1">
      <alignment horizontal="left"/>
      <protection locked="0"/>
    </xf>
    <xf numFmtId="49" fontId="54" fillId="5" borderId="7" xfId="0" applyNumberFormat="1" applyFont="1" applyFill="1" applyBorder="1" applyAlignment="1" applyProtection="1">
      <alignment horizontal="left" vertical="center"/>
    </xf>
    <xf numFmtId="0" fontId="54" fillId="5" borderId="7" xfId="0" applyFont="1" applyFill="1" applyBorder="1" applyAlignment="1" applyProtection="1">
      <alignment vertical="center"/>
      <protection locked="0"/>
    </xf>
    <xf numFmtId="0" fontId="54" fillId="5" borderId="8" xfId="0" applyFont="1" applyFill="1" applyBorder="1" applyAlignment="1" applyProtection="1">
      <alignment vertical="center"/>
    </xf>
    <xf numFmtId="0" fontId="233" fillId="5" borderId="3" xfId="0" applyFont="1" applyFill="1" applyBorder="1" applyAlignment="1" applyProtection="1">
      <alignment horizontal="right" vertical="center" wrapText="1"/>
    </xf>
    <xf numFmtId="0" fontId="43" fillId="5" borderId="36" xfId="0" applyFont="1" applyFill="1" applyBorder="1" applyAlignment="1" applyProtection="1">
      <alignment horizontal="left" vertical="center"/>
    </xf>
    <xf numFmtId="0" fontId="236" fillId="5" borderId="40" xfId="0" applyFont="1" applyFill="1" applyBorder="1" applyAlignment="1" applyProtection="1">
      <alignment vertical="center" wrapText="1"/>
    </xf>
    <xf numFmtId="0" fontId="43" fillId="5" borderId="126" xfId="0" applyFont="1" applyFill="1" applyBorder="1" applyAlignment="1" applyProtection="1">
      <alignment horizontal="left" vertical="center"/>
    </xf>
    <xf numFmtId="0" fontId="53" fillId="5" borderId="46" xfId="0" applyFont="1" applyFill="1" applyBorder="1" applyAlignment="1" applyProtection="1">
      <alignment horizontal="left" vertical="center" wrapText="1"/>
    </xf>
    <xf numFmtId="0" fontId="53" fillId="5" borderId="5" xfId="0" applyFont="1" applyFill="1" applyBorder="1" applyAlignment="1" applyProtection="1">
      <alignment horizontal="center" vertical="center"/>
    </xf>
    <xf numFmtId="0" fontId="54" fillId="5" borderId="23" xfId="0" applyFont="1" applyFill="1" applyBorder="1" applyAlignment="1" applyProtection="1">
      <alignment vertical="center" wrapText="1"/>
    </xf>
    <xf numFmtId="0" fontId="54" fillId="5" borderId="7" xfId="0" applyFont="1" applyFill="1" applyBorder="1" applyAlignment="1" applyProtection="1">
      <alignment vertical="center" wrapText="1"/>
    </xf>
    <xf numFmtId="49" fontId="53" fillId="5" borderId="8" xfId="0" applyNumberFormat="1" applyFont="1" applyFill="1" applyBorder="1" applyAlignment="1" applyProtection="1">
      <alignment horizontal="left" vertical="center"/>
    </xf>
    <xf numFmtId="0" fontId="53" fillId="5" borderId="8" xfId="0" applyFont="1" applyFill="1" applyBorder="1" applyAlignment="1" applyProtection="1">
      <alignment horizontal="center" vertical="center"/>
    </xf>
    <xf numFmtId="0" fontId="54" fillId="5" borderId="1" xfId="0" applyFont="1" applyFill="1" applyBorder="1" applyAlignment="1"/>
    <xf numFmtId="0" fontId="48" fillId="5" borderId="122" xfId="0" applyNumberFormat="1" applyFont="1" applyFill="1" applyBorder="1" applyAlignment="1" applyProtection="1">
      <alignment horizontal="center" vertical="center" wrapText="1"/>
      <protection locked="0"/>
    </xf>
    <xf numFmtId="0" fontId="43" fillId="10" borderId="5" xfId="0" applyNumberFormat="1" applyFont="1" applyFill="1" applyBorder="1" applyAlignment="1" applyProtection="1">
      <alignment horizontal="center" vertical="center" wrapText="1"/>
      <protection locked="0"/>
    </xf>
    <xf numFmtId="0" fontId="48" fillId="5" borderId="5" xfId="0" applyFont="1" applyFill="1" applyBorder="1" applyAlignment="1" applyProtection="1">
      <alignment horizontal="left" vertical="center"/>
      <protection locked="0"/>
    </xf>
    <xf numFmtId="0" fontId="41" fillId="5" borderId="1" xfId="0" applyFont="1" applyFill="1" applyBorder="1" applyProtection="1">
      <alignment vertical="center"/>
    </xf>
    <xf numFmtId="0" fontId="50" fillId="6" borderId="20" xfId="1" applyFont="1" applyFill="1" applyBorder="1" applyAlignment="1" applyProtection="1">
      <alignment vertical="center"/>
      <protection locked="0"/>
    </xf>
    <xf numFmtId="0" fontId="53" fillId="6" borderId="43" xfId="1" applyFont="1" applyFill="1" applyBorder="1" applyAlignment="1" applyProtection="1">
      <alignment vertical="center"/>
      <protection locked="0"/>
    </xf>
    <xf numFmtId="0" fontId="43" fillId="8" borderId="1" xfId="0" applyFont="1" applyFill="1" applyBorder="1" applyAlignment="1" applyProtection="1">
      <alignment vertical="center"/>
      <protection locked="0"/>
    </xf>
    <xf numFmtId="0" fontId="58" fillId="6" borderId="90" xfId="0" applyFont="1" applyFill="1" applyBorder="1" applyAlignment="1" applyProtection="1">
      <alignment horizontal="center" vertical="center"/>
      <protection locked="0"/>
    </xf>
    <xf numFmtId="0" fontId="50" fillId="6" borderId="64" xfId="1" applyFont="1" applyFill="1" applyBorder="1" applyAlignment="1" applyProtection="1">
      <alignment vertical="center"/>
      <protection locked="0"/>
    </xf>
    <xf numFmtId="0" fontId="133" fillId="5" borderId="24" xfId="1" applyFont="1" applyFill="1" applyBorder="1" applyAlignment="1" applyProtection="1">
      <alignment vertical="center"/>
    </xf>
    <xf numFmtId="0" fontId="53" fillId="6" borderId="17" xfId="1" applyFont="1" applyFill="1" applyBorder="1" applyAlignment="1" applyProtection="1">
      <alignment vertical="center"/>
      <protection locked="0"/>
    </xf>
    <xf numFmtId="0" fontId="40" fillId="0" borderId="35" xfId="0" applyFont="1" applyFill="1" applyBorder="1" applyAlignment="1" applyProtection="1">
      <alignment horizontal="center" vertical="center" wrapText="1"/>
      <protection locked="0"/>
    </xf>
    <xf numFmtId="0" fontId="40" fillId="0" borderId="44" xfId="0" applyFont="1" applyFill="1" applyBorder="1" applyAlignment="1" applyProtection="1">
      <alignment horizontal="center" vertical="center" wrapText="1"/>
      <protection locked="0"/>
    </xf>
    <xf numFmtId="0" fontId="47" fillId="0" borderId="20" xfId="0" applyNumberFormat="1" applyFont="1" applyFill="1" applyBorder="1" applyAlignment="1" applyProtection="1">
      <alignment horizontal="center" vertical="center" wrapText="1"/>
      <protection locked="0"/>
    </xf>
    <xf numFmtId="49" fontId="47" fillId="2" borderId="23" xfId="0" applyNumberFormat="1" applyFont="1" applyFill="1" applyBorder="1" applyAlignment="1" applyProtection="1">
      <alignment horizontal="center" vertical="center" wrapText="1"/>
      <protection locked="0"/>
    </xf>
    <xf numFmtId="0" fontId="47" fillId="5" borderId="16"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0" fillId="5" borderId="60" xfId="0" applyFont="1" applyFill="1" applyBorder="1" applyAlignment="1" applyProtection="1">
      <alignment horizontal="center" vertical="center" wrapText="1"/>
    </xf>
    <xf numFmtId="49" fontId="47" fillId="2" borderId="7" xfId="0" applyNumberFormat="1"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0" fontId="46" fillId="5" borderId="4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54" fillId="5" borderId="96" xfId="0" applyFont="1" applyFill="1" applyBorder="1" applyAlignment="1" applyProtection="1">
      <alignment horizontal="left" vertical="center"/>
    </xf>
    <xf numFmtId="184" fontId="40" fillId="0" borderId="9" xfId="0" applyNumberFormat="1" applyFont="1" applyFill="1" applyBorder="1" applyAlignment="1" applyProtection="1">
      <alignment horizontal="center" vertical="center" wrapText="1"/>
      <protection locked="0"/>
    </xf>
    <xf numFmtId="0" fontId="40" fillId="0" borderId="6" xfId="0" applyFont="1" applyFill="1" applyBorder="1" applyAlignment="1" applyProtection="1">
      <alignment horizontal="center" vertical="center" wrapText="1"/>
      <protection locked="0"/>
    </xf>
    <xf numFmtId="0" fontId="47" fillId="2" borderId="4" xfId="0" applyNumberFormat="1" applyFont="1" applyFill="1" applyBorder="1" applyAlignment="1" applyProtection="1">
      <alignment horizontal="center" vertical="center" wrapText="1"/>
      <protection locked="0"/>
    </xf>
    <xf numFmtId="0" fontId="47" fillId="0" borderId="32" xfId="0" applyNumberFormat="1" applyFont="1" applyFill="1" applyBorder="1" applyAlignment="1" applyProtection="1">
      <alignment horizontal="left" vertical="center" wrapText="1"/>
      <protection locked="0"/>
    </xf>
    <xf numFmtId="0" fontId="58" fillId="5" borderId="32" xfId="0" applyFont="1" applyFill="1" applyBorder="1" applyAlignment="1" applyProtection="1">
      <alignment vertical="center"/>
      <protection locked="0"/>
    </xf>
    <xf numFmtId="0" fontId="40" fillId="0" borderId="51" xfId="0" applyNumberFormat="1" applyFont="1" applyFill="1" applyBorder="1" applyAlignment="1" applyProtection="1">
      <alignment horizontal="center" vertical="center" wrapText="1"/>
      <protection locked="0"/>
    </xf>
    <xf numFmtId="0" fontId="47" fillId="5" borderId="22" xfId="0" applyNumberFormat="1" applyFont="1" applyFill="1" applyBorder="1" applyAlignment="1" applyProtection="1">
      <alignment horizontal="center" vertical="center" wrapText="1"/>
    </xf>
    <xf numFmtId="0" fontId="58" fillId="2" borderId="75" xfId="0" applyFont="1" applyFill="1" applyBorder="1" applyAlignment="1" applyProtection="1">
      <alignment horizontal="center" vertical="center"/>
      <protection locked="0"/>
    </xf>
    <xf numFmtId="0" fontId="47" fillId="0" borderId="52" xfId="0" applyNumberFormat="1" applyFont="1" applyFill="1" applyBorder="1" applyAlignment="1" applyProtection="1">
      <alignment horizontal="center" vertical="center" wrapText="1"/>
      <protection locked="0"/>
    </xf>
    <xf numFmtId="0" fontId="40" fillId="0" borderId="20" xfId="0" applyNumberFormat="1" applyFont="1" applyFill="1" applyBorder="1" applyAlignment="1" applyProtection="1">
      <alignment horizontal="center" vertical="center" wrapText="1"/>
      <protection locked="0"/>
    </xf>
    <xf numFmtId="0" fontId="40" fillId="2" borderId="46" xfId="0" applyNumberFormat="1" applyFont="1" applyFill="1" applyBorder="1" applyAlignment="1" applyProtection="1">
      <alignment horizontal="center" vertical="center" wrapText="1"/>
      <protection locked="0"/>
    </xf>
    <xf numFmtId="0" fontId="40" fillId="2" borderId="65" xfId="0" applyNumberFormat="1" applyFont="1" applyFill="1" applyBorder="1" applyAlignment="1" applyProtection="1">
      <alignment horizontal="center" vertical="center" wrapText="1"/>
      <protection locked="0"/>
    </xf>
    <xf numFmtId="9" fontId="40" fillId="2" borderId="19" xfId="0" applyNumberFormat="1"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protection locked="0"/>
    </xf>
    <xf numFmtId="0" fontId="45" fillId="0" borderId="20" xfId="0" applyNumberFormat="1" applyFont="1" applyFill="1" applyBorder="1" applyAlignment="1" applyProtection="1">
      <alignment horizontal="center" vertical="center" wrapText="1"/>
      <protection locked="0"/>
    </xf>
    <xf numFmtId="49" fontId="46" fillId="2" borderId="31" xfId="0" applyNumberFormat="1" applyFont="1" applyFill="1" applyBorder="1" applyAlignment="1" applyProtection="1">
      <alignment vertical="center"/>
      <protection locked="0"/>
    </xf>
    <xf numFmtId="0" fontId="47" fillId="6" borderId="11" xfId="0" applyFont="1" applyFill="1" applyBorder="1" applyAlignment="1" applyProtection="1">
      <alignment horizontal="center" vertical="center"/>
      <protection locked="0"/>
    </xf>
    <xf numFmtId="0" fontId="47" fillId="5" borderId="37" xfId="0" applyFont="1" applyFill="1" applyBorder="1" applyAlignment="1" applyProtection="1">
      <alignment horizontal="center" vertical="center" wrapText="1"/>
      <protection locked="0"/>
    </xf>
    <xf numFmtId="0" fontId="100" fillId="5" borderId="0" xfId="0" applyFont="1" applyFill="1" applyAlignment="1" applyProtection="1">
      <alignment horizontal="left" vertical="center"/>
    </xf>
    <xf numFmtId="0" fontId="42" fillId="5" borderId="5" xfId="0" applyNumberFormat="1" applyFont="1" applyFill="1" applyBorder="1" applyAlignment="1" applyProtection="1">
      <alignment vertical="center"/>
    </xf>
    <xf numFmtId="0" fontId="40" fillId="2" borderId="63" xfId="0" applyNumberFormat="1" applyFont="1" applyFill="1" applyBorder="1" applyAlignment="1" applyProtection="1">
      <alignment horizontal="center" vertical="center" wrapText="1"/>
      <protection locked="0"/>
    </xf>
    <xf numFmtId="0" fontId="47" fillId="5" borderId="26" xfId="0" applyNumberFormat="1" applyFont="1" applyFill="1" applyBorder="1" applyAlignment="1" applyProtection="1">
      <alignment horizontal="center" vertical="center" wrapText="1"/>
    </xf>
    <xf numFmtId="0" fontId="47" fillId="0" borderId="6" xfId="0" applyFont="1" applyFill="1" applyBorder="1" applyAlignment="1" applyProtection="1">
      <alignment horizontal="center" vertical="center"/>
      <protection locked="0"/>
    </xf>
    <xf numFmtId="0" fontId="45" fillId="0" borderId="43" xfId="0" applyFont="1" applyFill="1" applyBorder="1" applyAlignment="1" applyProtection="1">
      <alignment horizontal="center" vertical="center"/>
      <protection locked="0"/>
    </xf>
    <xf numFmtId="0" fontId="42" fillId="5" borderId="1" xfId="0" applyNumberFormat="1" applyFont="1" applyFill="1" applyBorder="1" applyAlignment="1" applyProtection="1">
      <alignment horizontal="center" vertical="center" wrapText="1"/>
    </xf>
    <xf numFmtId="0" fontId="45" fillId="5" borderId="71" xfId="0" applyNumberFormat="1" applyFont="1" applyFill="1" applyBorder="1" applyAlignment="1" applyProtection="1">
      <alignment horizontal="center" vertical="center" wrapText="1"/>
      <protection locked="0"/>
    </xf>
    <xf numFmtId="0" fontId="49" fillId="5" borderId="1" xfId="0" applyNumberFormat="1" applyFont="1" applyFill="1" applyBorder="1" applyAlignment="1" applyProtection="1">
      <alignment horizontal="left" vertical="center" wrapText="1"/>
    </xf>
    <xf numFmtId="0" fontId="49" fillId="5" borderId="3"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protection locked="0"/>
    </xf>
    <xf numFmtId="0" fontId="46" fillId="5" borderId="18" xfId="0" applyFont="1" applyFill="1" applyBorder="1" applyAlignment="1" applyProtection="1">
      <alignment horizontal="left" vertical="center" wrapText="1"/>
    </xf>
    <xf numFmtId="0" fontId="50" fillId="5" borderId="66" xfId="0" applyFont="1" applyFill="1" applyBorder="1" applyAlignment="1" applyProtection="1">
      <alignment horizontal="left" vertical="center" wrapText="1"/>
    </xf>
    <xf numFmtId="0" fontId="50" fillId="5" borderId="11" xfId="0" applyFont="1" applyFill="1" applyBorder="1" applyAlignment="1" applyProtection="1">
      <alignment horizontal="left" vertical="center" wrapText="1"/>
    </xf>
    <xf numFmtId="0" fontId="49" fillId="5" borderId="18" xfId="0" applyFont="1" applyFill="1" applyBorder="1" applyAlignment="1" applyProtection="1">
      <alignment horizontal="left" vertical="center" wrapText="1"/>
    </xf>
    <xf numFmtId="0" fontId="50" fillId="5" borderId="57" xfId="0" applyFont="1" applyFill="1" applyBorder="1" applyAlignment="1" applyProtection="1">
      <alignment horizontal="left" vertical="center" wrapText="1"/>
    </xf>
    <xf numFmtId="0" fontId="102" fillId="5" borderId="18" xfId="0" applyFont="1" applyFill="1" applyBorder="1" applyAlignment="1" applyProtection="1">
      <alignment horizontal="left" vertical="center" wrapText="1"/>
    </xf>
    <xf numFmtId="0" fontId="102" fillId="5" borderId="17" xfId="0" applyFont="1" applyFill="1" applyBorder="1" applyAlignment="1" applyProtection="1">
      <alignment horizontal="left" vertical="center" wrapText="1"/>
    </xf>
    <xf numFmtId="0" fontId="102" fillId="5" borderId="71" xfId="0"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6" borderId="11" xfId="0" applyFont="1" applyFill="1" applyBorder="1" applyAlignment="1" applyProtection="1">
      <alignment horizontal="left" vertical="center" wrapText="1"/>
      <protection locked="0"/>
    </xf>
    <xf numFmtId="0" fontId="47" fillId="5" borderId="1" xfId="0" applyFont="1" applyFill="1" applyBorder="1" applyAlignment="1" applyProtection="1">
      <alignment horizontal="left" vertical="center" wrapText="1"/>
    </xf>
    <xf numFmtId="0" fontId="46" fillId="5" borderId="61"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7" fillId="5" borderId="0" xfId="0" applyFont="1" applyFill="1" applyBorder="1" applyAlignment="1" applyProtection="1">
      <alignment horizontal="left" vertical="center" wrapText="1"/>
    </xf>
    <xf numFmtId="0" fontId="49" fillId="5" borderId="3" xfId="0" applyFont="1" applyFill="1" applyBorder="1" applyAlignment="1" applyProtection="1">
      <alignment horizontal="left" vertical="center" wrapText="1"/>
    </xf>
    <xf numFmtId="0" fontId="49" fillId="5" borderId="56" xfId="0" applyFont="1" applyFill="1" applyBorder="1" applyAlignment="1" applyProtection="1">
      <alignment horizontal="left" vertical="center" wrapText="1"/>
    </xf>
    <xf numFmtId="0" fontId="50" fillId="5" borderId="21" xfId="0" applyFont="1" applyFill="1" applyBorder="1" applyAlignment="1" applyProtection="1">
      <alignment horizontal="left" vertical="center" wrapText="1"/>
    </xf>
    <xf numFmtId="0" fontId="49" fillId="8" borderId="0" xfId="0" applyFont="1" applyFill="1" applyAlignment="1" applyProtection="1">
      <alignment horizontal="left" vertical="center" wrapText="1"/>
      <protection locked="0"/>
    </xf>
    <xf numFmtId="0" fontId="49" fillId="0" borderId="0" xfId="0" applyFont="1" applyAlignment="1" applyProtection="1">
      <alignment horizontal="left" vertical="center" wrapText="1"/>
    </xf>
    <xf numFmtId="0" fontId="46" fillId="6" borderId="1" xfId="1" applyFont="1" applyFill="1" applyBorder="1" applyAlignment="1" applyProtection="1">
      <alignment vertical="center"/>
      <protection locked="0"/>
    </xf>
    <xf numFmtId="49" fontId="46" fillId="6" borderId="1" xfId="0" applyNumberFormat="1" applyFont="1" applyFill="1" applyBorder="1" applyAlignment="1" applyProtection="1">
      <protection locked="0"/>
    </xf>
    <xf numFmtId="49" fontId="46" fillId="5" borderId="0" xfId="0" applyNumberFormat="1" applyFont="1" applyFill="1" applyBorder="1" applyAlignment="1" applyProtection="1">
      <protection locked="0"/>
    </xf>
    <xf numFmtId="177" fontId="46" fillId="5" borderId="65" xfId="0" applyNumberFormat="1" applyFont="1" applyFill="1" applyBorder="1" applyAlignment="1" applyProtection="1"/>
    <xf numFmtId="0" fontId="31" fillId="5" borderId="9" xfId="0" applyFont="1" applyFill="1" applyBorder="1" applyAlignment="1" applyProtection="1">
      <alignment vertical="center" wrapText="1"/>
    </xf>
    <xf numFmtId="0" fontId="46" fillId="5" borderId="71" xfId="0" applyFont="1" applyFill="1" applyBorder="1" applyAlignment="1" applyProtection="1">
      <alignment horizontal="left" vertical="center" wrapText="1"/>
    </xf>
    <xf numFmtId="0" fontId="50" fillId="5" borderId="4" xfId="0" applyFont="1" applyFill="1" applyBorder="1" applyAlignment="1" applyProtection="1">
      <alignment horizontal="left" vertical="center" wrapText="1"/>
    </xf>
    <xf numFmtId="0" fontId="49" fillId="5" borderId="8" xfId="0" applyFont="1" applyFill="1" applyBorder="1" applyAlignment="1" applyProtection="1">
      <alignment horizontal="left" vertical="center"/>
    </xf>
    <xf numFmtId="0" fontId="31" fillId="5" borderId="18" xfId="0" applyFont="1" applyFill="1" applyBorder="1" applyAlignment="1" applyProtection="1">
      <alignment vertical="center"/>
    </xf>
    <xf numFmtId="0" fontId="172" fillId="0" borderId="0" xfId="13" applyFont="1" applyBorder="1" applyAlignment="1" applyProtection="1">
      <alignment horizontal="left" vertical="center" wrapText="1"/>
      <protection locked="0"/>
    </xf>
    <xf numFmtId="0" fontId="40" fillId="5" borderId="1"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101" fillId="5" borderId="85" xfId="0" applyFont="1" applyFill="1" applyBorder="1" applyAlignment="1" applyProtection="1">
      <alignment horizontal="left" vertical="center"/>
    </xf>
    <xf numFmtId="0" fontId="58" fillId="5" borderId="126" xfId="0" applyFont="1" applyFill="1" applyBorder="1" applyAlignment="1" applyProtection="1">
      <alignment horizontal="left" vertical="center"/>
    </xf>
    <xf numFmtId="0" fontId="53" fillId="6" borderId="89" xfId="1" applyFont="1" applyFill="1" applyBorder="1" applyAlignment="1" applyProtection="1">
      <alignment horizontal="left" vertical="center"/>
      <protection locked="0"/>
    </xf>
    <xf numFmtId="0" fontId="53" fillId="5" borderId="90" xfId="0" applyFont="1" applyFill="1" applyBorder="1" applyAlignment="1" applyProtection="1">
      <alignment horizontal="left" vertical="center"/>
      <protection locked="0"/>
    </xf>
    <xf numFmtId="0" fontId="58" fillId="6" borderId="90" xfId="0" applyFont="1" applyFill="1" applyBorder="1" applyAlignment="1" applyProtection="1">
      <alignment horizontal="left" vertical="center"/>
      <protection locked="0"/>
    </xf>
    <xf numFmtId="0" fontId="66" fillId="5" borderId="126" xfId="0" applyFont="1" applyFill="1" applyBorder="1" applyAlignment="1" applyProtection="1">
      <alignment horizontal="left" vertical="center"/>
    </xf>
    <xf numFmtId="189" fontId="58" fillId="5" borderId="126" xfId="0" applyNumberFormat="1" applyFont="1" applyFill="1" applyBorder="1" applyAlignment="1" applyProtection="1">
      <alignment horizontal="left" vertical="center"/>
    </xf>
    <xf numFmtId="181" fontId="58" fillId="5" borderId="126" xfId="0" applyNumberFormat="1" applyFont="1" applyFill="1" applyBorder="1" applyAlignment="1" applyProtection="1">
      <alignment horizontal="left" vertical="center"/>
    </xf>
    <xf numFmtId="0" fontId="58" fillId="5" borderId="165" xfId="0" applyFont="1" applyFill="1" applyBorder="1" applyAlignment="1" applyProtection="1">
      <alignment horizontal="left" vertical="center"/>
    </xf>
    <xf numFmtId="0" fontId="58" fillId="5" borderId="90" xfId="0" applyFont="1" applyFill="1" applyBorder="1" applyAlignment="1" applyProtection="1">
      <alignment horizontal="left" vertical="center"/>
    </xf>
    <xf numFmtId="0" fontId="60" fillId="5" borderId="90" xfId="0" applyFont="1" applyFill="1" applyBorder="1" applyAlignment="1" applyProtection="1">
      <alignment horizontal="left" vertical="center"/>
    </xf>
    <xf numFmtId="0" fontId="60" fillId="0" borderId="90" xfId="0" applyFont="1" applyFill="1" applyBorder="1" applyAlignment="1" applyProtection="1">
      <alignment horizontal="left" vertical="center"/>
      <protection locked="0"/>
    </xf>
    <xf numFmtId="0" fontId="53" fillId="5" borderId="17" xfId="1" applyFont="1" applyFill="1" applyBorder="1" applyAlignment="1" applyProtection="1">
      <alignment horizontal="left" vertical="center"/>
    </xf>
    <xf numFmtId="0" fontId="53" fillId="5" borderId="17" xfId="0" applyFont="1" applyFill="1" applyBorder="1" applyAlignment="1" applyProtection="1">
      <alignment horizontal="left" vertical="center"/>
    </xf>
    <xf numFmtId="0" fontId="53" fillId="5" borderId="0" xfId="1" applyFont="1" applyFill="1" applyBorder="1" applyAlignment="1" applyProtection="1">
      <alignment horizontal="left" vertical="center"/>
    </xf>
    <xf numFmtId="0" fontId="50" fillId="6" borderId="64" xfId="1"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protection locked="0"/>
    </xf>
    <xf numFmtId="0" fontId="133" fillId="5" borderId="24" xfId="1" applyFont="1" applyFill="1" applyBorder="1" applyAlignment="1" applyProtection="1">
      <alignment horizontal="left" vertical="center"/>
    </xf>
    <xf numFmtId="0" fontId="53" fillId="6" borderId="17" xfId="1" applyFont="1" applyFill="1" applyBorder="1" applyAlignment="1" applyProtection="1">
      <alignment horizontal="left" vertical="center"/>
      <protection locked="0"/>
    </xf>
    <xf numFmtId="0" fontId="53" fillId="5" borderId="39"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4" fillId="5" borderId="0" xfId="0" applyFont="1" applyFill="1" applyBorder="1" applyAlignment="1" applyProtection="1">
      <alignment horizontal="left" vertical="center"/>
    </xf>
    <xf numFmtId="0" fontId="53" fillId="5" borderId="18" xfId="1" applyFont="1" applyFill="1" applyBorder="1" applyAlignment="1" applyProtection="1">
      <alignment horizontal="left" vertical="center"/>
    </xf>
    <xf numFmtId="0" fontId="53" fillId="5" borderId="18" xfId="0" applyFont="1" applyFill="1" applyBorder="1" applyAlignment="1" applyProtection="1">
      <alignment horizontal="left" vertical="center"/>
    </xf>
    <xf numFmtId="0" fontId="53" fillId="5" borderId="39" xfId="0" applyFont="1" applyFill="1" applyBorder="1" applyAlignment="1" applyProtection="1">
      <alignment horizontal="left" vertical="center"/>
      <protection locked="0"/>
    </xf>
    <xf numFmtId="0" fontId="54" fillId="5" borderId="0" xfId="0" applyFont="1" applyFill="1" applyAlignment="1" applyProtection="1">
      <alignment horizontal="left" vertical="center"/>
    </xf>
    <xf numFmtId="0" fontId="46" fillId="5" borderId="5"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189" fontId="40" fillId="5" borderId="38" xfId="0" applyNumberFormat="1" applyFont="1" applyFill="1" applyBorder="1" applyAlignment="1" applyProtection="1">
      <alignment horizontal="left" vertical="center" wrapText="1"/>
    </xf>
    <xf numFmtId="0" fontId="47" fillId="5" borderId="49" xfId="0" applyFont="1" applyFill="1" applyBorder="1" applyAlignment="1" applyProtection="1">
      <alignment horizontal="left" vertical="center"/>
    </xf>
    <xf numFmtId="0" fontId="47" fillId="0" borderId="0" xfId="0" applyFont="1" applyFill="1" applyAlignment="1" applyProtection="1">
      <alignment horizontal="left" vertical="center"/>
      <protection locked="0"/>
    </xf>
    <xf numFmtId="0" fontId="46" fillId="5" borderId="39"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189" fontId="40" fillId="5" borderId="41" xfId="0" applyNumberFormat="1"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0" fontId="46" fillId="5" borderId="40" xfId="0" applyFont="1" applyFill="1" applyBorder="1" applyAlignment="1" applyProtection="1">
      <alignment horizontal="left" vertical="center" wrapText="1"/>
    </xf>
    <xf numFmtId="0" fontId="42" fillId="5" borderId="55"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wrapText="1"/>
    </xf>
    <xf numFmtId="184" fontId="40" fillId="5" borderId="9" xfId="0" applyNumberFormat="1" applyFont="1" applyFill="1" applyBorder="1" applyAlignment="1" applyProtection="1">
      <alignment horizontal="left" vertical="center" wrapText="1"/>
    </xf>
    <xf numFmtId="0" fontId="40" fillId="5" borderId="15" xfId="0" applyNumberFormat="1" applyFont="1" applyFill="1" applyBorder="1" applyAlignment="1" applyProtection="1">
      <alignment horizontal="left" vertical="center" wrapText="1"/>
    </xf>
    <xf numFmtId="184" fontId="40" fillId="0" borderId="67" xfId="0" applyNumberFormat="1" applyFont="1" applyFill="1" applyBorder="1" applyAlignment="1" applyProtection="1">
      <alignment horizontal="left" vertical="center" wrapText="1"/>
      <protection locked="0"/>
    </xf>
    <xf numFmtId="0" fontId="40" fillId="5" borderId="14" xfId="0" applyNumberFormat="1" applyFont="1" applyFill="1" applyBorder="1" applyAlignment="1" applyProtection="1">
      <alignment horizontal="left" vertical="center" wrapText="1"/>
    </xf>
    <xf numFmtId="0" fontId="40" fillId="5" borderId="4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left" vertical="center"/>
      <protection locked="0"/>
    </xf>
    <xf numFmtId="188" fontId="40" fillId="5" borderId="2" xfId="0" applyNumberFormat="1" applyFont="1" applyFill="1" applyBorder="1" applyAlignment="1" applyProtection="1">
      <alignment horizontal="left" vertical="center"/>
    </xf>
    <xf numFmtId="49" fontId="40" fillId="5" borderId="3" xfId="0" applyNumberFormat="1" applyFont="1" applyFill="1" applyBorder="1" applyAlignment="1" applyProtection="1">
      <alignment horizontal="left" vertical="center"/>
    </xf>
    <xf numFmtId="0" fontId="40" fillId="5" borderId="49" xfId="0" applyFont="1" applyFill="1" applyBorder="1" applyAlignment="1" applyProtection="1">
      <alignment horizontal="left" vertical="center"/>
    </xf>
    <xf numFmtId="0" fontId="40" fillId="5" borderId="1" xfId="0" applyNumberFormat="1" applyFont="1" applyFill="1" applyBorder="1" applyAlignment="1" applyProtection="1">
      <alignment horizontal="left" vertical="center"/>
    </xf>
    <xf numFmtId="0" fontId="40" fillId="0" borderId="0" xfId="0" applyFont="1" applyFill="1" applyAlignment="1" applyProtection="1">
      <alignment horizontal="left" vertical="center"/>
      <protection locked="0"/>
    </xf>
    <xf numFmtId="49" fontId="40" fillId="2" borderId="9" xfId="0" applyNumberFormat="1" applyFont="1" applyFill="1" applyBorder="1" applyAlignment="1" applyProtection="1">
      <alignment horizontal="left" vertical="center" wrapText="1"/>
      <protection locked="0"/>
    </xf>
    <xf numFmtId="49" fontId="40" fillId="2" borderId="67" xfId="0" applyNumberFormat="1" applyFont="1" applyFill="1" applyBorder="1" applyAlignment="1" applyProtection="1">
      <alignment horizontal="left" vertical="center" wrapText="1"/>
      <protection locked="0"/>
    </xf>
    <xf numFmtId="0" fontId="40" fillId="5" borderId="13" xfId="0" applyFont="1" applyFill="1" applyBorder="1" applyAlignment="1" applyProtection="1">
      <alignment horizontal="left" vertical="center" wrapText="1"/>
    </xf>
    <xf numFmtId="0" fontId="40" fillId="0" borderId="46" xfId="0" applyNumberFormat="1" applyFont="1" applyFill="1" applyBorder="1" applyAlignment="1" applyProtection="1">
      <alignment horizontal="left" vertical="center" wrapText="1"/>
      <protection locked="0"/>
    </xf>
    <xf numFmtId="0" fontId="40" fillId="5" borderId="31" xfId="0" applyNumberFormat="1" applyFont="1" applyFill="1" applyBorder="1" applyAlignment="1" applyProtection="1">
      <alignment horizontal="left" vertical="center" wrapText="1"/>
    </xf>
    <xf numFmtId="49" fontId="40" fillId="2" borderId="28" xfId="0" applyNumberFormat="1" applyFont="1" applyFill="1" applyBorder="1" applyAlignment="1" applyProtection="1">
      <alignment horizontal="left" vertical="center" wrapText="1"/>
      <protection locked="0"/>
    </xf>
    <xf numFmtId="0" fontId="40" fillId="5" borderId="13" xfId="0" applyNumberFormat="1" applyFont="1" applyFill="1" applyBorder="1" applyAlignment="1" applyProtection="1">
      <alignment horizontal="left" vertical="center" wrapText="1"/>
    </xf>
    <xf numFmtId="49" fontId="40" fillId="2" borderId="4" xfId="0" applyNumberFormat="1" applyFont="1" applyFill="1" applyBorder="1" applyAlignment="1" applyProtection="1">
      <alignment horizontal="left" vertical="center" wrapText="1"/>
      <protection locked="0"/>
    </xf>
    <xf numFmtId="0" fontId="40" fillId="5" borderId="1" xfId="0" applyFont="1" applyFill="1" applyBorder="1" applyAlignment="1" applyProtection="1">
      <alignment horizontal="left" vertical="center"/>
    </xf>
    <xf numFmtId="0" fontId="67" fillId="5" borderId="26" xfId="0" applyFont="1" applyFill="1" applyBorder="1" applyAlignment="1" applyProtection="1">
      <alignment horizontal="left" vertical="center" wrapText="1"/>
    </xf>
    <xf numFmtId="0" fontId="40" fillId="5" borderId="2" xfId="0" applyFont="1" applyFill="1" applyBorder="1" applyAlignment="1" applyProtection="1">
      <alignment horizontal="left" vertical="center" wrapText="1"/>
    </xf>
    <xf numFmtId="49" fontId="40" fillId="2" borderId="7" xfId="0" applyNumberFormat="1" applyFont="1" applyFill="1" applyBorder="1" applyAlignment="1" applyProtection="1">
      <alignment horizontal="left" vertical="center" wrapText="1"/>
      <protection locked="0"/>
    </xf>
    <xf numFmtId="0" fontId="40" fillId="5" borderId="6" xfId="0" applyNumberFormat="1" applyFont="1" applyFill="1" applyBorder="1" applyAlignment="1" applyProtection="1">
      <alignment horizontal="left" vertical="center" wrapText="1"/>
    </xf>
    <xf numFmtId="49" fontId="40" fillId="2" borderId="3" xfId="0" applyNumberFormat="1" applyFont="1" applyFill="1" applyBorder="1" applyAlignment="1" applyProtection="1">
      <alignment horizontal="left" vertical="center" wrapText="1"/>
      <protection locked="0"/>
    </xf>
    <xf numFmtId="0" fontId="40" fillId="5" borderId="2" xfId="0" applyNumberFormat="1" applyFont="1" applyFill="1" applyBorder="1" applyAlignment="1" applyProtection="1">
      <alignment horizontal="left" vertical="center" wrapText="1"/>
    </xf>
    <xf numFmtId="0" fontId="54" fillId="0" borderId="41" xfId="0" applyNumberFormat="1" applyFont="1" applyFill="1" applyBorder="1" applyAlignment="1" applyProtection="1">
      <alignment horizontal="left" vertical="center" wrapText="1"/>
      <protection locked="0"/>
    </xf>
    <xf numFmtId="0" fontId="68" fillId="0" borderId="0" xfId="0" applyFont="1" applyFill="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0" fillId="0" borderId="7" xfId="0" applyNumberFormat="1" applyFont="1" applyFill="1" applyBorder="1" applyAlignment="1" applyProtection="1">
      <alignment horizontal="left" vertical="center" wrapText="1"/>
      <protection locked="0"/>
    </xf>
    <xf numFmtId="0" fontId="40" fillId="0" borderId="3" xfId="0" applyNumberFormat="1" applyFont="1" applyFill="1" applyBorder="1" applyAlignment="1" applyProtection="1">
      <alignment horizontal="left" vertical="center" wrapText="1"/>
      <protection locked="0"/>
    </xf>
    <xf numFmtId="0" fontId="42" fillId="5" borderId="26" xfId="0" applyFont="1" applyFill="1" applyBorder="1" applyAlignment="1" applyProtection="1">
      <alignment horizontal="left" vertical="center" wrapText="1"/>
    </xf>
    <xf numFmtId="0" fontId="40" fillId="0" borderId="35" xfId="0" applyFont="1" applyFill="1" applyBorder="1" applyAlignment="1" applyProtection="1">
      <alignment horizontal="left" vertical="center" wrapText="1"/>
      <protection locked="0"/>
    </xf>
    <xf numFmtId="0" fontId="40" fillId="0" borderId="23" xfId="0" applyNumberFormat="1" applyFont="1" applyFill="1" applyBorder="1" applyAlignment="1" applyProtection="1">
      <alignment horizontal="left" vertical="center" wrapText="1"/>
      <protection locked="0"/>
    </xf>
    <xf numFmtId="0" fontId="40" fillId="5" borderId="68" xfId="0" applyNumberFormat="1" applyFont="1" applyFill="1" applyBorder="1" applyAlignment="1" applyProtection="1">
      <alignment horizontal="left" vertical="center" wrapText="1"/>
    </xf>
    <xf numFmtId="0" fontId="54" fillId="5" borderId="41" xfId="0" applyNumberFormat="1" applyFont="1" applyFill="1" applyBorder="1" applyAlignment="1" applyProtection="1">
      <alignment horizontal="left" vertical="center" wrapText="1"/>
    </xf>
    <xf numFmtId="0" fontId="47" fillId="0" borderId="19" xfId="0" applyNumberFormat="1" applyFont="1" applyFill="1" applyBorder="1" applyAlignment="1" applyProtection="1">
      <alignment horizontal="left" vertical="center" wrapText="1"/>
      <protection locked="0"/>
    </xf>
    <xf numFmtId="0" fontId="47" fillId="5" borderId="6" xfId="0" applyNumberFormat="1" applyFont="1" applyFill="1" applyBorder="1" applyAlignment="1" applyProtection="1">
      <alignment horizontal="left" vertical="center" wrapText="1"/>
    </xf>
    <xf numFmtId="0" fontId="46" fillId="5" borderId="42" xfId="0" applyFont="1" applyFill="1" applyBorder="1" applyAlignment="1" applyProtection="1">
      <alignment horizontal="left" vertical="center" wrapText="1"/>
    </xf>
    <xf numFmtId="0" fontId="40" fillId="0" borderId="44" xfId="0" applyFont="1" applyFill="1" applyBorder="1" applyAlignment="1" applyProtection="1">
      <alignment horizontal="left" vertical="center" wrapText="1"/>
      <protection locked="0"/>
    </xf>
    <xf numFmtId="0" fontId="47" fillId="0" borderId="20" xfId="0" applyNumberFormat="1" applyFont="1" applyFill="1" applyBorder="1" applyAlignment="1" applyProtection="1">
      <alignment horizontal="left" vertical="center" wrapText="1"/>
      <protection locked="0"/>
    </xf>
    <xf numFmtId="0" fontId="47" fillId="5" borderId="43" xfId="0" applyNumberFormat="1" applyFont="1" applyFill="1" applyBorder="1" applyAlignment="1" applyProtection="1">
      <alignment horizontal="left" vertical="center" wrapText="1"/>
    </xf>
    <xf numFmtId="0" fontId="47" fillId="5" borderId="44" xfId="0" applyNumberFormat="1" applyFont="1" applyFill="1" applyBorder="1" applyAlignment="1" applyProtection="1">
      <alignment horizontal="left" vertical="center" wrapText="1"/>
    </xf>
    <xf numFmtId="0" fontId="46" fillId="5" borderId="22" xfId="0" applyFont="1" applyFill="1" applyBorder="1" applyAlignment="1" applyProtection="1">
      <alignment horizontal="left" vertical="center" wrapText="1"/>
    </xf>
    <xf numFmtId="0" fontId="40" fillId="5" borderId="12" xfId="0" applyFont="1" applyFill="1" applyBorder="1" applyAlignment="1" applyProtection="1">
      <alignment horizontal="left" vertical="center" wrapText="1"/>
    </xf>
    <xf numFmtId="49" fontId="47" fillId="5" borderId="22" xfId="0" applyNumberFormat="1" applyFont="1" applyFill="1" applyBorder="1" applyAlignment="1" applyProtection="1">
      <alignment horizontal="left" vertical="center" wrapText="1"/>
    </xf>
    <xf numFmtId="0" fontId="47" fillId="5" borderId="59" xfId="0" applyNumberFormat="1" applyFont="1" applyFill="1" applyBorder="1" applyAlignment="1" applyProtection="1">
      <alignment horizontal="left" vertical="center" wrapText="1"/>
    </xf>
    <xf numFmtId="49" fontId="47" fillId="0" borderId="21" xfId="0" applyNumberFormat="1" applyFont="1" applyFill="1" applyBorder="1" applyAlignment="1" applyProtection="1">
      <alignment horizontal="left" vertical="center" wrapText="1"/>
      <protection locked="0"/>
    </xf>
    <xf numFmtId="0" fontId="47" fillId="5" borderId="12" xfId="0" applyNumberFormat="1" applyFont="1" applyFill="1" applyBorder="1" applyAlignment="1" applyProtection="1">
      <alignment horizontal="left" vertical="center" wrapText="1"/>
    </xf>
    <xf numFmtId="49" fontId="47" fillId="0" borderId="22" xfId="0" applyNumberFormat="1" applyFont="1" applyFill="1" applyBorder="1" applyAlignment="1" applyProtection="1">
      <alignment horizontal="left" vertical="center" wrapText="1"/>
      <protection locked="0"/>
    </xf>
    <xf numFmtId="0" fontId="54" fillId="0" borderId="69" xfId="0" applyNumberFormat="1" applyFont="1" applyFill="1" applyBorder="1" applyAlignment="1" applyProtection="1">
      <alignment horizontal="left" vertical="center" wrapText="1"/>
      <protection locked="0"/>
    </xf>
    <xf numFmtId="188" fontId="47" fillId="5" borderId="2" xfId="0" applyNumberFormat="1" applyFont="1" applyFill="1" applyBorder="1" applyAlignment="1" applyProtection="1">
      <alignment horizontal="left" vertical="center"/>
    </xf>
    <xf numFmtId="49" fontId="47" fillId="5" borderId="3"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NumberFormat="1" applyFont="1" applyFill="1" applyBorder="1" applyAlignment="1" applyProtection="1">
      <alignment horizontal="left" vertical="center"/>
    </xf>
    <xf numFmtId="0" fontId="47" fillId="5" borderId="0" xfId="0" applyFont="1" applyFill="1" applyBorder="1" applyAlignment="1" applyProtection="1">
      <alignment horizontal="left" vertical="center"/>
    </xf>
    <xf numFmtId="0" fontId="47" fillId="2" borderId="23" xfId="0" applyNumberFormat="1" applyFont="1" applyFill="1" applyBorder="1" applyAlignment="1" applyProtection="1">
      <alignment horizontal="left" vertical="center" wrapText="1"/>
      <protection locked="0"/>
    </xf>
    <xf numFmtId="0" fontId="47" fillId="5" borderId="34" xfId="0" applyNumberFormat="1" applyFont="1" applyFill="1" applyBorder="1" applyAlignment="1" applyProtection="1">
      <alignment horizontal="left" vertical="center" wrapText="1"/>
    </xf>
    <xf numFmtId="49" fontId="47" fillId="2" borderId="24" xfId="0" applyNumberFormat="1" applyFont="1" applyFill="1" applyBorder="1" applyAlignment="1" applyProtection="1">
      <alignment horizontal="left" vertical="center" wrapText="1"/>
      <protection locked="0"/>
    </xf>
    <xf numFmtId="0" fontId="47" fillId="5" borderId="64" xfId="0" applyNumberFormat="1" applyFont="1" applyFill="1" applyBorder="1" applyAlignment="1" applyProtection="1">
      <alignment horizontal="left" vertical="center" wrapText="1"/>
    </xf>
    <xf numFmtId="49" fontId="47" fillId="2" borderId="23" xfId="0" applyNumberFormat="1" applyFont="1" applyFill="1" applyBorder="1" applyAlignment="1" applyProtection="1">
      <alignment horizontal="left" vertical="center" wrapText="1"/>
      <protection locked="0"/>
    </xf>
    <xf numFmtId="0" fontId="47" fillId="5" borderId="50" xfId="0" applyNumberFormat="1" applyFont="1" applyFill="1" applyBorder="1" applyAlignment="1" applyProtection="1">
      <alignment horizontal="left" vertical="center" wrapText="1"/>
    </xf>
    <xf numFmtId="0" fontId="54" fillId="5" borderId="45" xfId="0" applyNumberFormat="1" applyFont="1" applyFill="1" applyBorder="1" applyAlignment="1" applyProtection="1">
      <alignment horizontal="left" vertical="center" wrapText="1"/>
    </xf>
    <xf numFmtId="0" fontId="40" fillId="5" borderId="35" xfId="0" applyFont="1" applyFill="1" applyBorder="1" applyAlignment="1" applyProtection="1">
      <alignment horizontal="left" vertical="center" wrapText="1"/>
    </xf>
    <xf numFmtId="0" fontId="47" fillId="5" borderId="16" xfId="0" applyNumberFormat="1" applyFont="1" applyFill="1" applyBorder="1" applyAlignment="1" applyProtection="1">
      <alignment horizontal="left" vertical="center" wrapText="1"/>
    </xf>
    <xf numFmtId="49" fontId="47" fillId="0" borderId="25" xfId="0" applyNumberFormat="1" applyFont="1" applyFill="1" applyBorder="1" applyAlignment="1" applyProtection="1">
      <alignment horizontal="left" vertical="center" wrapText="1"/>
      <protection locked="0"/>
    </xf>
    <xf numFmtId="0" fontId="47" fillId="5" borderId="60" xfId="0" applyNumberFormat="1" applyFont="1" applyFill="1" applyBorder="1" applyAlignment="1" applyProtection="1">
      <alignment horizontal="left" vertical="center" wrapText="1"/>
    </xf>
    <xf numFmtId="49" fontId="47" fillId="0" borderId="26" xfId="0" applyNumberFormat="1" applyFont="1" applyFill="1" applyBorder="1" applyAlignment="1" applyProtection="1">
      <alignment horizontal="left" vertical="center" wrapText="1"/>
      <protection locked="0"/>
    </xf>
    <xf numFmtId="0" fontId="47" fillId="5" borderId="58" xfId="0" applyNumberFormat="1" applyFont="1" applyFill="1" applyBorder="1" applyAlignment="1" applyProtection="1">
      <alignment horizontal="left" vertical="center" wrapText="1"/>
    </xf>
    <xf numFmtId="0" fontId="40" fillId="5" borderId="64" xfId="0" applyFont="1" applyFill="1" applyBorder="1" applyAlignment="1" applyProtection="1">
      <alignment horizontal="left" vertical="center" wrapText="1"/>
    </xf>
    <xf numFmtId="0" fontId="47" fillId="2" borderId="26" xfId="0" applyNumberFormat="1" applyFont="1" applyFill="1" applyBorder="1" applyAlignment="1" applyProtection="1">
      <alignment horizontal="left" vertical="center" wrapText="1"/>
      <protection locked="0"/>
    </xf>
    <xf numFmtId="49" fontId="47" fillId="2" borderId="25" xfId="0" applyNumberFormat="1" applyFont="1" applyFill="1" applyBorder="1" applyAlignment="1" applyProtection="1">
      <alignment horizontal="left" vertical="center" wrapText="1"/>
      <protection locked="0"/>
    </xf>
    <xf numFmtId="49" fontId="47" fillId="2" borderId="26" xfId="0" applyNumberFormat="1" applyFont="1" applyFill="1" applyBorder="1" applyAlignment="1" applyProtection="1">
      <alignment horizontal="left" vertical="center" wrapText="1"/>
      <protection locked="0"/>
    </xf>
    <xf numFmtId="49" fontId="47" fillId="0" borderId="27" xfId="0" applyNumberFormat="1" applyFont="1" applyFill="1" applyBorder="1" applyAlignment="1" applyProtection="1">
      <alignment horizontal="left" vertical="center" wrapText="1"/>
      <protection locked="0"/>
    </xf>
    <xf numFmtId="0" fontId="47" fillId="5" borderId="35" xfId="0" applyNumberFormat="1" applyFont="1" applyFill="1" applyBorder="1" applyAlignment="1" applyProtection="1">
      <alignment horizontal="left" vertical="center" wrapText="1"/>
    </xf>
    <xf numFmtId="49" fontId="47" fillId="0" borderId="16" xfId="0" applyNumberFormat="1" applyFont="1" applyFill="1" applyBorder="1" applyAlignment="1" applyProtection="1">
      <alignment horizontal="left" vertical="center" wrapText="1"/>
      <protection locked="0"/>
    </xf>
    <xf numFmtId="0" fontId="40" fillId="5" borderId="60" xfId="0" applyFont="1" applyFill="1" applyBorder="1" applyAlignment="1" applyProtection="1">
      <alignment horizontal="left" vertical="center" wrapText="1"/>
    </xf>
    <xf numFmtId="0" fontId="54" fillId="5" borderId="77"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protection locked="0"/>
    </xf>
    <xf numFmtId="49" fontId="47" fillId="2" borderId="3" xfId="0" applyNumberFormat="1" applyFont="1" applyFill="1" applyBorder="1" applyAlignment="1" applyProtection="1">
      <alignment horizontal="left" vertical="center" wrapText="1"/>
      <protection locked="0"/>
    </xf>
    <xf numFmtId="0" fontId="47" fillId="5" borderId="2" xfId="0" applyNumberFormat="1" applyFont="1" applyFill="1" applyBorder="1" applyAlignment="1" applyProtection="1">
      <alignment horizontal="left" vertical="center" wrapText="1"/>
    </xf>
    <xf numFmtId="49" fontId="47" fillId="2" borderId="7" xfId="0" applyNumberFormat="1" applyFont="1" applyFill="1" applyBorder="1" applyAlignment="1" applyProtection="1">
      <alignment horizontal="left" vertical="center" wrapText="1"/>
      <protection locked="0"/>
    </xf>
    <xf numFmtId="0" fontId="40" fillId="5" borderId="34" xfId="0" applyNumberFormat="1" applyFont="1" applyFill="1" applyBorder="1" applyAlignment="1" applyProtection="1">
      <alignment horizontal="left" vertical="center" wrapText="1"/>
    </xf>
    <xf numFmtId="49" fontId="40" fillId="0" borderId="24" xfId="0" applyNumberFormat="1" applyFont="1" applyFill="1" applyBorder="1" applyAlignment="1" applyProtection="1">
      <alignment horizontal="left" vertical="center" wrapText="1"/>
      <protection locked="0"/>
    </xf>
    <xf numFmtId="0" fontId="40" fillId="5" borderId="64" xfId="0" applyNumberFormat="1" applyFont="1" applyFill="1" applyBorder="1" applyAlignment="1" applyProtection="1">
      <alignment horizontal="left" vertical="center" wrapText="1"/>
    </xf>
    <xf numFmtId="49" fontId="40" fillId="0" borderId="23" xfId="0" applyNumberFormat="1" applyFont="1" applyFill="1" applyBorder="1" applyAlignment="1" applyProtection="1">
      <alignment horizontal="left" vertical="center" wrapText="1"/>
      <protection locked="0"/>
    </xf>
    <xf numFmtId="0" fontId="40" fillId="0" borderId="2" xfId="0" applyFont="1" applyFill="1" applyBorder="1" applyAlignment="1" applyProtection="1">
      <alignment horizontal="left" vertical="center" wrapText="1"/>
      <protection locked="0"/>
    </xf>
    <xf numFmtId="0" fontId="47" fillId="2" borderId="4" xfId="0" applyFont="1" applyFill="1" applyBorder="1" applyAlignment="1" applyProtection="1">
      <alignment horizontal="left" vertical="center" wrapText="1"/>
      <protection locked="0"/>
    </xf>
    <xf numFmtId="0" fontId="47" fillId="5" borderId="31" xfId="0" applyNumberFormat="1" applyFont="1" applyFill="1" applyBorder="1" applyAlignment="1" applyProtection="1">
      <alignment horizontal="left" vertical="center" wrapText="1"/>
    </xf>
    <xf numFmtId="0" fontId="47" fillId="2" borderId="28" xfId="0" applyFont="1" applyFill="1" applyBorder="1" applyAlignment="1" applyProtection="1">
      <alignment horizontal="left" vertical="center" wrapText="1"/>
      <protection locked="0"/>
    </xf>
    <xf numFmtId="0" fontId="70" fillId="5" borderId="26" xfId="0" applyFont="1" applyFill="1" applyBorder="1" applyAlignment="1" applyProtection="1">
      <alignment horizontal="left" vertical="center" textRotation="255" wrapText="1"/>
    </xf>
    <xf numFmtId="0" fontId="40" fillId="0" borderId="19" xfId="0" applyNumberFormat="1" applyFont="1" applyFill="1" applyBorder="1" applyAlignment="1" applyProtection="1">
      <alignment horizontal="left" vertical="center" wrapText="1"/>
      <protection locked="0"/>
    </xf>
    <xf numFmtId="0" fontId="45" fillId="5" borderId="1" xfId="0" applyFont="1" applyFill="1" applyBorder="1" applyAlignment="1" applyProtection="1">
      <alignment horizontal="left" vertical="center" wrapText="1"/>
    </xf>
    <xf numFmtId="188" fontId="45" fillId="5" borderId="2" xfId="0" applyNumberFormat="1" applyFont="1" applyFill="1" applyBorder="1" applyAlignment="1" applyProtection="1">
      <alignment horizontal="left" vertical="center"/>
    </xf>
    <xf numFmtId="49" fontId="45" fillId="5" borderId="3" xfId="0" applyNumberFormat="1" applyFont="1" applyFill="1" applyBorder="1" applyAlignment="1" applyProtection="1">
      <alignment horizontal="left" vertical="center"/>
    </xf>
    <xf numFmtId="0" fontId="45" fillId="5" borderId="49" xfId="0" applyFont="1" applyFill="1" applyBorder="1" applyAlignment="1" applyProtection="1">
      <alignment horizontal="left" vertical="center"/>
    </xf>
    <xf numFmtId="0" fontId="45" fillId="5" borderId="1" xfId="0" applyFont="1" applyFill="1" applyBorder="1" applyAlignment="1" applyProtection="1">
      <alignment horizontal="left" vertical="center"/>
    </xf>
    <xf numFmtId="0" fontId="45" fillId="0" borderId="0" xfId="0" applyFont="1" applyFill="1" applyAlignment="1" applyProtection="1">
      <alignment horizontal="left" vertical="center"/>
      <protection locked="0"/>
    </xf>
    <xf numFmtId="0" fontId="46" fillId="5" borderId="26" xfId="0" applyFont="1" applyFill="1" applyBorder="1" applyAlignment="1" applyProtection="1">
      <alignment horizontal="left" vertical="center" textRotation="255" wrapText="1"/>
    </xf>
    <xf numFmtId="0" fontId="47" fillId="2" borderId="7"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2" fillId="5" borderId="26" xfId="0" applyFont="1" applyFill="1" applyBorder="1" applyAlignment="1" applyProtection="1">
      <alignment horizontal="left" vertical="center" textRotation="255" wrapText="1"/>
    </xf>
    <xf numFmtId="9" fontId="40" fillId="0" borderId="19" xfId="0" applyNumberFormat="1" applyFont="1" applyFill="1" applyBorder="1" applyAlignment="1" applyProtection="1">
      <alignment horizontal="left" vertical="center" wrapText="1"/>
      <protection locked="0"/>
    </xf>
    <xf numFmtId="9" fontId="40" fillId="0" borderId="3" xfId="0" applyNumberFormat="1" applyFont="1" applyFill="1" applyBorder="1" applyAlignment="1" applyProtection="1">
      <alignment horizontal="left" vertical="center" wrapText="1"/>
      <protection locked="0"/>
    </xf>
    <xf numFmtId="9" fontId="40" fillId="0" borderId="7" xfId="0" applyNumberFormat="1" applyFont="1" applyFill="1" applyBorder="1" applyAlignment="1" applyProtection="1">
      <alignment horizontal="left" vertical="center" wrapText="1"/>
      <protection locked="0"/>
    </xf>
    <xf numFmtId="0" fontId="47" fillId="0" borderId="3" xfId="0" applyNumberFormat="1" applyFont="1" applyFill="1" applyBorder="1" applyAlignment="1" applyProtection="1">
      <alignment horizontal="left" vertical="center" wrapText="1"/>
      <protection locked="0"/>
    </xf>
    <xf numFmtId="0" fontId="46" fillId="5" borderId="42" xfId="0" applyFont="1" applyFill="1" applyBorder="1" applyAlignment="1" applyProtection="1">
      <alignment horizontal="left" vertical="center" textRotation="255" wrapText="1"/>
    </xf>
    <xf numFmtId="49" fontId="46" fillId="5" borderId="46" xfId="0" applyNumberFormat="1" applyFont="1" applyFill="1" applyBorder="1" applyAlignment="1" applyProtection="1">
      <alignment horizontal="left" vertical="center"/>
    </xf>
    <xf numFmtId="49" fontId="46" fillId="5" borderId="47" xfId="0" applyNumberFormat="1" applyFont="1" applyFill="1" applyBorder="1" applyAlignment="1" applyProtection="1">
      <alignment horizontal="left" vertical="center"/>
    </xf>
    <xf numFmtId="0" fontId="46" fillId="5" borderId="46" xfId="0" applyNumberFormat="1" applyFont="1" applyFill="1" applyBorder="1" applyAlignment="1" applyProtection="1">
      <alignment horizontal="left" vertical="center" wrapText="1"/>
    </xf>
    <xf numFmtId="0" fontId="46" fillId="5" borderId="38" xfId="0" applyNumberFormat="1" applyFont="1" applyFill="1" applyBorder="1" applyAlignment="1" applyProtection="1">
      <alignment horizontal="left" vertical="center" wrapText="1"/>
    </xf>
    <xf numFmtId="0" fontId="71" fillId="3" borderId="47" xfId="0" applyNumberFormat="1" applyFont="1" applyFill="1" applyBorder="1" applyAlignment="1" applyProtection="1">
      <alignment horizontal="left" vertical="center" wrapText="1"/>
      <protection locked="0"/>
    </xf>
    <xf numFmtId="0" fontId="71" fillId="5" borderId="47" xfId="0" applyNumberFormat="1" applyFont="1" applyFill="1" applyBorder="1" applyAlignment="1" applyProtection="1">
      <alignment horizontal="left" vertical="center" wrapText="1"/>
    </xf>
    <xf numFmtId="0" fontId="71" fillId="3" borderId="46" xfId="0" applyNumberFormat="1" applyFont="1" applyFill="1" applyBorder="1" applyAlignment="1" applyProtection="1">
      <alignment horizontal="left" vertical="center" wrapText="1"/>
      <protection locked="0"/>
    </xf>
    <xf numFmtId="0" fontId="71" fillId="5" borderId="38" xfId="0" applyNumberFormat="1" applyFont="1" applyFill="1" applyBorder="1" applyAlignment="1" applyProtection="1">
      <alignment horizontal="left" vertical="center" wrapText="1"/>
    </xf>
    <xf numFmtId="189" fontId="47" fillId="5" borderId="41" xfId="0" applyNumberFormat="1" applyFont="1" applyFill="1" applyBorder="1" applyAlignment="1" applyProtection="1">
      <alignment horizontal="left" vertical="center"/>
    </xf>
    <xf numFmtId="0" fontId="47" fillId="5" borderId="0" xfId="0" applyFont="1" applyFill="1" applyAlignment="1" applyProtection="1">
      <alignment horizontal="left" vertical="center"/>
      <protection locked="0"/>
    </xf>
    <xf numFmtId="0" fontId="47" fillId="5" borderId="0" xfId="0" applyFont="1" applyFill="1" applyAlignment="1" applyProtection="1">
      <alignment horizontal="left" vertical="center"/>
    </xf>
    <xf numFmtId="0" fontId="47" fillId="5" borderId="17" xfId="0" applyFont="1" applyFill="1" applyBorder="1" applyAlignment="1" applyProtection="1">
      <alignment horizontal="left" vertical="center" textRotation="255" wrapText="1"/>
    </xf>
    <xf numFmtId="49" fontId="46" fillId="5" borderId="20" xfId="0" applyNumberFormat="1" applyFont="1" applyFill="1" applyBorder="1" applyAlignment="1" applyProtection="1">
      <alignment horizontal="left" vertical="center"/>
    </xf>
    <xf numFmtId="49" fontId="46" fillId="5" borderId="48" xfId="0" applyNumberFormat="1" applyFont="1" applyFill="1" applyBorder="1" applyAlignment="1" applyProtection="1">
      <alignment horizontal="left" vertical="center"/>
    </xf>
    <xf numFmtId="0" fontId="46" fillId="5" borderId="20" xfId="0" applyNumberFormat="1" applyFont="1" applyFill="1" applyBorder="1" applyAlignment="1" applyProtection="1">
      <alignment horizontal="left" vertical="center" wrapText="1"/>
    </xf>
    <xf numFmtId="0" fontId="50" fillId="18" borderId="62" xfId="0" applyNumberFormat="1" applyFont="1" applyFill="1" applyBorder="1" applyAlignment="1" applyProtection="1">
      <alignment horizontal="left" vertical="center" wrapText="1"/>
      <protection locked="0"/>
    </xf>
    <xf numFmtId="0" fontId="46" fillId="5" borderId="48" xfId="0" applyNumberFormat="1" applyFont="1" applyFill="1" applyBorder="1" applyAlignment="1" applyProtection="1">
      <alignment horizontal="left" vertical="center" wrapText="1"/>
    </xf>
    <xf numFmtId="181" fontId="46" fillId="18" borderId="62" xfId="0" applyNumberFormat="1" applyFont="1" applyFill="1" applyBorder="1" applyAlignment="1" applyProtection="1">
      <alignment horizontal="left" vertical="center" wrapText="1"/>
      <protection locked="0"/>
    </xf>
    <xf numFmtId="49" fontId="46" fillId="0" borderId="29" xfId="0" applyNumberFormat="1" applyFont="1" applyFill="1" applyBorder="1" applyAlignment="1" applyProtection="1">
      <alignment horizontal="left" vertical="center"/>
      <protection locked="0"/>
    </xf>
    <xf numFmtId="49" fontId="46" fillId="0" borderId="30" xfId="0" applyNumberFormat="1" applyFont="1" applyFill="1" applyBorder="1" applyAlignment="1" applyProtection="1">
      <alignment horizontal="left" vertical="center"/>
      <protection locked="0"/>
    </xf>
    <xf numFmtId="0" fontId="46" fillId="5" borderId="40" xfId="0" applyNumberFormat="1" applyFont="1" applyFill="1" applyBorder="1" applyAlignment="1" applyProtection="1">
      <alignment horizontal="left" vertical="center" wrapText="1"/>
      <protection locked="0"/>
    </xf>
    <xf numFmtId="0" fontId="46" fillId="5" borderId="40" xfId="0" applyNumberFormat="1" applyFont="1" applyFill="1" applyBorder="1" applyAlignment="1" applyProtection="1">
      <alignment horizontal="left" vertical="center" wrapText="1"/>
    </xf>
    <xf numFmtId="189" fontId="47" fillId="5" borderId="43" xfId="0" applyNumberFormat="1" applyFont="1" applyFill="1" applyBorder="1" applyAlignment="1" applyProtection="1">
      <alignment horizontal="left" vertical="center" wrapText="1"/>
    </xf>
    <xf numFmtId="189" fontId="47" fillId="5" borderId="0" xfId="0" applyNumberFormat="1" applyFont="1" applyFill="1" applyAlignment="1" applyProtection="1">
      <alignment horizontal="left" vertical="center"/>
      <protection locked="0"/>
    </xf>
    <xf numFmtId="181" fontId="47" fillId="5" borderId="0" xfId="0" applyNumberFormat="1" applyFont="1" applyFill="1" applyAlignment="1" applyProtection="1">
      <alignment horizontal="left" vertical="center"/>
      <protection locked="0"/>
    </xf>
    <xf numFmtId="0" fontId="47" fillId="0" borderId="39" xfId="0" applyFont="1" applyFill="1" applyBorder="1" applyAlignment="1" applyProtection="1">
      <alignment horizontal="left" vertical="center"/>
      <protection locked="0"/>
    </xf>
    <xf numFmtId="0" fontId="46" fillId="5" borderId="1" xfId="0" applyFont="1" applyFill="1" applyBorder="1" applyAlignment="1" applyProtection="1">
      <alignment horizontal="left" vertical="center" wrapText="1"/>
    </xf>
    <xf numFmtId="181" fontId="47" fillId="5" borderId="2" xfId="0" applyNumberFormat="1" applyFont="1" applyFill="1" applyBorder="1" applyAlignment="1" applyProtection="1">
      <alignment horizontal="left" vertical="center"/>
    </xf>
    <xf numFmtId="181" fontId="47" fillId="5" borderId="3" xfId="0" applyNumberFormat="1" applyFont="1" applyFill="1" applyBorder="1" applyAlignment="1" applyProtection="1">
      <alignment horizontal="left" vertical="center"/>
    </xf>
    <xf numFmtId="0" fontId="46" fillId="5" borderId="3" xfId="0" applyFont="1" applyFill="1" applyBorder="1" applyAlignment="1" applyProtection="1">
      <alignment horizontal="left" vertical="center" wrapText="1"/>
    </xf>
    <xf numFmtId="0" fontId="69" fillId="5" borderId="0" xfId="0" applyFont="1" applyFill="1" applyAlignment="1" applyProtection="1">
      <alignment horizontal="left" vertical="center"/>
      <protection locked="0"/>
    </xf>
    <xf numFmtId="0" fontId="69" fillId="0" borderId="39" xfId="0" applyFont="1" applyFill="1" applyBorder="1" applyAlignment="1" applyProtection="1">
      <alignment horizontal="left" vertical="center"/>
      <protection locked="0"/>
    </xf>
    <xf numFmtId="0" fontId="69" fillId="0" borderId="0" xfId="0" applyFont="1" applyFill="1" applyAlignment="1" applyProtection="1">
      <alignment horizontal="left" vertical="center"/>
      <protection locked="0"/>
    </xf>
    <xf numFmtId="14" fontId="47" fillId="5" borderId="0" xfId="0" applyNumberFormat="1" applyFont="1" applyFill="1" applyAlignment="1" applyProtection="1">
      <alignment horizontal="left" vertical="center"/>
      <protection locked="0"/>
    </xf>
    <xf numFmtId="176" fontId="47" fillId="5" borderId="0" xfId="0" applyNumberFormat="1" applyFont="1" applyFill="1" applyAlignment="1" applyProtection="1">
      <alignment horizontal="left" vertical="center"/>
      <protection locked="0"/>
    </xf>
    <xf numFmtId="0" fontId="52" fillId="5" borderId="0" xfId="0" applyFont="1" applyFill="1" applyBorder="1" applyAlignment="1" applyProtection="1">
      <alignment horizontal="left"/>
    </xf>
    <xf numFmtId="0" fontId="47" fillId="5" borderId="0" xfId="0" applyFont="1" applyFill="1" applyBorder="1" applyAlignment="1" applyProtection="1">
      <alignment horizontal="left"/>
    </xf>
    <xf numFmtId="189" fontId="47" fillId="5" borderId="0" xfId="0" applyNumberFormat="1" applyFont="1" applyFill="1" applyBorder="1" applyAlignment="1" applyProtection="1">
      <alignment horizontal="left"/>
    </xf>
    <xf numFmtId="181" fontId="47" fillId="5" borderId="0" xfId="0" applyNumberFormat="1" applyFont="1" applyFill="1" applyBorder="1" applyAlignment="1" applyProtection="1">
      <alignment horizontal="left"/>
    </xf>
    <xf numFmtId="0" fontId="47" fillId="0" borderId="39" xfId="0" applyFont="1" applyBorder="1" applyAlignment="1" applyProtection="1">
      <alignment horizontal="left"/>
      <protection locked="0"/>
    </xf>
    <xf numFmtId="9" fontId="40" fillId="0" borderId="0" xfId="0" applyNumberFormat="1" applyFont="1" applyFill="1" applyBorder="1" applyAlignment="1" applyProtection="1">
      <alignment horizontal="left" vertical="center" wrapText="1"/>
      <protection locked="0"/>
    </xf>
    <xf numFmtId="0" fontId="42" fillId="5" borderId="5" xfId="0" applyNumberFormat="1" applyFont="1" applyFill="1" applyBorder="1" applyAlignment="1" applyProtection="1">
      <alignment horizontal="left" vertical="center" wrapText="1"/>
    </xf>
    <xf numFmtId="0" fontId="42" fillId="5" borderId="21" xfId="0" applyNumberFormat="1" applyFont="1" applyFill="1" applyBorder="1" applyAlignment="1" applyProtection="1">
      <alignment horizontal="left" vertical="center" wrapText="1"/>
    </xf>
    <xf numFmtId="190" fontId="40" fillId="5" borderId="28" xfId="0" applyNumberFormat="1" applyFont="1" applyFill="1" applyBorder="1" applyAlignment="1" applyProtection="1">
      <alignment horizontal="left" vertical="center" wrapText="1"/>
    </xf>
    <xf numFmtId="190" fontId="40" fillId="5" borderId="11" xfId="0" applyNumberFormat="1" applyFont="1" applyFill="1" applyBorder="1" applyAlignment="1" applyProtection="1">
      <alignment horizontal="left" vertical="center" wrapText="1"/>
    </xf>
    <xf numFmtId="49" fontId="40" fillId="0" borderId="39" xfId="0" applyNumberFormat="1" applyFont="1" applyFill="1" applyBorder="1" applyAlignment="1" applyProtection="1">
      <alignment horizontal="left" vertical="center"/>
      <protection locked="0"/>
    </xf>
    <xf numFmtId="49" fontId="40" fillId="0" borderId="0" xfId="0" applyNumberFormat="1" applyFont="1" applyFill="1" applyAlignment="1" applyProtection="1">
      <alignment horizontal="left" vertical="center"/>
      <protection locked="0"/>
    </xf>
    <xf numFmtId="0" fontId="42" fillId="5" borderId="39" xfId="0" applyNumberFormat="1" applyFont="1" applyFill="1" applyBorder="1" applyAlignment="1" applyProtection="1">
      <alignment horizontal="left" vertical="center" wrapText="1"/>
    </xf>
    <xf numFmtId="0" fontId="42" fillId="5" borderId="25" xfId="0" applyNumberFormat="1" applyFont="1" applyFill="1" applyBorder="1" applyAlignment="1" applyProtection="1">
      <alignment horizontal="left" vertical="center" wrapText="1"/>
    </xf>
    <xf numFmtId="0" fontId="40" fillId="5" borderId="27" xfId="0" applyNumberFormat="1" applyFont="1" applyFill="1" applyBorder="1" applyAlignment="1" applyProtection="1">
      <alignment horizontal="left" vertical="center" wrapText="1"/>
    </xf>
    <xf numFmtId="0" fontId="40" fillId="0" borderId="18" xfId="0" applyNumberFormat="1" applyFont="1" applyFill="1" applyBorder="1" applyAlignment="1" applyProtection="1">
      <alignment horizontal="left" vertical="center" wrapText="1"/>
      <protection locked="0"/>
    </xf>
    <xf numFmtId="0" fontId="40" fillId="0" borderId="35" xfId="0" applyNumberFormat="1" applyFont="1" applyFill="1" applyBorder="1" applyAlignment="1" applyProtection="1">
      <alignment horizontal="left" vertical="center" wrapText="1"/>
      <protection locked="0"/>
    </xf>
    <xf numFmtId="9" fontId="40" fillId="0" borderId="39" xfId="0" applyNumberFormat="1" applyFont="1" applyFill="1" applyBorder="1" applyAlignment="1" applyProtection="1">
      <alignment horizontal="left" vertical="center" wrapText="1"/>
      <protection locked="0"/>
    </xf>
    <xf numFmtId="0" fontId="42" fillId="5" borderId="29" xfId="0" applyNumberFormat="1" applyFont="1" applyFill="1" applyBorder="1" applyAlignment="1" applyProtection="1">
      <alignment horizontal="left" vertical="center"/>
    </xf>
    <xf numFmtId="0" fontId="42" fillId="5" borderId="70" xfId="0" applyNumberFormat="1" applyFont="1" applyFill="1" applyBorder="1" applyAlignment="1" applyProtection="1">
      <alignment horizontal="left" vertical="center" wrapText="1"/>
    </xf>
    <xf numFmtId="0" fontId="40" fillId="0" borderId="70" xfId="0" applyNumberFormat="1" applyFont="1" applyFill="1" applyBorder="1" applyAlignment="1" applyProtection="1">
      <alignment horizontal="left" vertical="center" wrapText="1"/>
      <protection locked="0"/>
    </xf>
    <xf numFmtId="0" fontId="40" fillId="0" borderId="71" xfId="0" applyNumberFormat="1" applyFont="1" applyFill="1" applyBorder="1" applyAlignment="1" applyProtection="1">
      <alignment horizontal="left" vertical="center" wrapText="1"/>
      <protection locked="0"/>
    </xf>
    <xf numFmtId="0" fontId="40" fillId="0" borderId="72" xfId="0" applyNumberFormat="1" applyFont="1" applyFill="1" applyBorder="1" applyAlignment="1" applyProtection="1">
      <alignment horizontal="left" vertical="center" wrapText="1"/>
      <protection locked="0"/>
    </xf>
    <xf numFmtId="0" fontId="42" fillId="5" borderId="60" xfId="0" applyNumberFormat="1" applyFont="1" applyFill="1" applyBorder="1" applyAlignment="1" applyProtection="1">
      <alignment horizontal="left" vertical="center" wrapText="1"/>
    </xf>
    <xf numFmtId="0" fontId="40" fillId="5" borderId="24" xfId="0" applyNumberFormat="1" applyFont="1" applyFill="1" applyBorder="1" applyAlignment="1" applyProtection="1">
      <alignment horizontal="left" vertical="center" wrapText="1"/>
    </xf>
    <xf numFmtId="0" fontId="40" fillId="0" borderId="34" xfId="0" applyNumberFormat="1" applyFont="1" applyFill="1" applyBorder="1" applyAlignment="1" applyProtection="1">
      <alignment horizontal="left" vertical="center" wrapText="1"/>
      <protection locked="0"/>
    </xf>
    <xf numFmtId="0" fontId="40" fillId="5" borderId="0" xfId="0" applyNumberFormat="1" applyFont="1" applyFill="1" applyBorder="1" applyAlignment="1" applyProtection="1">
      <alignment horizontal="left" vertical="center" wrapText="1"/>
      <protection locked="0"/>
    </xf>
    <xf numFmtId="0" fontId="99" fillId="0" borderId="39" xfId="0" applyFont="1" applyFill="1" applyBorder="1" applyAlignment="1" applyProtection="1">
      <alignment horizontal="left" vertical="center"/>
      <protection locked="0"/>
    </xf>
    <xf numFmtId="0" fontId="40" fillId="0" borderId="27" xfId="0" applyNumberFormat="1" applyFont="1" applyFill="1" applyBorder="1" applyAlignment="1" applyProtection="1">
      <alignment horizontal="left" vertical="center" wrapText="1"/>
      <protection locked="0"/>
    </xf>
    <xf numFmtId="0" fontId="40" fillId="0" borderId="58" xfId="0" applyNumberFormat="1" applyFont="1" applyFill="1" applyBorder="1" applyAlignment="1" applyProtection="1">
      <alignment horizontal="left" vertical="center" wrapText="1"/>
      <protection locked="0"/>
    </xf>
    <xf numFmtId="0" fontId="46" fillId="5" borderId="22" xfId="0" applyNumberFormat="1" applyFont="1" applyFill="1" applyBorder="1" applyAlignment="1" applyProtection="1">
      <alignment horizontal="left" vertical="center" wrapText="1"/>
    </xf>
    <xf numFmtId="0" fontId="40" fillId="5" borderId="57" xfId="0" applyNumberFormat="1" applyFont="1" applyFill="1" applyBorder="1" applyAlignment="1" applyProtection="1">
      <alignment horizontal="left" vertical="center" wrapText="1"/>
    </xf>
    <xf numFmtId="0" fontId="47" fillId="5" borderId="11" xfId="0" applyNumberFormat="1" applyFont="1" applyFill="1" applyBorder="1" applyAlignment="1" applyProtection="1">
      <alignment horizontal="left" vertical="center" wrapText="1"/>
    </xf>
    <xf numFmtId="0" fontId="47" fillId="0" borderId="11" xfId="0" applyNumberFormat="1" applyFont="1" applyFill="1" applyBorder="1" applyAlignment="1" applyProtection="1">
      <alignment horizontal="left" vertical="center" wrapText="1"/>
      <protection locked="0"/>
    </xf>
    <xf numFmtId="0" fontId="69" fillId="0" borderId="31" xfId="0" applyNumberFormat="1" applyFont="1" applyFill="1" applyBorder="1" applyAlignment="1" applyProtection="1">
      <alignment horizontal="left" vertical="center" wrapText="1"/>
      <protection locked="0"/>
    </xf>
    <xf numFmtId="0" fontId="69" fillId="5" borderId="0" xfId="0" applyNumberFormat="1" applyFont="1" applyFill="1" applyBorder="1" applyAlignment="1" applyProtection="1">
      <alignment horizontal="left" vertical="center" wrapText="1"/>
      <protection locked="0"/>
    </xf>
    <xf numFmtId="0" fontId="40" fillId="0" borderId="39" xfId="0" applyFont="1" applyFill="1" applyBorder="1" applyAlignment="1" applyProtection="1">
      <alignment horizontal="left" vertical="center" wrapText="1"/>
      <protection locked="0"/>
    </xf>
    <xf numFmtId="0" fontId="46" fillId="5" borderId="26" xfId="0" applyNumberFormat="1" applyFont="1" applyFill="1" applyBorder="1" applyAlignment="1" applyProtection="1">
      <alignment horizontal="left" vertical="center" wrapText="1"/>
    </xf>
    <xf numFmtId="0" fontId="45" fillId="5" borderId="74" xfId="0" applyNumberFormat="1" applyFont="1" applyFill="1" applyBorder="1" applyAlignment="1" applyProtection="1">
      <alignment horizontal="left" vertical="center" wrapText="1"/>
    </xf>
    <xf numFmtId="0" fontId="47" fillId="0" borderId="75" xfId="0" applyNumberFormat="1" applyFont="1" applyFill="1" applyBorder="1" applyAlignment="1" applyProtection="1">
      <alignment horizontal="left" vertical="center" wrapText="1"/>
      <protection locked="0"/>
    </xf>
    <xf numFmtId="0" fontId="47" fillId="0" borderId="76" xfId="0" applyNumberFormat="1" applyFont="1" applyFill="1" applyBorder="1" applyAlignment="1" applyProtection="1">
      <alignment horizontal="left" vertical="center" wrapText="1"/>
      <protection locked="0"/>
    </xf>
    <xf numFmtId="0" fontId="47" fillId="5" borderId="0" xfId="0" applyNumberFormat="1" applyFont="1" applyFill="1" applyBorder="1" applyAlignment="1" applyProtection="1">
      <alignment horizontal="left" vertical="center" wrapText="1"/>
      <protection locked="0"/>
    </xf>
    <xf numFmtId="0" fontId="40" fillId="5" borderId="54" xfId="0" applyNumberFormat="1" applyFont="1" applyFill="1" applyBorder="1" applyAlignment="1" applyProtection="1">
      <alignment horizontal="left" vertical="center" wrapText="1"/>
    </xf>
    <xf numFmtId="0" fontId="47" fillId="5" borderId="32" xfId="0" applyNumberFormat="1" applyFont="1" applyFill="1" applyBorder="1" applyAlignment="1" applyProtection="1">
      <alignment horizontal="left" vertical="center" wrapText="1"/>
    </xf>
    <xf numFmtId="0" fontId="69" fillId="5" borderId="33" xfId="0" applyNumberFormat="1" applyFont="1" applyFill="1" applyBorder="1" applyAlignment="1" applyProtection="1">
      <alignment horizontal="left" vertical="center" wrapText="1"/>
    </xf>
    <xf numFmtId="0" fontId="40" fillId="5" borderId="74" xfId="0" applyNumberFormat="1" applyFont="1" applyFill="1" applyBorder="1" applyAlignment="1" applyProtection="1">
      <alignment horizontal="left" vertical="center" wrapText="1"/>
    </xf>
    <xf numFmtId="0" fontId="47" fillId="5" borderId="75" xfId="0" applyNumberFormat="1" applyFont="1" applyFill="1" applyBorder="1" applyAlignment="1" applyProtection="1">
      <alignment horizontal="left" vertical="center" wrapText="1"/>
    </xf>
    <xf numFmtId="0" fontId="47" fillId="5" borderId="76" xfId="0" applyNumberFormat="1" applyFont="1" applyFill="1" applyBorder="1" applyAlignment="1" applyProtection="1">
      <alignment horizontal="left" vertical="center" wrapText="1"/>
    </xf>
    <xf numFmtId="0" fontId="40" fillId="5" borderId="49" xfId="0" applyNumberFormat="1" applyFont="1" applyFill="1" applyBorder="1" applyAlignment="1" applyProtection="1">
      <alignment horizontal="left" vertical="center" wrapText="1"/>
    </xf>
    <xf numFmtId="0" fontId="47" fillId="5" borderId="17" xfId="0" applyNumberFormat="1" applyFont="1" applyFill="1" applyBorder="1" applyAlignment="1" applyProtection="1">
      <alignment horizontal="left" vertical="center" wrapText="1"/>
    </xf>
    <xf numFmtId="0" fontId="45" fillId="5" borderId="49" xfId="0" applyNumberFormat="1" applyFont="1" applyFill="1" applyBorder="1" applyAlignment="1" applyProtection="1">
      <alignment horizontal="left" vertical="center" wrapText="1"/>
    </xf>
    <xf numFmtId="0" fontId="47" fillId="0" borderId="1" xfId="0" applyNumberFormat="1" applyFont="1" applyFill="1" applyBorder="1" applyAlignment="1" applyProtection="1">
      <alignment horizontal="left" vertical="center" wrapText="1"/>
      <protection locked="0"/>
    </xf>
    <xf numFmtId="0" fontId="69" fillId="0" borderId="6" xfId="0" applyNumberFormat="1" applyFont="1" applyFill="1" applyBorder="1" applyAlignment="1" applyProtection="1">
      <alignment horizontal="left" vertical="center" wrapText="1"/>
      <protection locked="0"/>
    </xf>
    <xf numFmtId="0" fontId="70" fillId="5" borderId="26" xfId="0" applyNumberFormat="1" applyFont="1" applyFill="1" applyBorder="1" applyAlignment="1" applyProtection="1">
      <alignment horizontal="left" vertical="center" wrapText="1"/>
    </xf>
    <xf numFmtId="0" fontId="45" fillId="0" borderId="33" xfId="0" applyNumberFormat="1" applyFont="1" applyFill="1" applyBorder="1" applyAlignment="1" applyProtection="1">
      <alignment horizontal="left" vertical="center" wrapText="1"/>
      <protection locked="0"/>
    </xf>
    <xf numFmtId="0" fontId="45" fillId="5" borderId="0" xfId="0" applyNumberFormat="1" applyFont="1" applyFill="1" applyBorder="1" applyAlignment="1" applyProtection="1">
      <alignment horizontal="left" vertical="center" wrapText="1"/>
      <protection locked="0"/>
    </xf>
    <xf numFmtId="0" fontId="45" fillId="0" borderId="39" xfId="0" applyFont="1" applyFill="1" applyBorder="1" applyAlignment="1" applyProtection="1">
      <alignment horizontal="left" vertical="center" wrapText="1"/>
      <protection locked="0"/>
    </xf>
    <xf numFmtId="9" fontId="45" fillId="0" borderId="0" xfId="0" applyNumberFormat="1" applyFont="1" applyFill="1" applyBorder="1" applyAlignment="1" applyProtection="1">
      <alignment horizontal="left" vertical="center" wrapText="1"/>
      <protection locked="0"/>
    </xf>
    <xf numFmtId="0" fontId="40" fillId="0" borderId="75" xfId="0" applyNumberFormat="1" applyFont="1" applyFill="1" applyBorder="1" applyAlignment="1" applyProtection="1">
      <alignment horizontal="left" vertical="center" wrapText="1"/>
      <protection locked="0"/>
    </xf>
    <xf numFmtId="0" fontId="45" fillId="0" borderId="39" xfId="0" applyFont="1" applyFill="1" applyBorder="1" applyAlignment="1" applyProtection="1">
      <alignment horizontal="left" vertical="center"/>
      <protection locked="0"/>
    </xf>
    <xf numFmtId="9" fontId="45" fillId="0" borderId="0" xfId="0" applyNumberFormat="1" applyFont="1" applyFill="1" applyBorder="1" applyAlignment="1" applyProtection="1">
      <alignment horizontal="left" vertical="center"/>
      <protection locked="0"/>
    </xf>
    <xf numFmtId="0" fontId="45" fillId="0" borderId="75" xfId="0" applyNumberFormat="1" applyFont="1" applyFill="1" applyBorder="1" applyAlignment="1" applyProtection="1">
      <alignment horizontal="left" vertical="center" wrapText="1"/>
      <protection locked="0"/>
    </xf>
    <xf numFmtId="0" fontId="45" fillId="0" borderId="76" xfId="0" applyNumberFormat="1" applyFont="1" applyFill="1" applyBorder="1" applyAlignment="1" applyProtection="1">
      <alignment horizontal="left" vertical="center" wrapText="1"/>
      <protection locked="0"/>
    </xf>
    <xf numFmtId="0" fontId="45" fillId="0" borderId="34" xfId="0" applyNumberFormat="1" applyFont="1" applyFill="1" applyBorder="1" applyAlignment="1" applyProtection="1">
      <alignment horizontal="left" vertical="center" wrapText="1"/>
      <protection locked="0"/>
    </xf>
    <xf numFmtId="0" fontId="70" fillId="5" borderId="42" xfId="0" applyNumberFormat="1" applyFont="1" applyFill="1" applyBorder="1" applyAlignment="1" applyProtection="1">
      <alignment horizontal="left" vertical="center" wrapText="1"/>
    </xf>
    <xf numFmtId="0" fontId="40" fillId="5" borderId="71" xfId="0" applyNumberFormat="1" applyFont="1" applyFill="1" applyBorder="1" applyAlignment="1" applyProtection="1">
      <alignment horizontal="left" vertical="center" wrapText="1"/>
    </xf>
    <xf numFmtId="0" fontId="40" fillId="0" borderId="61" xfId="0" applyNumberFormat="1" applyFont="1" applyFill="1" applyBorder="1" applyAlignment="1" applyProtection="1">
      <alignment horizontal="left" vertical="center" wrapText="1"/>
      <protection locked="0"/>
    </xf>
    <xf numFmtId="0" fontId="45" fillId="0" borderId="61" xfId="0" applyNumberFormat="1" applyFont="1" applyFill="1" applyBorder="1" applyAlignment="1" applyProtection="1">
      <alignment horizontal="left" vertical="center" wrapText="1"/>
      <protection locked="0"/>
    </xf>
    <xf numFmtId="0" fontId="45" fillId="0" borderId="43" xfId="0" applyNumberFormat="1" applyFont="1" applyFill="1" applyBorder="1" applyAlignment="1" applyProtection="1">
      <alignment horizontal="left" vertical="center" wrapText="1"/>
      <protection locked="0"/>
    </xf>
    <xf numFmtId="0" fontId="40" fillId="5" borderId="11" xfId="0" applyNumberFormat="1" applyFont="1" applyFill="1" applyBorder="1" applyAlignment="1" applyProtection="1">
      <alignment horizontal="left" vertical="center" wrapText="1"/>
    </xf>
    <xf numFmtId="0" fontId="69" fillId="5" borderId="31" xfId="0" applyNumberFormat="1" applyFont="1" applyFill="1" applyBorder="1" applyAlignment="1" applyProtection="1">
      <alignment horizontal="left" vertical="center" wrapText="1"/>
    </xf>
    <xf numFmtId="0" fontId="47" fillId="5" borderId="33" xfId="0" applyNumberFormat="1" applyFont="1" applyFill="1" applyBorder="1" applyAlignment="1" applyProtection="1">
      <alignment horizontal="left" vertical="center" wrapText="1"/>
    </xf>
    <xf numFmtId="0" fontId="47" fillId="5" borderId="49" xfId="0" applyNumberFormat="1" applyFont="1" applyFill="1" applyBorder="1" applyAlignment="1" applyProtection="1">
      <alignment horizontal="left" vertical="center" wrapText="1"/>
    </xf>
    <xf numFmtId="0" fontId="42" fillId="5" borderId="26" xfId="0" applyNumberFormat="1" applyFont="1" applyFill="1" applyBorder="1" applyAlignment="1" applyProtection="1">
      <alignment horizontal="left" vertical="center" wrapText="1"/>
    </xf>
    <xf numFmtId="0" fontId="40" fillId="0" borderId="33" xfId="0" applyNumberFormat="1" applyFont="1" applyFill="1" applyBorder="1" applyAlignment="1" applyProtection="1">
      <alignment horizontal="left" vertical="center" wrapText="1"/>
      <protection locked="0"/>
    </xf>
    <xf numFmtId="0" fontId="40" fillId="5" borderId="75" xfId="0" applyNumberFormat="1" applyFont="1" applyFill="1" applyBorder="1" applyAlignment="1" applyProtection="1">
      <alignment horizontal="left" vertical="center" wrapText="1"/>
    </xf>
    <xf numFmtId="0" fontId="40" fillId="0" borderId="83" xfId="0" applyNumberFormat="1" applyFont="1" applyFill="1" applyBorder="1" applyAlignment="1" applyProtection="1">
      <alignment horizontal="left" vertical="center"/>
      <protection locked="0"/>
    </xf>
    <xf numFmtId="0" fontId="69" fillId="0" borderId="33" xfId="0" applyNumberFormat="1" applyFont="1" applyFill="1" applyBorder="1" applyAlignment="1" applyProtection="1">
      <alignment horizontal="left" vertical="center" wrapText="1"/>
      <protection locked="0"/>
    </xf>
    <xf numFmtId="0" fontId="47" fillId="0" borderId="17" xfId="0" applyNumberFormat="1" applyFont="1" applyFill="1" applyBorder="1" applyAlignment="1" applyProtection="1">
      <alignment horizontal="left" vertical="center" wrapText="1"/>
      <protection locked="0"/>
    </xf>
    <xf numFmtId="0" fontId="69" fillId="0" borderId="34" xfId="0" applyNumberFormat="1" applyFont="1" applyFill="1" applyBorder="1" applyAlignment="1" applyProtection="1">
      <alignment horizontal="left" vertical="center" wrapText="1"/>
      <protection locked="0"/>
    </xf>
    <xf numFmtId="0" fontId="46" fillId="5" borderId="42" xfId="0" applyNumberFormat="1" applyFont="1" applyFill="1" applyBorder="1" applyAlignment="1" applyProtection="1">
      <alignment horizontal="left" vertical="center" wrapText="1"/>
    </xf>
    <xf numFmtId="0" fontId="47" fillId="0" borderId="61" xfId="0" applyNumberFormat="1" applyFont="1" applyFill="1" applyBorder="1" applyAlignment="1" applyProtection="1">
      <alignment horizontal="left" vertical="center" wrapText="1"/>
      <protection locked="0"/>
    </xf>
    <xf numFmtId="0" fontId="47" fillId="0" borderId="43" xfId="0" applyNumberFormat="1" applyFont="1" applyFill="1" applyBorder="1" applyAlignment="1" applyProtection="1">
      <alignment horizontal="left" vertical="center" wrapText="1"/>
      <protection locked="0"/>
    </xf>
    <xf numFmtId="0" fontId="70" fillId="5" borderId="26" xfId="0" applyNumberFormat="1" applyFont="1" applyFill="1" applyBorder="1" applyAlignment="1" applyProtection="1">
      <alignment horizontal="left" vertical="center" textRotation="255" wrapText="1"/>
    </xf>
    <xf numFmtId="0" fontId="40" fillId="5" borderId="60" xfId="0" applyNumberFormat="1" applyFont="1" applyFill="1" applyBorder="1" applyAlignment="1" applyProtection="1">
      <alignment horizontal="left" vertical="center"/>
    </xf>
    <xf numFmtId="0" fontId="40" fillId="0" borderId="1" xfId="0" applyNumberFormat="1" applyFont="1" applyFill="1" applyBorder="1" applyAlignment="1" applyProtection="1">
      <alignment horizontal="left" vertical="center" wrapText="1"/>
      <protection locked="0"/>
    </xf>
    <xf numFmtId="0" fontId="45" fillId="0" borderId="6" xfId="0" applyNumberFormat="1" applyFont="1" applyFill="1" applyBorder="1" applyAlignment="1" applyProtection="1">
      <alignment horizontal="left" vertical="center" wrapText="1"/>
      <protection locked="0"/>
    </xf>
    <xf numFmtId="0" fontId="46" fillId="5" borderId="26" xfId="0" applyNumberFormat="1" applyFont="1" applyFill="1" applyBorder="1" applyAlignment="1" applyProtection="1">
      <alignment horizontal="left" vertical="center" textRotation="255" wrapText="1"/>
    </xf>
    <xf numFmtId="0" fontId="45" fillId="5" borderId="33" xfId="0" applyNumberFormat="1" applyFont="1" applyFill="1" applyBorder="1" applyAlignment="1" applyProtection="1">
      <alignment horizontal="left" vertical="center" wrapText="1"/>
    </xf>
    <xf numFmtId="0" fontId="40" fillId="5" borderId="1" xfId="0" applyNumberFormat="1" applyFont="1" applyFill="1" applyBorder="1" applyAlignment="1" applyProtection="1">
      <alignment horizontal="left" vertical="center" wrapText="1"/>
    </xf>
    <xf numFmtId="0" fontId="45" fillId="5" borderId="6" xfId="0" applyNumberFormat="1" applyFont="1" applyFill="1" applyBorder="1" applyAlignment="1" applyProtection="1">
      <alignment horizontal="left" vertical="center" wrapText="1"/>
    </xf>
    <xf numFmtId="0" fontId="45" fillId="5" borderId="75" xfId="0" applyNumberFormat="1" applyFont="1" applyFill="1" applyBorder="1" applyAlignment="1" applyProtection="1">
      <alignment horizontal="left" vertical="center" wrapText="1"/>
    </xf>
    <xf numFmtId="0" fontId="45" fillId="5" borderId="76" xfId="0" applyNumberFormat="1" applyFont="1" applyFill="1" applyBorder="1" applyAlignment="1" applyProtection="1">
      <alignment horizontal="left" vertical="center" wrapText="1"/>
    </xf>
    <xf numFmtId="189" fontId="47" fillId="0" borderId="0" xfId="0" applyNumberFormat="1" applyFont="1" applyFill="1" applyAlignment="1" applyProtection="1">
      <alignment horizontal="left" vertical="center"/>
      <protection locked="0"/>
    </xf>
    <xf numFmtId="181" fontId="47" fillId="0" borderId="0" xfId="0" applyNumberFormat="1" applyFont="1" applyFill="1" applyAlignment="1" applyProtection="1">
      <alignment horizontal="left" vertical="center"/>
      <protection locked="0"/>
    </xf>
    <xf numFmtId="0" fontId="99" fillId="5" borderId="5" xfId="0" applyFont="1" applyFill="1" applyBorder="1" applyAlignment="1" applyProtection="1">
      <alignment horizontal="left" vertical="center"/>
      <protection locked="0"/>
    </xf>
    <xf numFmtId="0" fontId="54" fillId="5" borderId="37" xfId="0" applyFont="1" applyFill="1" applyBorder="1" applyAlignment="1" applyProtection="1">
      <alignment horizontal="left" vertical="center"/>
      <protection locked="0"/>
    </xf>
    <xf numFmtId="0" fontId="47" fillId="5" borderId="37" xfId="0" applyFont="1" applyFill="1" applyBorder="1" applyAlignment="1" applyProtection="1">
      <alignment horizontal="left" vertical="center"/>
      <protection locked="0"/>
    </xf>
    <xf numFmtId="0" fontId="47" fillId="5" borderId="79" xfId="0" applyFont="1" applyFill="1" applyBorder="1" applyAlignment="1" applyProtection="1">
      <alignment horizontal="left" vertical="center"/>
      <protection locked="0"/>
    </xf>
    <xf numFmtId="0" fontId="99" fillId="5" borderId="37" xfId="0" applyFont="1" applyFill="1" applyBorder="1" applyAlignment="1" applyProtection="1">
      <alignment horizontal="left" vertical="center"/>
      <protection locked="0"/>
    </xf>
    <xf numFmtId="0" fontId="54" fillId="5" borderId="79" xfId="0" applyFont="1" applyFill="1" applyBorder="1" applyAlignment="1" applyProtection="1">
      <alignment horizontal="left" vertical="center"/>
      <protection locked="0"/>
    </xf>
    <xf numFmtId="0" fontId="54" fillId="5" borderId="63" xfId="0" applyFont="1" applyFill="1" applyBorder="1" applyAlignment="1" applyProtection="1">
      <alignment horizontal="left" vertical="center"/>
    </xf>
    <xf numFmtId="0" fontId="99" fillId="5" borderId="1"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99" fillId="5" borderId="95" xfId="0" applyFont="1" applyFill="1" applyBorder="1" applyAlignment="1" applyProtection="1">
      <alignment horizontal="left" vertical="center"/>
    </xf>
    <xf numFmtId="0" fontId="99" fillId="5" borderId="6" xfId="0" applyFont="1" applyFill="1" applyBorder="1" applyAlignment="1" applyProtection="1">
      <alignment horizontal="left" vertical="center"/>
    </xf>
    <xf numFmtId="0" fontId="54" fillId="5" borderId="65" xfId="0" applyFont="1" applyFill="1" applyBorder="1" applyAlignment="1" applyProtection="1">
      <alignment horizontal="left" vertical="center"/>
    </xf>
    <xf numFmtId="0" fontId="54" fillId="5" borderId="23" xfId="0" applyFont="1" applyFill="1" applyBorder="1" applyAlignment="1" applyProtection="1">
      <alignment horizontal="left" vertical="center"/>
    </xf>
    <xf numFmtId="0" fontId="54" fillId="0" borderId="17" xfId="0" applyFont="1" applyBorder="1" applyAlignment="1" applyProtection="1">
      <alignment horizontal="left" vertical="center"/>
      <protection locked="0"/>
    </xf>
    <xf numFmtId="0" fontId="99" fillId="0" borderId="17" xfId="0" applyFont="1" applyBorder="1" applyAlignment="1" applyProtection="1">
      <alignment horizontal="left" vertical="center"/>
      <protection locked="0"/>
    </xf>
    <xf numFmtId="0" fontId="54" fillId="0" borderId="64" xfId="0" applyFont="1" applyBorder="1" applyAlignment="1" applyProtection="1">
      <alignment horizontal="left" vertical="center"/>
      <protection locked="0"/>
    </xf>
    <xf numFmtId="0" fontId="54" fillId="0" borderId="97" xfId="0" applyFont="1" applyFill="1" applyBorder="1" applyAlignment="1" applyProtection="1">
      <alignment horizontal="left" vertical="center"/>
      <protection locked="0"/>
    </xf>
    <xf numFmtId="0" fontId="54" fillId="0" borderId="34" xfId="0" applyFont="1" applyBorder="1" applyAlignment="1" applyProtection="1">
      <alignment horizontal="left" vertical="center"/>
      <protection locked="0"/>
    </xf>
    <xf numFmtId="0" fontId="99" fillId="5" borderId="24" xfId="0" applyFont="1" applyFill="1" applyBorder="1" applyAlignment="1" applyProtection="1">
      <alignment horizontal="left" vertical="center"/>
    </xf>
    <xf numFmtId="187" fontId="54" fillId="5" borderId="34" xfId="0" applyNumberFormat="1" applyFont="1" applyFill="1" applyBorder="1" applyAlignment="1" applyProtection="1">
      <alignment horizontal="left" vertical="center"/>
    </xf>
    <xf numFmtId="0" fontId="54" fillId="5" borderId="7" xfId="0" applyFont="1" applyFill="1" applyBorder="1" applyAlignment="1" applyProtection="1">
      <alignment horizontal="left" vertical="center"/>
    </xf>
    <xf numFmtId="0" fontId="54" fillId="0" borderId="1" xfId="0" applyFont="1" applyBorder="1" applyAlignment="1" applyProtection="1">
      <alignment horizontal="left" vertical="center"/>
      <protection locked="0"/>
    </xf>
    <xf numFmtId="0" fontId="54" fillId="0" borderId="2" xfId="0" applyFont="1" applyBorder="1" applyAlignment="1" applyProtection="1">
      <alignment horizontal="left" vertical="center"/>
      <protection locked="0"/>
    </xf>
    <xf numFmtId="0" fontId="54" fillId="0" borderId="95" xfId="0" applyFont="1" applyFill="1" applyBorder="1" applyAlignment="1" applyProtection="1">
      <alignment horizontal="left" vertical="center"/>
      <protection locked="0"/>
    </xf>
    <xf numFmtId="0" fontId="54" fillId="0" borderId="6" xfId="0" applyFont="1" applyBorder="1" applyAlignment="1" applyProtection="1">
      <alignment horizontal="left" vertical="center"/>
      <protection locked="0"/>
    </xf>
    <xf numFmtId="0" fontId="99" fillId="5" borderId="3" xfId="0" applyFont="1" applyFill="1" applyBorder="1" applyAlignment="1" applyProtection="1">
      <alignment horizontal="left" vertical="center"/>
    </xf>
    <xf numFmtId="0" fontId="54" fillId="5" borderId="1" xfId="0" applyFont="1" applyFill="1" applyBorder="1" applyAlignment="1" applyProtection="1">
      <alignment horizontal="left" vertical="center"/>
    </xf>
    <xf numFmtId="0" fontId="54" fillId="5" borderId="6" xfId="0" applyFont="1" applyFill="1" applyBorder="1" applyAlignment="1" applyProtection="1">
      <alignment horizontal="left" vertical="center"/>
    </xf>
    <xf numFmtId="178" fontId="54" fillId="5" borderId="6" xfId="0" applyNumberFormat="1" applyFont="1" applyFill="1" applyBorder="1" applyAlignment="1" applyProtection="1">
      <alignment horizontal="left" vertical="center"/>
    </xf>
    <xf numFmtId="178" fontId="54" fillId="0" borderId="6" xfId="0" applyNumberFormat="1" applyFont="1" applyBorder="1" applyAlignment="1" applyProtection="1">
      <alignment horizontal="left" vertical="center"/>
      <protection locked="0"/>
    </xf>
    <xf numFmtId="0" fontId="99" fillId="0" borderId="95" xfId="0" applyFont="1" applyFill="1" applyBorder="1" applyAlignment="1" applyProtection="1">
      <alignment horizontal="left" vertical="center"/>
      <protection locked="0"/>
    </xf>
    <xf numFmtId="0" fontId="99" fillId="5" borderId="8" xfId="0" applyFont="1" applyFill="1" applyBorder="1" applyAlignment="1" applyProtection="1">
      <alignment horizontal="left" vertical="center"/>
    </xf>
    <xf numFmtId="0" fontId="54" fillId="5" borderId="61"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47" fillId="5" borderId="40" xfId="0" applyFont="1" applyFill="1" applyBorder="1" applyAlignment="1" applyProtection="1">
      <alignment horizontal="left" vertical="center"/>
    </xf>
    <xf numFmtId="0" fontId="47" fillId="5" borderId="30" xfId="0" applyFont="1" applyFill="1" applyBorder="1" applyAlignment="1" applyProtection="1">
      <alignment horizontal="left" vertical="center"/>
    </xf>
    <xf numFmtId="0" fontId="99" fillId="5" borderId="56" xfId="0" applyFont="1" applyFill="1" applyBorder="1" applyAlignment="1" applyProtection="1">
      <alignment horizontal="left" vertical="center"/>
    </xf>
    <xf numFmtId="0" fontId="54" fillId="0" borderId="61" xfId="0" applyFont="1" applyBorder="1" applyAlignment="1" applyProtection="1">
      <alignment horizontal="left" vertical="center"/>
      <protection locked="0"/>
    </xf>
    <xf numFmtId="178" fontId="54" fillId="5" borderId="43" xfId="0" applyNumberFormat="1" applyFont="1" applyFill="1" applyBorder="1" applyAlignment="1" applyProtection="1">
      <alignment horizontal="left" vertical="center"/>
    </xf>
    <xf numFmtId="0" fontId="101" fillId="5" borderId="35" xfId="0" applyFont="1" applyFill="1" applyBorder="1" applyAlignment="1" applyProtection="1">
      <alignment horizontal="left" vertical="center"/>
    </xf>
    <xf numFmtId="0" fontId="58" fillId="5" borderId="36" xfId="0" applyFont="1" applyFill="1" applyBorder="1" applyAlignment="1" applyProtection="1">
      <alignment horizontal="left" vertical="center"/>
    </xf>
    <xf numFmtId="0" fontId="58" fillId="5" borderId="0" xfId="0" applyFont="1" applyFill="1" applyAlignment="1" applyProtection="1">
      <alignment horizontal="left" vertical="center"/>
    </xf>
    <xf numFmtId="0" fontId="66" fillId="5" borderId="36" xfId="0" applyFont="1" applyFill="1" applyBorder="1" applyAlignment="1" applyProtection="1">
      <alignment horizontal="left" vertical="center"/>
    </xf>
    <xf numFmtId="189" fontId="58" fillId="5" borderId="36" xfId="0" applyNumberFormat="1" applyFont="1" applyFill="1" applyBorder="1" applyAlignment="1" applyProtection="1">
      <alignment horizontal="left" vertical="center"/>
    </xf>
    <xf numFmtId="181" fontId="58" fillId="5" borderId="36" xfId="0" applyNumberFormat="1" applyFont="1" applyFill="1" applyBorder="1" applyAlignment="1" applyProtection="1">
      <alignment horizontal="left" vertical="center"/>
    </xf>
    <xf numFmtId="0" fontId="58" fillId="5" borderId="0" xfId="0" applyFont="1" applyFill="1" applyBorder="1" applyAlignment="1" applyProtection="1">
      <alignment horizontal="left" vertical="center"/>
    </xf>
    <xf numFmtId="0" fontId="60" fillId="5" borderId="0" xfId="0" applyFont="1" applyFill="1" applyBorder="1" applyAlignment="1" applyProtection="1">
      <alignment horizontal="left" vertical="center"/>
    </xf>
    <xf numFmtId="0" fontId="60" fillId="0" borderId="0" xfId="0" applyFont="1" applyFill="1" applyBorder="1" applyAlignment="1" applyProtection="1">
      <alignment horizontal="left" vertical="center"/>
      <protection locked="0"/>
    </xf>
    <xf numFmtId="0" fontId="60" fillId="0" borderId="0" xfId="0" applyFont="1" applyFill="1" applyAlignment="1" applyProtection="1">
      <alignment horizontal="left" vertical="center"/>
      <protection locked="0"/>
    </xf>
    <xf numFmtId="0" fontId="53" fillId="5" borderId="1" xfId="1" applyFont="1" applyFill="1" applyBorder="1" applyAlignment="1" applyProtection="1">
      <alignment horizontal="left" vertical="center"/>
    </xf>
    <xf numFmtId="177" fontId="53" fillId="5" borderId="1" xfId="0" applyNumberFormat="1" applyFont="1" applyFill="1" applyBorder="1" applyAlignment="1" applyProtection="1">
      <alignment horizontal="left" vertical="center"/>
    </xf>
    <xf numFmtId="186" fontId="53" fillId="5" borderId="18" xfId="0" applyNumberFormat="1" applyFont="1" applyFill="1" applyBorder="1" applyAlignment="1" applyProtection="1">
      <alignment horizontal="left" vertical="center"/>
    </xf>
    <xf numFmtId="0" fontId="58" fillId="5" borderId="65" xfId="0" applyFont="1" applyFill="1" applyBorder="1" applyAlignment="1" applyProtection="1">
      <alignment horizontal="left" vertical="center"/>
    </xf>
    <xf numFmtId="0" fontId="60" fillId="5" borderId="0" xfId="0" applyFont="1" applyFill="1" applyAlignment="1" applyProtection="1">
      <alignment horizontal="left" vertical="center"/>
    </xf>
    <xf numFmtId="189" fontId="40" fillId="5" borderId="3" xfId="0" applyNumberFormat="1" applyFont="1" applyFill="1" applyBorder="1" applyAlignment="1" applyProtection="1">
      <alignment horizontal="left" vertical="center" wrapText="1"/>
    </xf>
    <xf numFmtId="184" fontId="40" fillId="0" borderId="9" xfId="0" applyNumberFormat="1" applyFont="1" applyFill="1" applyBorder="1" applyAlignment="1" applyProtection="1">
      <alignment horizontal="left" vertical="center" wrapText="1"/>
      <protection locked="0"/>
    </xf>
    <xf numFmtId="0" fontId="40" fillId="5" borderId="3" xfId="0" applyNumberFormat="1" applyFont="1" applyFill="1" applyBorder="1" applyAlignment="1" applyProtection="1">
      <alignment horizontal="left" vertical="center" wrapText="1"/>
    </xf>
    <xf numFmtId="0" fontId="40" fillId="2" borderId="46" xfId="0" applyNumberFormat="1" applyFont="1" applyFill="1" applyBorder="1" applyAlignment="1" applyProtection="1">
      <alignment horizontal="left" vertical="center" wrapText="1"/>
      <protection locked="0"/>
    </xf>
    <xf numFmtId="0" fontId="57" fillId="5" borderId="3" xfId="0" applyNumberFormat="1" applyFont="1" applyFill="1" applyBorder="1" applyAlignment="1" applyProtection="1">
      <alignment horizontal="left" vertical="center" wrapText="1"/>
    </xf>
    <xf numFmtId="0" fontId="57" fillId="0" borderId="3" xfId="0" applyNumberFormat="1" applyFont="1" applyFill="1" applyBorder="1" applyAlignment="1" applyProtection="1">
      <alignment horizontal="left" vertical="center" wrapText="1"/>
      <protection locked="0"/>
    </xf>
    <xf numFmtId="0" fontId="47" fillId="0" borderId="7" xfId="0" applyNumberFormat="1" applyFont="1" applyFill="1" applyBorder="1" applyAlignment="1" applyProtection="1">
      <alignment horizontal="left" vertical="center" wrapText="1"/>
      <protection locked="0"/>
    </xf>
    <xf numFmtId="0" fontId="40" fillId="5" borderId="10" xfId="0" applyFont="1" applyFill="1" applyBorder="1" applyAlignment="1" applyProtection="1">
      <alignment horizontal="left" vertical="center" wrapText="1"/>
    </xf>
    <xf numFmtId="49" fontId="47" fillId="5" borderId="2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xf>
    <xf numFmtId="0" fontId="47" fillId="2" borderId="24" xfId="0" applyNumberFormat="1" applyFont="1" applyFill="1" applyBorder="1" applyAlignment="1" applyProtection="1">
      <alignment horizontal="left" vertical="center" wrapText="1"/>
      <protection locked="0"/>
    </xf>
    <xf numFmtId="0" fontId="40" fillId="5" borderId="69" xfId="0" applyFont="1" applyFill="1" applyBorder="1" applyAlignment="1" applyProtection="1">
      <alignment horizontal="left" vertical="center" wrapText="1"/>
    </xf>
    <xf numFmtId="49" fontId="47" fillId="5" borderId="27" xfId="0" applyNumberFormat="1" applyFont="1" applyFill="1" applyBorder="1" applyAlignment="1" applyProtection="1">
      <alignment horizontal="left" vertical="center" wrapText="1"/>
    </xf>
    <xf numFmtId="0" fontId="40" fillId="5" borderId="45" xfId="0" applyFont="1" applyFill="1" applyBorder="1" applyAlignment="1" applyProtection="1">
      <alignment horizontal="left" vertical="center" wrapText="1"/>
    </xf>
    <xf numFmtId="0" fontId="47" fillId="2" borderId="25" xfId="0" applyNumberFormat="1" applyFont="1" applyFill="1" applyBorder="1" applyAlignment="1" applyProtection="1">
      <alignment horizontal="left" vertical="center" wrapText="1"/>
      <protection locked="0"/>
    </xf>
    <xf numFmtId="0" fontId="47" fillId="5" borderId="27" xfId="0" applyNumberFormat="1" applyFont="1" applyFill="1" applyBorder="1" applyAlignment="1" applyProtection="1">
      <alignment horizontal="left" vertical="center" wrapText="1"/>
    </xf>
    <xf numFmtId="0" fontId="40" fillId="5" borderId="77" xfId="0" applyFont="1" applyFill="1" applyBorder="1" applyAlignment="1" applyProtection="1">
      <alignment horizontal="left" vertical="center" wrapText="1"/>
    </xf>
    <xf numFmtId="0" fontId="47" fillId="5" borderId="51" xfId="0" applyNumberFormat="1" applyFont="1" applyFill="1" applyBorder="1" applyAlignment="1" applyProtection="1">
      <alignment horizontal="left" vertical="center" wrapText="1"/>
    </xf>
    <xf numFmtId="0" fontId="47" fillId="2" borderId="51" xfId="0" applyNumberFormat="1" applyFont="1" applyFill="1" applyBorder="1" applyAlignment="1" applyProtection="1">
      <alignment horizontal="left" vertical="center" wrapText="1"/>
      <protection locked="0"/>
    </xf>
    <xf numFmtId="0" fontId="57" fillId="5" borderId="3" xfId="0" applyNumberFormat="1" applyFont="1" applyFill="1" applyBorder="1" applyAlignment="1" applyProtection="1">
      <alignment horizontal="left" vertical="center" wrapText="1"/>
      <protection locked="0"/>
    </xf>
    <xf numFmtId="0" fontId="57" fillId="0" borderId="24" xfId="0" applyNumberFormat="1" applyFont="1" applyFill="1" applyBorder="1" applyAlignment="1" applyProtection="1">
      <alignment horizontal="left" vertical="center" wrapText="1"/>
      <protection locked="0"/>
    </xf>
    <xf numFmtId="0" fontId="40" fillId="2" borderId="65" xfId="0" applyNumberFormat="1" applyFont="1" applyFill="1" applyBorder="1" applyAlignment="1" applyProtection="1">
      <alignment horizontal="left" vertical="center" wrapText="1"/>
      <protection locked="0"/>
    </xf>
    <xf numFmtId="0" fontId="42" fillId="5" borderId="39" xfId="0" applyFont="1" applyFill="1" applyBorder="1" applyAlignment="1" applyProtection="1">
      <alignment horizontal="left" vertical="center" wrapText="1"/>
    </xf>
    <xf numFmtId="0" fontId="47" fillId="5" borderId="25" xfId="0" applyNumberFormat="1" applyFont="1" applyFill="1" applyBorder="1" applyAlignment="1" applyProtection="1">
      <alignment horizontal="left" vertical="center" wrapText="1"/>
    </xf>
    <xf numFmtId="0" fontId="54" fillId="5" borderId="3" xfId="0" applyNumberFormat="1" applyFont="1" applyFill="1" applyBorder="1" applyAlignment="1" applyProtection="1">
      <alignment horizontal="left" vertical="center" wrapText="1"/>
    </xf>
    <xf numFmtId="0" fontId="40" fillId="5" borderId="86" xfId="0" applyFont="1" applyFill="1" applyBorder="1" applyAlignment="1" applyProtection="1">
      <alignment horizontal="left" vertical="center" wrapText="1"/>
    </xf>
    <xf numFmtId="0" fontId="47" fillId="2" borderId="19" xfId="0" applyNumberFormat="1" applyFont="1" applyFill="1" applyBorder="1" applyAlignment="1" applyProtection="1">
      <alignment horizontal="left" vertical="center" wrapText="1"/>
      <protection locked="0"/>
    </xf>
    <xf numFmtId="0" fontId="54" fillId="0" borderId="3" xfId="0" applyNumberFormat="1" applyFont="1" applyFill="1" applyBorder="1" applyAlignment="1" applyProtection="1">
      <alignment horizontal="left" vertical="center" wrapText="1"/>
      <protection locked="0"/>
    </xf>
    <xf numFmtId="0" fontId="40" fillId="0" borderId="86" xfId="0" applyFont="1" applyFill="1" applyBorder="1" applyAlignment="1" applyProtection="1">
      <alignment horizontal="left" vertical="center" wrapText="1"/>
      <protection locked="0"/>
    </xf>
    <xf numFmtId="0" fontId="47" fillId="5" borderId="39" xfId="0" applyFont="1" applyFill="1" applyBorder="1" applyAlignment="1" applyProtection="1">
      <alignment horizontal="left" vertical="center"/>
    </xf>
    <xf numFmtId="0" fontId="47" fillId="0" borderId="86" xfId="0" applyFont="1" applyFill="1" applyBorder="1" applyAlignment="1" applyProtection="1">
      <alignment horizontal="left" vertical="center"/>
      <protection locked="0"/>
    </xf>
    <xf numFmtId="0" fontId="70" fillId="5" borderId="29" xfId="0" applyFont="1" applyFill="1" applyBorder="1" applyAlignment="1" applyProtection="1">
      <alignment horizontal="left" vertical="center" textRotation="255" wrapText="1"/>
    </xf>
    <xf numFmtId="0" fontId="45" fillId="0" borderId="123" xfId="0" applyFont="1" applyFill="1" applyBorder="1" applyAlignment="1" applyProtection="1">
      <alignment horizontal="left" vertical="center"/>
      <protection locked="0"/>
    </xf>
    <xf numFmtId="0" fontId="47" fillId="0" borderId="56" xfId="0" applyNumberFormat="1" applyFont="1" applyFill="1" applyBorder="1" applyAlignment="1" applyProtection="1">
      <alignment horizontal="left" vertical="center" wrapText="1"/>
      <protection locked="0"/>
    </xf>
    <xf numFmtId="0" fontId="40" fillId="5" borderId="43" xfId="0" applyNumberFormat="1" applyFont="1" applyFill="1" applyBorder="1" applyAlignment="1" applyProtection="1">
      <alignment horizontal="left" vertical="center" wrapText="1"/>
    </xf>
    <xf numFmtId="0" fontId="47" fillId="0" borderId="8" xfId="0" applyNumberFormat="1" applyFont="1" applyFill="1" applyBorder="1" applyAlignment="1" applyProtection="1">
      <alignment horizontal="left" vertical="center" wrapText="1"/>
      <protection locked="0"/>
    </xf>
    <xf numFmtId="0" fontId="47" fillId="0" borderId="4" xfId="0" applyNumberFormat="1" applyFont="1" applyFill="1" applyBorder="1" applyAlignment="1" applyProtection="1">
      <alignment horizontal="left" vertical="center" wrapText="1"/>
      <protection locked="0"/>
    </xf>
    <xf numFmtId="9" fontId="40" fillId="2" borderId="19" xfId="0" applyNumberFormat="1" applyFont="1" applyFill="1" applyBorder="1" applyAlignment="1" applyProtection="1">
      <alignment horizontal="left" vertical="center" wrapText="1"/>
      <protection locked="0"/>
    </xf>
    <xf numFmtId="0" fontId="47" fillId="0" borderId="2" xfId="0" applyFont="1" applyFill="1" applyBorder="1" applyAlignment="1" applyProtection="1">
      <alignment horizontal="left" vertical="center"/>
      <protection locked="0"/>
    </xf>
    <xf numFmtId="0" fontId="45" fillId="0" borderId="20" xfId="0" applyNumberFormat="1" applyFont="1" applyFill="1" applyBorder="1" applyAlignment="1" applyProtection="1">
      <alignment horizontal="left" vertical="center" wrapText="1"/>
      <protection locked="0"/>
    </xf>
    <xf numFmtId="0" fontId="72" fillId="5" borderId="3" xfId="0" applyNumberFormat="1" applyFont="1" applyFill="1" applyBorder="1" applyAlignment="1" applyProtection="1">
      <alignment horizontal="left" vertical="center" wrapText="1"/>
    </xf>
    <xf numFmtId="49" fontId="46" fillId="2" borderId="31" xfId="0" applyNumberFormat="1" applyFont="1" applyFill="1" applyBorder="1" applyAlignment="1" applyProtection="1">
      <alignment horizontal="left" vertical="center"/>
      <protection locked="0"/>
    </xf>
    <xf numFmtId="0" fontId="46" fillId="5" borderId="47"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wrapText="1"/>
    </xf>
    <xf numFmtId="0" fontId="71" fillId="3" borderId="47" xfId="0" applyFont="1" applyFill="1" applyBorder="1" applyAlignment="1" applyProtection="1">
      <alignment horizontal="left" vertical="center" wrapText="1"/>
      <protection locked="0"/>
    </xf>
    <xf numFmtId="0" fontId="71" fillId="5" borderId="47" xfId="0" applyFont="1" applyFill="1" applyBorder="1" applyAlignment="1" applyProtection="1">
      <alignment horizontal="left" vertical="center" wrapText="1"/>
    </xf>
    <xf numFmtId="0" fontId="71" fillId="3" borderId="46" xfId="0" applyFont="1" applyFill="1" applyBorder="1" applyAlignment="1" applyProtection="1">
      <alignment horizontal="left" vertical="center" wrapText="1"/>
      <protection locked="0"/>
    </xf>
    <xf numFmtId="0" fontId="71" fillId="5" borderId="38" xfId="0" applyFont="1" applyFill="1" applyBorder="1" applyAlignment="1" applyProtection="1">
      <alignment horizontal="left" vertical="center" wrapText="1"/>
    </xf>
    <xf numFmtId="189" fontId="47" fillId="5" borderId="3" xfId="0" applyNumberFormat="1" applyFont="1" applyFill="1" applyBorder="1" applyAlignment="1" applyProtection="1">
      <alignment horizontal="left" vertical="center"/>
    </xf>
    <xf numFmtId="49" fontId="46" fillId="5" borderId="62" xfId="0" applyNumberFormat="1" applyFont="1" applyFill="1" applyBorder="1" applyAlignment="1" applyProtection="1">
      <alignment horizontal="left" vertical="center"/>
    </xf>
    <xf numFmtId="186" fontId="46" fillId="5" borderId="48" xfId="0" applyNumberFormat="1" applyFont="1" applyFill="1" applyBorder="1" applyAlignment="1" applyProtection="1">
      <alignment horizontal="left" vertical="center" wrapText="1"/>
    </xf>
    <xf numFmtId="186" fontId="46" fillId="5" borderId="20" xfId="0" applyNumberFormat="1" applyFont="1" applyFill="1" applyBorder="1" applyAlignment="1" applyProtection="1">
      <alignment horizontal="left" vertical="center" wrapText="1"/>
    </xf>
    <xf numFmtId="186" fontId="46" fillId="5" borderId="40" xfId="0" applyNumberFormat="1" applyFont="1" applyFill="1" applyBorder="1" applyAlignment="1" applyProtection="1">
      <alignment horizontal="left" vertical="center" wrapText="1"/>
    </xf>
    <xf numFmtId="189" fontId="47" fillId="5" borderId="1" xfId="0" applyNumberFormat="1" applyFont="1" applyFill="1" applyBorder="1" applyAlignment="1" applyProtection="1">
      <alignment horizontal="left" vertical="center" wrapText="1"/>
    </xf>
    <xf numFmtId="176" fontId="47" fillId="5" borderId="11" xfId="0" applyNumberFormat="1" applyFont="1" applyFill="1" applyBorder="1" applyAlignment="1" applyProtection="1">
      <alignment horizontal="left" vertical="center"/>
    </xf>
    <xf numFmtId="0" fontId="47" fillId="6" borderId="11" xfId="0" applyFont="1" applyFill="1" applyBorder="1" applyAlignment="1" applyProtection="1">
      <alignment horizontal="left" vertical="center"/>
      <protection locked="0"/>
    </xf>
    <xf numFmtId="0" fontId="47" fillId="5" borderId="37" xfId="0" applyFont="1" applyFill="1" applyBorder="1" applyAlignment="1" applyProtection="1">
      <alignment horizontal="left" vertical="center" wrapText="1"/>
      <protection locked="0"/>
    </xf>
    <xf numFmtId="0" fontId="47" fillId="5" borderId="11" xfId="0" applyFont="1" applyFill="1" applyBorder="1" applyAlignment="1" applyProtection="1">
      <alignment horizontal="left" vertical="center"/>
    </xf>
    <xf numFmtId="0" fontId="47" fillId="5" borderId="31" xfId="0" applyFont="1" applyFill="1" applyBorder="1" applyAlignment="1" applyProtection="1">
      <alignment horizontal="left" vertical="center"/>
    </xf>
    <xf numFmtId="189" fontId="47" fillId="5" borderId="0" xfId="0" applyNumberFormat="1" applyFont="1" applyFill="1" applyAlignment="1" applyProtection="1">
      <alignment horizontal="left" vertical="center"/>
    </xf>
    <xf numFmtId="0" fontId="49" fillId="5" borderId="7" xfId="0" applyFont="1" applyFill="1" applyBorder="1" applyAlignment="1" applyProtection="1">
      <alignment horizontal="left"/>
    </xf>
    <xf numFmtId="186" fontId="49" fillId="5" borderId="1" xfId="1" applyNumberFormat="1" applyFont="1" applyFill="1" applyBorder="1" applyAlignment="1" applyProtection="1">
      <alignment horizontal="left"/>
    </xf>
    <xf numFmtId="0" fontId="73" fillId="5" borderId="1" xfId="0" applyFont="1" applyFill="1" applyBorder="1" applyAlignment="1" applyProtection="1">
      <alignment horizontal="left" vertical="center"/>
      <protection locked="0"/>
    </xf>
    <xf numFmtId="179" fontId="49" fillId="0" borderId="1" xfId="1" applyNumberFormat="1" applyFont="1" applyFill="1" applyBorder="1" applyAlignment="1" applyProtection="1">
      <alignment horizontal="left"/>
      <protection locked="0"/>
    </xf>
    <xf numFmtId="177" fontId="49" fillId="5" borderId="6" xfId="1" applyNumberFormat="1" applyFont="1" applyFill="1" applyBorder="1" applyAlignment="1" applyProtection="1">
      <alignment horizontal="left"/>
    </xf>
    <xf numFmtId="0" fontId="102" fillId="5" borderId="1" xfId="0" applyFont="1" applyFill="1" applyBorder="1" applyAlignment="1" applyProtection="1">
      <alignment horizontal="left" vertical="center"/>
    </xf>
    <xf numFmtId="0" fontId="73" fillId="0" borderId="0" xfId="0" applyFont="1" applyFill="1" applyAlignment="1" applyProtection="1">
      <alignment horizontal="left" vertical="center"/>
      <protection locked="0"/>
    </xf>
    <xf numFmtId="0" fontId="49" fillId="5" borderId="7" xfId="1" applyFont="1" applyFill="1" applyBorder="1" applyAlignment="1" applyProtection="1">
      <alignment horizontal="left"/>
    </xf>
    <xf numFmtId="0" fontId="49" fillId="5" borderId="1" xfId="1" applyFont="1" applyFill="1" applyBorder="1" applyAlignment="1" applyProtection="1">
      <alignment horizontal="left"/>
    </xf>
    <xf numFmtId="9" fontId="73" fillId="6" borderId="1" xfId="0" applyNumberFormat="1" applyFont="1" applyFill="1" applyBorder="1" applyAlignment="1" applyProtection="1">
      <alignment horizontal="left" vertical="center"/>
      <protection locked="0"/>
    </xf>
    <xf numFmtId="0" fontId="102" fillId="0" borderId="1" xfId="0" applyFont="1" applyFill="1" applyBorder="1" applyAlignment="1" applyProtection="1">
      <alignment horizontal="left" vertical="center"/>
      <protection locked="0"/>
    </xf>
    <xf numFmtId="0" fontId="50" fillId="5" borderId="8" xfId="1" applyFont="1" applyFill="1" applyBorder="1" applyAlignment="1" applyProtection="1">
      <alignment horizontal="left"/>
    </xf>
    <xf numFmtId="0" fontId="49" fillId="5" borderId="61" xfId="0" applyFont="1" applyFill="1" applyBorder="1" applyAlignment="1" applyProtection="1">
      <alignment horizontal="left"/>
    </xf>
    <xf numFmtId="177" fontId="50" fillId="5" borderId="43" xfId="0" applyNumberFormat="1" applyFont="1" applyFill="1" applyBorder="1" applyAlignment="1" applyProtection="1">
      <alignment horizontal="left"/>
    </xf>
    <xf numFmtId="0" fontId="49" fillId="5" borderId="0" xfId="0" applyFont="1" applyFill="1" applyAlignment="1" applyProtection="1">
      <alignment horizontal="left"/>
    </xf>
    <xf numFmtId="14" fontId="47" fillId="5" borderId="0" xfId="0" applyNumberFormat="1" applyFont="1" applyFill="1" applyAlignment="1" applyProtection="1">
      <alignment horizontal="left" vertical="center"/>
    </xf>
    <xf numFmtId="0" fontId="47" fillId="0" borderId="0" xfId="0" applyFont="1" applyFill="1" applyAlignment="1" applyProtection="1">
      <alignment horizontal="left" vertical="center"/>
    </xf>
    <xf numFmtId="0" fontId="47" fillId="5" borderId="0" xfId="0" applyFont="1" applyFill="1" applyBorder="1" applyAlignment="1" applyProtection="1">
      <alignment horizontal="left"/>
      <protection locked="0"/>
    </xf>
    <xf numFmtId="189" fontId="47" fillId="5" borderId="0" xfId="0" applyNumberFormat="1" applyFont="1" applyFill="1" applyBorder="1" applyAlignment="1" applyProtection="1">
      <alignment horizontal="left"/>
      <protection locked="0"/>
    </xf>
    <xf numFmtId="181" fontId="47" fillId="5" borderId="0" xfId="0" applyNumberFormat="1" applyFont="1" applyFill="1" applyBorder="1" applyAlignment="1" applyProtection="1">
      <alignment horizontal="left"/>
      <protection locked="0"/>
    </xf>
    <xf numFmtId="0" fontId="47" fillId="0" borderId="0" xfId="0" applyFont="1" applyBorder="1" applyAlignment="1" applyProtection="1">
      <alignment horizontal="left"/>
      <protection locked="0"/>
    </xf>
    <xf numFmtId="0" fontId="42" fillId="5" borderId="5" xfId="0" applyNumberFormat="1" applyFont="1" applyFill="1" applyBorder="1" applyAlignment="1" applyProtection="1">
      <alignment horizontal="left" vertical="center"/>
    </xf>
    <xf numFmtId="0" fontId="42" fillId="5" borderId="21" xfId="0" applyNumberFormat="1" applyFont="1" applyFill="1" applyBorder="1" applyAlignment="1" applyProtection="1">
      <alignment horizontal="left" vertical="center"/>
    </xf>
    <xf numFmtId="0" fontId="40" fillId="5" borderId="28"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vertical="center"/>
    </xf>
    <xf numFmtId="49" fontId="40" fillId="0" borderId="0" xfId="0" applyNumberFormat="1" applyFont="1" applyFill="1" applyAlignment="1" applyProtection="1">
      <alignment horizontal="left" vertical="center"/>
    </xf>
    <xf numFmtId="0" fontId="42" fillId="6" borderId="7" xfId="0" applyNumberFormat="1" applyFont="1" applyFill="1" applyBorder="1" applyAlignment="1" applyProtection="1">
      <alignment horizontal="left" vertical="center" wrapText="1"/>
      <protection locked="0"/>
    </xf>
    <xf numFmtId="10" fontId="42" fillId="5" borderId="1" xfId="0" applyNumberFormat="1" applyFont="1" applyFill="1" applyBorder="1" applyAlignment="1" applyProtection="1">
      <alignment horizontal="left" vertical="center" wrapText="1"/>
    </xf>
    <xf numFmtId="0" fontId="40" fillId="0" borderId="2" xfId="0" applyNumberFormat="1" applyFont="1" applyFill="1" applyBorder="1" applyAlignment="1" applyProtection="1">
      <alignment horizontal="left" vertical="center" wrapText="1"/>
      <protection locked="0"/>
    </xf>
    <xf numFmtId="0" fontId="40" fillId="0" borderId="41" xfId="0" applyNumberFormat="1" applyFont="1" applyFill="1" applyBorder="1" applyAlignment="1" applyProtection="1">
      <alignment horizontal="left" vertical="center" wrapText="1"/>
      <protection locked="0"/>
    </xf>
    <xf numFmtId="0" fontId="40" fillId="0" borderId="30" xfId="0" applyNumberFormat="1" applyFont="1" applyFill="1" applyBorder="1" applyAlignment="1" applyProtection="1">
      <alignment horizontal="left" vertical="center" wrapText="1"/>
      <protection locked="0"/>
    </xf>
    <xf numFmtId="0" fontId="99" fillId="0" borderId="0" xfId="0" applyFont="1" applyFill="1" applyBorder="1" applyAlignment="1" applyProtection="1">
      <alignment horizontal="left" vertical="center"/>
      <protection locked="0"/>
    </xf>
    <xf numFmtId="0" fontId="40" fillId="0" borderId="0"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protection locked="0"/>
    </xf>
    <xf numFmtId="0" fontId="40" fillId="5" borderId="33" xfId="0" applyNumberFormat="1" applyFont="1" applyFill="1" applyBorder="1" applyAlignment="1" applyProtection="1">
      <alignment horizontal="left" vertical="center" wrapText="1"/>
    </xf>
    <xf numFmtId="0" fontId="47" fillId="0" borderId="18" xfId="0" applyNumberFormat="1" applyFont="1" applyFill="1" applyBorder="1" applyAlignment="1" applyProtection="1">
      <alignment horizontal="left" vertical="center" wrapText="1"/>
      <protection locked="0"/>
    </xf>
    <xf numFmtId="0" fontId="47" fillId="0" borderId="58" xfId="0" applyNumberFormat="1" applyFont="1" applyFill="1" applyBorder="1" applyAlignment="1" applyProtection="1">
      <alignment horizontal="left" vertical="center" wrapText="1"/>
      <protection locked="0"/>
    </xf>
    <xf numFmtId="0" fontId="99" fillId="5" borderId="31" xfId="0" applyNumberFormat="1" applyFont="1" applyFill="1" applyBorder="1" applyAlignment="1" applyProtection="1">
      <alignment horizontal="left" vertical="center" wrapText="1"/>
    </xf>
    <xf numFmtId="0" fontId="45" fillId="5" borderId="71" xfId="0" applyNumberFormat="1"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102" fillId="5" borderId="0" xfId="0" applyFont="1" applyFill="1" applyBorder="1" applyAlignment="1" applyProtection="1">
      <alignment horizontal="left" vertical="center"/>
    </xf>
    <xf numFmtId="0" fontId="49" fillId="5" borderId="34" xfId="0" applyFont="1" applyFill="1" applyBorder="1" applyAlignment="1" applyProtection="1">
      <alignment horizontal="left" vertical="center"/>
    </xf>
    <xf numFmtId="0" fontId="47" fillId="5" borderId="1" xfId="0" applyNumberFormat="1" applyFont="1" applyFill="1" applyBorder="1" applyAlignment="1" applyProtection="1">
      <alignment horizontal="left" vertical="center"/>
    </xf>
    <xf numFmtId="0" fontId="47" fillId="5" borderId="2"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7" fillId="5" borderId="16" xfId="0" applyFont="1" applyFill="1" applyBorder="1" applyAlignment="1" applyProtection="1">
      <alignment horizontal="left" vertical="center" wrapText="1"/>
    </xf>
    <xf numFmtId="0" fontId="47" fillId="5" borderId="17" xfId="0" applyFont="1" applyFill="1" applyBorder="1" applyAlignment="1" applyProtection="1">
      <alignment horizontal="left" vertical="center" textRotation="255" wrapText="1"/>
    </xf>
    <xf numFmtId="0" fontId="47" fillId="5" borderId="49" xfId="0" applyFont="1" applyFill="1" applyBorder="1" applyAlignment="1" applyProtection="1">
      <alignment horizontal="left" vertical="center"/>
    </xf>
    <xf numFmtId="0" fontId="47" fillId="5" borderId="4" xfId="0" applyFont="1" applyFill="1" applyBorder="1" applyAlignment="1" applyProtection="1">
      <alignment horizontal="left" vertical="center" wrapText="1"/>
    </xf>
    <xf numFmtId="0" fontId="47" fillId="5" borderId="31"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xf>
    <xf numFmtId="0" fontId="102" fillId="0" borderId="0" xfId="0" applyFont="1" applyAlignment="1" applyProtection="1">
      <alignment horizontal="left" vertical="center"/>
    </xf>
    <xf numFmtId="0" fontId="43" fillId="5" borderId="26" xfId="0" applyFont="1" applyFill="1" applyBorder="1" applyAlignment="1" applyProtection="1">
      <alignment horizontal="left" vertical="center" wrapText="1"/>
    </xf>
    <xf numFmtId="0" fontId="43" fillId="5" borderId="7"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0" fontId="43" fillId="5" borderId="3" xfId="0" applyFont="1" applyFill="1" applyBorder="1" applyAlignment="1" applyProtection="1">
      <alignment horizontal="left" vertical="center" wrapText="1"/>
    </xf>
    <xf numFmtId="10" fontId="43" fillId="5" borderId="2" xfId="0" applyNumberFormat="1" applyFont="1" applyFill="1" applyBorder="1" applyAlignment="1" applyProtection="1">
      <alignment horizontal="left" vertical="center" wrapText="1"/>
    </xf>
    <xf numFmtId="10" fontId="43" fillId="5" borderId="51" xfId="0" applyNumberFormat="1" applyFont="1" applyFill="1" applyBorder="1" applyAlignment="1" applyProtection="1">
      <alignment horizontal="left" vertical="center" wrapText="1"/>
    </xf>
    <xf numFmtId="10" fontId="43" fillId="5" borderId="41" xfId="0" applyNumberFormat="1"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51" xfId="0" applyFont="1" applyFill="1" applyBorder="1" applyAlignment="1" applyProtection="1">
      <alignment horizontal="left" vertical="center" wrapText="1"/>
    </xf>
    <xf numFmtId="0" fontId="43" fillId="5" borderId="41" xfId="0" applyFont="1" applyFill="1" applyBorder="1" applyAlignment="1" applyProtection="1">
      <alignment horizontal="left" vertical="center" wrapText="1"/>
    </xf>
    <xf numFmtId="0" fontId="43" fillId="5" borderId="16" xfId="0" applyFont="1" applyFill="1" applyBorder="1" applyAlignment="1" applyProtection="1">
      <alignment horizontal="left" vertical="center" wrapText="1"/>
    </xf>
    <xf numFmtId="0" fontId="43" fillId="5" borderId="1" xfId="0" applyFont="1" applyFill="1" applyBorder="1" applyAlignment="1" applyProtection="1">
      <alignment horizontal="left" vertical="center" wrapText="1"/>
    </xf>
    <xf numFmtId="0" fontId="40" fillId="5" borderId="2" xfId="0" applyFont="1" applyFill="1" applyBorder="1" applyAlignment="1" applyProtection="1">
      <alignment horizontal="left" vertical="center"/>
    </xf>
    <xf numFmtId="0" fontId="40" fillId="5" borderId="3" xfId="0" applyFont="1" applyFill="1" applyBorder="1" applyAlignment="1" applyProtection="1">
      <alignment horizontal="left" vertical="center"/>
    </xf>
    <xf numFmtId="0" fontId="40" fillId="5" borderId="51" xfId="0" applyFont="1" applyFill="1" applyBorder="1" applyAlignment="1" applyProtection="1">
      <alignment horizontal="left" vertical="center"/>
    </xf>
    <xf numFmtId="0" fontId="76" fillId="18" borderId="3" xfId="0" applyFont="1" applyFill="1" applyBorder="1" applyAlignment="1" applyProtection="1">
      <alignment horizontal="left" vertical="center" wrapText="1"/>
      <protection locked="0"/>
    </xf>
    <xf numFmtId="0" fontId="101" fillId="5" borderId="46" xfId="1" applyFont="1" applyFill="1" applyBorder="1" applyAlignment="1" applyProtection="1">
      <alignment horizontal="left" vertical="center"/>
    </xf>
    <xf numFmtId="0" fontId="53" fillId="5" borderId="47" xfId="1" applyFont="1" applyFill="1" applyBorder="1" applyAlignment="1" applyProtection="1">
      <alignment horizontal="left" vertical="center"/>
    </xf>
    <xf numFmtId="0" fontId="53" fillId="5" borderId="37" xfId="1" applyFont="1" applyFill="1" applyBorder="1" applyAlignment="1" applyProtection="1">
      <alignment horizontal="left" vertical="center"/>
    </xf>
    <xf numFmtId="0" fontId="49" fillId="5" borderId="0" xfId="0" applyFont="1" applyFill="1" applyAlignment="1" applyProtection="1">
      <alignment horizontal="left" vertical="center" wrapText="1"/>
    </xf>
    <xf numFmtId="0" fontId="99" fillId="5" borderId="4" xfId="0" applyNumberFormat="1" applyFont="1" applyFill="1" applyBorder="1" applyAlignment="1" applyProtection="1">
      <alignment horizontal="left" vertical="center"/>
    </xf>
    <xf numFmtId="0" fontId="99" fillId="5" borderId="13" xfId="0" applyNumberFormat="1" applyFont="1" applyFill="1" applyBorder="1" applyAlignment="1" applyProtection="1">
      <alignment horizontal="left" vertical="center"/>
    </xf>
    <xf numFmtId="10" fontId="49" fillId="5" borderId="31" xfId="0" applyNumberFormat="1" applyFont="1" applyFill="1" applyBorder="1" applyAlignment="1" applyProtection="1">
      <alignment horizontal="left" vertical="center" wrapText="1"/>
    </xf>
    <xf numFmtId="0" fontId="54" fillId="5" borderId="1" xfId="6" applyFont="1" applyFill="1" applyBorder="1" applyAlignment="1" applyProtection="1">
      <alignment horizontal="left" vertical="center" wrapText="1"/>
    </xf>
    <xf numFmtId="0" fontId="49" fillId="5" borderId="0" xfId="6" applyFont="1" applyFill="1" applyAlignment="1" applyProtection="1">
      <alignment horizontal="left" vertical="center" wrapText="1"/>
      <protection locked="0"/>
    </xf>
    <xf numFmtId="0" fontId="49" fillId="8" borderId="0" xfId="6" applyFont="1" applyFill="1" applyAlignment="1" applyProtection="1">
      <alignment horizontal="left" vertical="center" wrapText="1"/>
    </xf>
    <xf numFmtId="0" fontId="49" fillId="0" borderId="0" xfId="6" applyFont="1" applyAlignment="1" applyProtection="1">
      <alignment horizontal="left" vertical="center" wrapText="1"/>
    </xf>
    <xf numFmtId="0" fontId="53" fillId="5" borderId="2" xfId="1" applyFont="1" applyFill="1" applyBorder="1" applyAlignment="1" applyProtection="1">
      <alignment horizontal="left" vertical="center"/>
    </xf>
    <xf numFmtId="0" fontId="49" fillId="6" borderId="1" xfId="0" applyNumberFormat="1" applyFont="1" applyFill="1" applyBorder="1" applyAlignment="1" applyProtection="1">
      <alignment horizontal="left" vertical="center" wrapText="1"/>
      <protection locked="0"/>
    </xf>
    <xf numFmtId="49" fontId="49" fillId="5" borderId="1" xfId="0" applyNumberFormat="1" applyFont="1" applyFill="1" applyBorder="1" applyAlignment="1" applyProtection="1">
      <alignment horizontal="left" vertical="center" wrapText="1"/>
    </xf>
    <xf numFmtId="0" fontId="49" fillId="5" borderId="0" xfId="0" applyNumberFormat="1" applyFont="1" applyFill="1" applyAlignment="1" applyProtection="1">
      <alignment horizontal="left" vertical="center" wrapText="1"/>
    </xf>
    <xf numFmtId="0" fontId="99" fillId="5" borderId="7" xfId="0" applyNumberFormat="1" applyFont="1" applyFill="1" applyBorder="1" applyAlignment="1" applyProtection="1">
      <alignment horizontal="left" vertical="center"/>
    </xf>
    <xf numFmtId="0" fontId="99" fillId="5" borderId="2" xfId="0" applyNumberFormat="1" applyFont="1" applyFill="1" applyBorder="1" applyAlignment="1" applyProtection="1">
      <alignment horizontal="left" vertical="center"/>
    </xf>
    <xf numFmtId="10" fontId="49" fillId="5" borderId="6" xfId="0" applyNumberFormat="1" applyFont="1" applyFill="1" applyBorder="1" applyAlignment="1" applyProtection="1">
      <alignment horizontal="left" vertical="center" wrapText="1"/>
    </xf>
    <xf numFmtId="0" fontId="54" fillId="0" borderId="1" xfId="6" applyFont="1" applyFill="1" applyBorder="1" applyAlignment="1" applyProtection="1">
      <alignment horizontal="left" vertical="center" wrapText="1"/>
      <protection locked="0"/>
    </xf>
    <xf numFmtId="179" fontId="47" fillId="5" borderId="1" xfId="0" applyNumberFormat="1" applyFont="1" applyFill="1" applyBorder="1" applyAlignment="1" applyProtection="1">
      <alignment horizontal="left" vertical="center" wrapText="1"/>
    </xf>
    <xf numFmtId="177" fontId="47" fillId="0" borderId="1" xfId="0" applyNumberFormat="1" applyFont="1" applyFill="1" applyBorder="1" applyAlignment="1" applyProtection="1">
      <alignment horizontal="left" vertical="center" wrapText="1"/>
      <protection locked="0"/>
    </xf>
    <xf numFmtId="0" fontId="46" fillId="5" borderId="44" xfId="0" applyFont="1" applyFill="1" applyBorder="1" applyAlignment="1" applyProtection="1">
      <alignment horizontal="left" vertical="center"/>
    </xf>
    <xf numFmtId="0" fontId="180" fillId="5" borderId="44" xfId="0" applyFont="1" applyFill="1" applyBorder="1" applyAlignment="1" applyProtection="1">
      <alignment horizontal="left" vertical="center"/>
    </xf>
    <xf numFmtId="0" fontId="46" fillId="5" borderId="44"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0" xfId="6" applyFont="1" applyFill="1" applyAlignment="1" applyProtection="1">
      <alignment horizontal="left" vertical="center" wrapText="1"/>
      <protection locked="0"/>
    </xf>
    <xf numFmtId="0" fontId="47" fillId="8" borderId="0" xfId="6" applyFont="1" applyFill="1" applyAlignment="1" applyProtection="1">
      <alignment horizontal="left" vertical="center" wrapText="1"/>
    </xf>
    <xf numFmtId="0" fontId="47" fillId="0" borderId="0" xfId="6" applyFont="1" applyAlignment="1" applyProtection="1">
      <alignment horizontal="left" vertical="center" wrapText="1"/>
    </xf>
    <xf numFmtId="0" fontId="47" fillId="0" borderId="0" xfId="0" applyFont="1" applyAlignment="1" applyProtection="1">
      <alignment horizontal="left" vertical="center" wrapText="1"/>
    </xf>
    <xf numFmtId="0" fontId="50" fillId="5" borderId="9" xfId="0" applyFont="1" applyFill="1" applyBorder="1" applyAlignment="1" applyProtection="1">
      <alignment horizontal="left" vertical="center" wrapText="1"/>
    </xf>
    <xf numFmtId="0" fontId="50" fillId="5" borderId="14" xfId="0" applyFont="1" applyFill="1" applyBorder="1" applyAlignment="1" applyProtection="1">
      <alignment horizontal="left" vertical="center"/>
    </xf>
    <xf numFmtId="0" fontId="118" fillId="5" borderId="14" xfId="0" applyFont="1" applyFill="1" applyBorder="1" applyAlignment="1" applyProtection="1">
      <alignment horizontal="left" vertical="center"/>
    </xf>
    <xf numFmtId="0" fontId="49" fillId="5" borderId="66" xfId="0" applyFont="1" applyFill="1" applyBorder="1" applyAlignment="1" applyProtection="1">
      <alignment horizontal="left" vertical="center" wrapText="1"/>
    </xf>
    <xf numFmtId="0" fontId="49" fillId="5" borderId="81" xfId="0" applyFont="1" applyFill="1" applyBorder="1" applyAlignment="1" applyProtection="1">
      <alignment horizontal="left" vertical="center" wrapText="1"/>
    </xf>
    <xf numFmtId="0" fontId="50" fillId="5" borderId="13"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0" borderId="11" xfId="0" applyFont="1" applyFill="1" applyBorder="1" applyAlignment="1" applyProtection="1">
      <alignment horizontal="left" vertical="center" wrapText="1"/>
      <protection locked="0"/>
    </xf>
    <xf numFmtId="0" fontId="49" fillId="5" borderId="37" xfId="0" applyFont="1" applyFill="1" applyBorder="1" applyAlignment="1" applyProtection="1">
      <alignment horizontal="left" vertical="center" wrapText="1"/>
    </xf>
    <xf numFmtId="0" fontId="49" fillId="5" borderId="79" xfId="0" applyFont="1" applyFill="1" applyBorder="1" applyAlignment="1" applyProtection="1">
      <alignment horizontal="left" vertical="center" wrapText="1"/>
    </xf>
    <xf numFmtId="0" fontId="49" fillId="5" borderId="3" xfId="6" applyFont="1" applyFill="1" applyBorder="1" applyAlignment="1" applyProtection="1">
      <alignment horizontal="left" vertical="center" wrapText="1"/>
      <protection locked="0"/>
    </xf>
    <xf numFmtId="0" fontId="49" fillId="5" borderId="1" xfId="6" applyFont="1" applyFill="1" applyBorder="1" applyAlignment="1" applyProtection="1">
      <alignment horizontal="left" vertical="center" wrapText="1"/>
      <protection locked="0"/>
    </xf>
    <xf numFmtId="179" fontId="49" fillId="5" borderId="1" xfId="6" applyNumberFormat="1"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5" borderId="64" xfId="0" applyFont="1" applyFill="1" applyBorder="1" applyAlignment="1" applyProtection="1">
      <alignment horizontal="left" vertical="center" wrapText="1"/>
    </xf>
    <xf numFmtId="0" fontId="49" fillId="5" borderId="2" xfId="0" applyFont="1" applyFill="1" applyBorder="1" applyAlignment="1" applyProtection="1">
      <alignment horizontal="left" vertical="center"/>
    </xf>
    <xf numFmtId="0" fontId="49" fillId="5" borderId="51" xfId="0" applyFont="1" applyFill="1" applyBorder="1" applyAlignment="1" applyProtection="1">
      <alignment horizontal="left" vertical="center" wrapText="1"/>
    </xf>
    <xf numFmtId="0" fontId="49" fillId="5" borderId="41" xfId="0" applyFont="1" applyFill="1" applyBorder="1" applyAlignment="1" applyProtection="1">
      <alignment horizontal="left" vertical="center" wrapText="1"/>
    </xf>
    <xf numFmtId="0" fontId="102" fillId="5" borderId="1" xfId="6" applyFont="1" applyFill="1" applyBorder="1" applyAlignment="1" applyProtection="1">
      <alignment horizontal="left" vertical="center"/>
    </xf>
    <xf numFmtId="9" fontId="49" fillId="5" borderId="1" xfId="0" applyNumberFormat="1" applyFont="1" applyFill="1" applyBorder="1" applyAlignment="1" applyProtection="1">
      <alignment horizontal="left" vertical="center" wrapText="1"/>
    </xf>
    <xf numFmtId="186" fontId="102" fillId="5" borderId="1" xfId="6" applyNumberFormat="1" applyFont="1" applyFill="1" applyBorder="1" applyAlignment="1" applyProtection="1">
      <alignment horizontal="left" vertical="center"/>
    </xf>
    <xf numFmtId="177" fontId="118" fillId="0" borderId="1" xfId="6" applyNumberFormat="1" applyFont="1" applyFill="1" applyBorder="1" applyAlignment="1" applyProtection="1">
      <alignment horizontal="left" vertical="center"/>
    </xf>
    <xf numFmtId="177" fontId="118" fillId="5" borderId="1" xfId="6" applyNumberFormat="1" applyFont="1" applyFill="1" applyBorder="1" applyAlignment="1" applyProtection="1">
      <alignment horizontal="left" vertical="center"/>
    </xf>
    <xf numFmtId="187" fontId="118" fillId="5" borderId="1" xfId="6" applyNumberFormat="1" applyFont="1" applyFill="1" applyBorder="1" applyAlignment="1" applyProtection="1">
      <alignment horizontal="left" vertical="center" wrapText="1"/>
    </xf>
    <xf numFmtId="0" fontId="49" fillId="5" borderId="35" xfId="0" applyFont="1" applyFill="1" applyBorder="1" applyAlignment="1" applyProtection="1">
      <alignment horizontal="left" vertical="center"/>
    </xf>
    <xf numFmtId="0" fontId="49" fillId="5" borderId="36" xfId="0" applyFont="1" applyFill="1" applyBorder="1" applyAlignment="1" applyProtection="1">
      <alignment horizontal="left" vertical="center" wrapText="1"/>
    </xf>
    <xf numFmtId="0" fontId="49" fillId="5" borderId="80" xfId="0" applyFont="1" applyFill="1" applyBorder="1" applyAlignment="1" applyProtection="1">
      <alignment horizontal="left" vertical="center" wrapText="1"/>
    </xf>
    <xf numFmtId="0" fontId="49" fillId="5" borderId="1" xfId="6" applyFont="1" applyFill="1" applyBorder="1" applyAlignment="1" applyProtection="1">
      <alignment horizontal="left" vertical="center" wrapText="1"/>
    </xf>
    <xf numFmtId="0" fontId="49" fillId="5" borderId="1" xfId="6" applyNumberFormat="1" applyFont="1" applyFill="1" applyBorder="1" applyAlignment="1" applyProtection="1">
      <alignment horizontal="left" vertical="center" wrapText="1"/>
    </xf>
    <xf numFmtId="0" fontId="49" fillId="5" borderId="13" xfId="0" applyFont="1" applyFill="1" applyBorder="1" applyAlignment="1" applyProtection="1">
      <alignment horizontal="left" vertical="center"/>
    </xf>
    <xf numFmtId="0" fontId="49" fillId="5" borderId="47" xfId="0" applyFont="1" applyFill="1" applyBorder="1" applyAlignment="1" applyProtection="1">
      <alignment horizontal="left" vertical="center" wrapText="1"/>
    </xf>
    <xf numFmtId="0" fontId="49" fillId="5" borderId="38" xfId="0" applyFont="1" applyFill="1" applyBorder="1" applyAlignment="1" applyProtection="1">
      <alignment horizontal="left" vertical="center" wrapText="1"/>
    </xf>
    <xf numFmtId="0" fontId="99" fillId="5" borderId="8" xfId="0" applyNumberFormat="1" applyFont="1" applyFill="1" applyBorder="1" applyAlignment="1" applyProtection="1">
      <alignment horizontal="left" vertical="center"/>
    </xf>
    <xf numFmtId="0" fontId="99" fillId="5" borderId="44" xfId="0" applyNumberFormat="1" applyFont="1" applyFill="1" applyBorder="1" applyAlignment="1" applyProtection="1">
      <alignment horizontal="left" vertical="center"/>
    </xf>
    <xf numFmtId="10" fontId="49" fillId="5" borderId="43" xfId="0" applyNumberFormat="1" applyFont="1" applyFill="1" applyBorder="1" applyAlignment="1" applyProtection="1">
      <alignment horizontal="left" vertical="center" wrapText="1"/>
    </xf>
    <xf numFmtId="0" fontId="102" fillId="5" borderId="1" xfId="6" applyFont="1" applyFill="1" applyBorder="1" applyAlignment="1" applyProtection="1">
      <alignment horizontal="left" vertical="center" wrapText="1"/>
    </xf>
    <xf numFmtId="0" fontId="102" fillId="5" borderId="3" xfId="0" applyFont="1" applyFill="1" applyBorder="1" applyAlignment="1" applyProtection="1">
      <alignment horizontal="left" vertical="center" wrapText="1"/>
    </xf>
    <xf numFmtId="0" fontId="49" fillId="0" borderId="1" xfId="0" applyFont="1" applyFill="1" applyBorder="1" applyAlignment="1" applyProtection="1">
      <alignment horizontal="left" vertical="center"/>
      <protection locked="0"/>
    </xf>
    <xf numFmtId="0" fontId="49" fillId="0" borderId="6" xfId="0" applyFont="1" applyFill="1" applyBorder="1" applyAlignment="1" applyProtection="1">
      <alignment horizontal="left" vertical="center" wrapText="1"/>
      <protection locked="0"/>
    </xf>
    <xf numFmtId="0" fontId="102" fillId="6"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protection locked="0"/>
    </xf>
    <xf numFmtId="0" fontId="102" fillId="6" borderId="17" xfId="0" applyFont="1" applyFill="1" applyBorder="1" applyAlignment="1" applyProtection="1">
      <alignment horizontal="left" vertical="center" wrapText="1"/>
      <protection locked="0"/>
    </xf>
    <xf numFmtId="0" fontId="44" fillId="5" borderId="64" xfId="0" applyFont="1" applyFill="1" applyBorder="1" applyAlignment="1" applyProtection="1">
      <alignment horizontal="left" vertical="center"/>
    </xf>
    <xf numFmtId="0" fontId="49" fillId="5" borderId="0" xfId="0" applyFont="1" applyFill="1" applyBorder="1" applyAlignment="1" applyProtection="1">
      <alignment horizontal="left" vertical="center" wrapText="1"/>
    </xf>
    <xf numFmtId="0" fontId="118" fillId="5" borderId="65" xfId="0" applyFont="1" applyFill="1" applyBorder="1" applyAlignment="1" applyProtection="1">
      <alignment horizontal="left" vertical="center"/>
    </xf>
    <xf numFmtId="0" fontId="118" fillId="5" borderId="68" xfId="0" applyFont="1" applyFill="1" applyBorder="1" applyAlignment="1" applyProtection="1">
      <alignment horizontal="left" vertical="center"/>
    </xf>
    <xf numFmtId="0" fontId="49" fillId="5" borderId="61" xfId="0" applyFont="1" applyFill="1" applyBorder="1" applyAlignment="1" applyProtection="1">
      <alignment horizontal="left" vertical="center" wrapText="1"/>
    </xf>
    <xf numFmtId="0" fontId="49" fillId="0" borderId="61" xfId="0" applyFont="1" applyFill="1" applyBorder="1" applyAlignment="1" applyProtection="1">
      <alignment horizontal="left" vertical="center" wrapText="1"/>
      <protection locked="0"/>
    </xf>
    <xf numFmtId="0" fontId="49" fillId="0" borderId="43" xfId="0" applyFont="1" applyFill="1" applyBorder="1" applyAlignment="1" applyProtection="1">
      <alignment horizontal="left" vertical="center" wrapText="1"/>
      <protection locked="0"/>
    </xf>
    <xf numFmtId="0" fontId="49" fillId="6" borderId="1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31" xfId="0" applyFont="1" applyFill="1" applyBorder="1" applyAlignment="1" applyProtection="1">
      <alignment horizontal="left" vertical="center" wrapText="1"/>
      <protection locked="0"/>
    </xf>
    <xf numFmtId="0" fontId="49" fillId="5" borderId="71"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wrapText="1"/>
      <protection locked="0"/>
    </xf>
    <xf numFmtId="0" fontId="49" fillId="5" borderId="72" xfId="0" applyFont="1" applyFill="1" applyBorder="1" applyAlignment="1" applyProtection="1">
      <alignment horizontal="left" vertical="center" wrapText="1"/>
    </xf>
    <xf numFmtId="0" fontId="49" fillId="5" borderId="73" xfId="0" applyFont="1" applyFill="1" applyBorder="1" applyAlignment="1" applyProtection="1">
      <alignment horizontal="left" vertical="center" wrapText="1"/>
    </xf>
    <xf numFmtId="0" fontId="46" fillId="5" borderId="9" xfId="0" applyFont="1" applyFill="1" applyBorder="1" applyAlignment="1" applyProtection="1">
      <alignment horizontal="left" vertical="center" wrapText="1"/>
    </xf>
    <xf numFmtId="0" fontId="46" fillId="5" borderId="72" xfId="0" applyFont="1" applyFill="1" applyBorder="1" applyAlignment="1" applyProtection="1">
      <alignment horizontal="left" vertical="center" wrapText="1"/>
    </xf>
    <xf numFmtId="0" fontId="49" fillId="5" borderId="72" xfId="0" applyFont="1" applyFill="1" applyBorder="1" applyAlignment="1" applyProtection="1">
      <alignment horizontal="left" vertical="center"/>
    </xf>
    <xf numFmtId="0" fontId="47" fillId="5" borderId="40" xfId="0" applyFont="1" applyFill="1" applyBorder="1" applyAlignment="1" applyProtection="1">
      <alignment horizontal="left" vertical="center" wrapText="1"/>
    </xf>
    <xf numFmtId="0" fontId="47" fillId="5" borderId="30" xfId="0" applyFont="1" applyFill="1" applyBorder="1" applyAlignment="1" applyProtection="1">
      <alignment horizontal="left" vertical="center" wrapText="1"/>
    </xf>
    <xf numFmtId="0" fontId="47" fillId="8" borderId="0" xfId="0" applyFont="1" applyFill="1" applyAlignment="1" applyProtection="1">
      <alignment horizontal="left" vertical="center" wrapText="1"/>
      <protection locked="0"/>
    </xf>
    <xf numFmtId="187" fontId="46" fillId="5" borderId="84" xfId="0" applyNumberFormat="1" applyFont="1" applyFill="1" applyBorder="1" applyAlignment="1" applyProtection="1">
      <alignment horizontal="left" vertical="center" wrapText="1"/>
    </xf>
    <xf numFmtId="0" fontId="47" fillId="5" borderId="84" xfId="0" applyFont="1" applyFill="1" applyBorder="1" applyAlignment="1" applyProtection="1">
      <alignment horizontal="left" vertical="center" wrapText="1"/>
    </xf>
    <xf numFmtId="14" fontId="47" fillId="5" borderId="84" xfId="0" applyNumberFormat="1" applyFont="1" applyFill="1" applyBorder="1" applyAlignment="1" applyProtection="1">
      <alignment horizontal="left" vertical="center" wrapText="1"/>
    </xf>
    <xf numFmtId="14" fontId="47" fillId="5" borderId="66" xfId="0" applyNumberFormat="1" applyFont="1" applyFill="1" applyBorder="1" applyAlignment="1" applyProtection="1">
      <alignment horizontal="left" vertical="center" wrapText="1"/>
    </xf>
    <xf numFmtId="0" fontId="47" fillId="6" borderId="84" xfId="6" applyFont="1" applyFill="1" applyBorder="1" applyAlignment="1" applyProtection="1">
      <alignment horizontal="left" vertical="center" wrapText="1"/>
      <protection locked="0"/>
    </xf>
    <xf numFmtId="10" fontId="47" fillId="5" borderId="66" xfId="0" applyNumberFormat="1" applyFont="1" applyFill="1" applyBorder="1" applyAlignment="1" applyProtection="1">
      <alignment horizontal="left" vertical="center" wrapText="1"/>
    </xf>
    <xf numFmtId="0" fontId="47" fillId="5" borderId="81" xfId="0" applyFont="1" applyFill="1" applyBorder="1" applyAlignment="1" applyProtection="1">
      <alignment horizontal="left" vertical="center" wrapText="1"/>
    </xf>
    <xf numFmtId="0" fontId="54" fillId="5" borderId="31" xfId="0" applyFont="1" applyFill="1" applyBorder="1" applyAlignment="1" applyProtection="1">
      <alignment horizontal="left" vertical="center" wrapText="1"/>
    </xf>
    <xf numFmtId="0" fontId="49" fillId="5" borderId="55" xfId="0" applyFont="1" applyFill="1" applyBorder="1" applyAlignment="1" applyProtection="1">
      <alignment horizontal="left" vertical="center" wrapText="1"/>
    </xf>
    <xf numFmtId="0" fontId="102" fillId="5" borderId="15" xfId="0" applyFont="1" applyFill="1" applyBorder="1" applyAlignment="1" applyProtection="1">
      <alignment horizontal="left" vertical="center" wrapText="1"/>
    </xf>
    <xf numFmtId="10" fontId="49" fillId="8" borderId="0" xfId="0" applyNumberFormat="1" applyFont="1" applyFill="1" applyAlignment="1" applyProtection="1">
      <alignment horizontal="left" vertical="center" wrapText="1"/>
      <protection locked="0"/>
    </xf>
    <xf numFmtId="10" fontId="49" fillId="0" borderId="0" xfId="0" applyNumberFormat="1" applyFont="1" applyAlignment="1" applyProtection="1">
      <alignment horizontal="left" vertical="center" wrapText="1"/>
    </xf>
    <xf numFmtId="187" fontId="46" fillId="5" borderId="57" xfId="0" applyNumberFormat="1"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49" fillId="5" borderId="12" xfId="0" applyFont="1" applyFill="1" applyBorder="1" applyAlignment="1" applyProtection="1">
      <alignment horizontal="left" vertical="center" wrapText="1"/>
    </xf>
    <xf numFmtId="0" fontId="49" fillId="5" borderId="59"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54" fillId="5" borderId="43" xfId="0" applyFont="1" applyFill="1" applyBorder="1" applyAlignment="1" applyProtection="1">
      <alignment horizontal="left" vertical="center" wrapText="1"/>
    </xf>
    <xf numFmtId="0" fontId="47" fillId="5" borderId="5" xfId="6" applyFont="1" applyFill="1" applyBorder="1" applyAlignment="1" applyProtection="1">
      <alignment horizontal="left" vertical="center" wrapText="1"/>
      <protection locked="0"/>
    </xf>
    <xf numFmtId="0" fontId="47" fillId="5" borderId="11" xfId="6" applyFont="1" applyFill="1" applyBorder="1" applyAlignment="1" applyProtection="1">
      <alignment horizontal="left" vertical="center" wrapText="1"/>
      <protection locked="0"/>
    </xf>
    <xf numFmtId="0" fontId="47" fillId="5" borderId="79" xfId="6" applyFont="1" applyFill="1" applyBorder="1" applyAlignment="1" applyProtection="1">
      <alignment horizontal="left" vertical="center"/>
      <protection locked="0"/>
    </xf>
    <xf numFmtId="0" fontId="46" fillId="5" borderId="4" xfId="0" applyFont="1" applyFill="1" applyBorder="1" applyAlignment="1" applyProtection="1">
      <alignment horizontal="left" vertical="center" wrapText="1"/>
    </xf>
    <xf numFmtId="0" fontId="47" fillId="5" borderId="11" xfId="0" applyFont="1" applyFill="1" applyBorder="1" applyAlignment="1" applyProtection="1">
      <alignment horizontal="left" vertical="center" wrapText="1"/>
    </xf>
    <xf numFmtId="0" fontId="47" fillId="5" borderId="37" xfId="0" applyFont="1" applyFill="1" applyBorder="1" applyAlignment="1" applyProtection="1">
      <alignment horizontal="left" vertical="center" wrapText="1"/>
    </xf>
    <xf numFmtId="0" fontId="47" fillId="5" borderId="7" xfId="6" applyFont="1" applyFill="1" applyBorder="1" applyAlignment="1" applyProtection="1">
      <alignment horizontal="left" vertical="center" wrapText="1"/>
    </xf>
    <xf numFmtId="10" fontId="47" fillId="0" borderId="3" xfId="6" applyNumberFormat="1" applyFont="1" applyFill="1" applyBorder="1" applyAlignment="1" applyProtection="1">
      <alignment horizontal="left" vertical="center" wrapText="1"/>
      <protection locked="0"/>
    </xf>
    <xf numFmtId="10" fontId="49" fillId="5" borderId="6" xfId="6" applyNumberFormat="1" applyFont="1" applyFill="1" applyBorder="1" applyAlignment="1" applyProtection="1">
      <alignment horizontal="left" vertical="center" wrapText="1"/>
    </xf>
    <xf numFmtId="0" fontId="47" fillId="5" borderId="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187" fontId="49" fillId="5" borderId="49" xfId="0" applyNumberFormat="1" applyFont="1" applyFill="1" applyBorder="1" applyAlignment="1" applyProtection="1">
      <alignment horizontal="left" vertical="center" wrapText="1"/>
    </xf>
    <xf numFmtId="187" fontId="49" fillId="5" borderId="60" xfId="0" applyNumberFormat="1"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187" fontId="46" fillId="5" borderId="61" xfId="0" applyNumberFormat="1" applyFont="1" applyFill="1" applyBorder="1" applyAlignment="1" applyProtection="1">
      <alignment horizontal="left" vertical="center" wrapText="1"/>
    </xf>
    <xf numFmtId="0" fontId="49" fillId="5" borderId="48" xfId="0" applyFont="1" applyFill="1" applyBorder="1" applyAlignment="1" applyProtection="1">
      <alignment horizontal="left" vertical="center"/>
    </xf>
    <xf numFmtId="0" fontId="47" fillId="5" borderId="61" xfId="0" applyFont="1" applyFill="1" applyBorder="1" applyAlignment="1" applyProtection="1">
      <alignment horizontal="left" vertical="center" wrapText="1"/>
    </xf>
    <xf numFmtId="0" fontId="47" fillId="5" borderId="43" xfId="0" applyFont="1" applyFill="1" applyBorder="1" applyAlignment="1" applyProtection="1">
      <alignment horizontal="left" vertical="center" wrapText="1"/>
    </xf>
    <xf numFmtId="0" fontId="47" fillId="5" borderId="8" xfId="6" applyFont="1" applyFill="1" applyBorder="1" applyAlignment="1" applyProtection="1">
      <alignment horizontal="left" vertical="center" wrapText="1"/>
    </xf>
    <xf numFmtId="10" fontId="47" fillId="0" borderId="56" xfId="6" applyNumberFormat="1" applyFont="1" applyFill="1" applyBorder="1" applyAlignment="1" applyProtection="1">
      <alignment horizontal="left" vertical="center" wrapText="1"/>
      <protection locked="0"/>
    </xf>
    <xf numFmtId="10" fontId="49" fillId="5" borderId="43" xfId="6" applyNumberFormat="1" applyFont="1" applyFill="1" applyBorder="1" applyAlignment="1" applyProtection="1">
      <alignment horizontal="left" vertical="center" wrapText="1"/>
    </xf>
    <xf numFmtId="0" fontId="50" fillId="5" borderId="47" xfId="0" applyFont="1" applyFill="1" applyBorder="1" applyAlignment="1" applyProtection="1">
      <alignment horizontal="left" vertical="center" wrapText="1"/>
    </xf>
    <xf numFmtId="0" fontId="50" fillId="5" borderId="37" xfId="0" applyFont="1" applyFill="1" applyBorder="1" applyAlignment="1" applyProtection="1">
      <alignment horizontal="left" vertical="center" wrapText="1"/>
    </xf>
    <xf numFmtId="0" fontId="49" fillId="5" borderId="60" xfId="0" applyFont="1" applyFill="1" applyBorder="1" applyAlignment="1" applyProtection="1">
      <alignment horizontal="left" vertical="center" wrapText="1"/>
    </xf>
    <xf numFmtId="0" fontId="49" fillId="5" borderId="53" xfId="0" applyFont="1" applyFill="1" applyBorder="1" applyAlignment="1" applyProtection="1">
      <alignment horizontal="left" vertical="center" wrapText="1"/>
    </xf>
    <xf numFmtId="0" fontId="50" fillId="5" borderId="49"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50" fillId="5" borderId="40" xfId="0" applyFont="1" applyFill="1" applyBorder="1" applyAlignment="1" applyProtection="1">
      <alignment horizontal="left" vertical="center" wrapText="1"/>
    </xf>
    <xf numFmtId="0" fontId="49" fillId="5" borderId="30" xfId="0"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9" fontId="49" fillId="5" borderId="6" xfId="0" applyNumberFormat="1" applyFont="1" applyFill="1" applyBorder="1" applyAlignment="1" applyProtection="1">
      <alignment horizontal="left" vertical="center" wrapText="1"/>
    </xf>
    <xf numFmtId="0" fontId="50" fillId="5" borderId="28"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50" fillId="5" borderId="13" xfId="0" applyFont="1" applyFill="1" applyBorder="1" applyAlignment="1" applyProtection="1">
      <alignment horizontal="left" vertical="center" wrapText="1"/>
    </xf>
    <xf numFmtId="9" fontId="49" fillId="5" borderId="8" xfId="0" applyNumberFormat="1" applyFont="1" applyFill="1" applyBorder="1" applyAlignment="1" applyProtection="1">
      <alignment horizontal="left" vertical="center" wrapText="1"/>
    </xf>
    <xf numFmtId="10" fontId="49" fillId="5" borderId="61" xfId="0" applyNumberFormat="1"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9" fillId="0" borderId="1" xfId="0" applyFont="1" applyBorder="1" applyAlignment="1" applyProtection="1">
      <alignment horizontal="left" vertical="center" wrapText="1"/>
      <protection locked="0"/>
    </xf>
    <xf numFmtId="0" fontId="102" fillId="5" borderId="2" xfId="0" applyFont="1" applyFill="1" applyBorder="1" applyAlignment="1" applyProtection="1">
      <alignment horizontal="left" vertical="center"/>
    </xf>
    <xf numFmtId="0" fontId="102" fillId="5" borderId="51" xfId="0" applyFont="1" applyFill="1" applyBorder="1" applyAlignment="1" applyProtection="1">
      <alignment horizontal="left" vertical="center"/>
    </xf>
    <xf numFmtId="0" fontId="102" fillId="5" borderId="41" xfId="0" applyFont="1" applyFill="1" applyBorder="1" applyAlignment="1" applyProtection="1">
      <alignment horizontal="left" vertical="center"/>
    </xf>
    <xf numFmtId="0" fontId="50" fillId="5" borderId="42" xfId="0" applyFont="1" applyFill="1" applyBorder="1" applyAlignment="1" applyProtection="1">
      <alignment horizontal="left" vertical="center" wrapText="1"/>
    </xf>
    <xf numFmtId="0" fontId="49" fillId="0" borderId="61" xfId="0" applyFont="1" applyBorder="1" applyAlignment="1" applyProtection="1">
      <alignment horizontal="left" vertical="center" wrapText="1"/>
      <protection locked="0"/>
    </xf>
    <xf numFmtId="0" fontId="49" fillId="5" borderId="61" xfId="0" applyFont="1" applyFill="1" applyBorder="1" applyAlignment="1" applyProtection="1">
      <alignment horizontal="left" vertical="center"/>
    </xf>
    <xf numFmtId="0" fontId="49" fillId="5" borderId="48" xfId="0" applyFont="1" applyFill="1" applyBorder="1" applyAlignment="1" applyProtection="1">
      <alignment horizontal="left" vertical="center" wrapText="1"/>
    </xf>
    <xf numFmtId="0" fontId="49" fillId="5" borderId="62" xfId="0" applyFont="1" applyFill="1" applyBorder="1" applyAlignment="1" applyProtection="1">
      <alignment horizontal="left" vertical="center" wrapText="1"/>
    </xf>
    <xf numFmtId="0" fontId="50" fillId="5" borderId="22" xfId="0" applyFont="1" applyFill="1" applyBorder="1" applyAlignment="1" applyProtection="1">
      <alignment horizontal="left" vertical="center" wrapText="1"/>
    </xf>
    <xf numFmtId="0" fontId="49" fillId="5" borderId="47" xfId="0" applyFont="1" applyFill="1" applyBorder="1" applyAlignment="1" applyProtection="1">
      <alignment horizontal="left" vertical="center"/>
    </xf>
    <xf numFmtId="0" fontId="49" fillId="5" borderId="28" xfId="0" applyFont="1" applyFill="1" applyBorder="1" applyAlignment="1" applyProtection="1">
      <alignment horizontal="left" vertical="center"/>
    </xf>
    <xf numFmtId="0" fontId="50" fillId="5" borderId="24" xfId="0" applyFont="1" applyFill="1" applyBorder="1" applyAlignment="1" applyProtection="1">
      <alignment horizontal="left" vertical="center" wrapText="1"/>
    </xf>
    <xf numFmtId="0" fontId="102" fillId="5" borderId="24" xfId="0" applyFont="1" applyFill="1" applyBorder="1" applyAlignment="1" applyProtection="1">
      <alignment horizontal="left" vertical="center" wrapText="1"/>
    </xf>
    <xf numFmtId="0" fontId="50" fillId="5" borderId="26" xfId="0" applyFont="1" applyFill="1" applyBorder="1" applyAlignment="1" applyProtection="1">
      <alignment horizontal="left" vertical="center" wrapText="1"/>
    </xf>
    <xf numFmtId="0" fontId="49" fillId="5" borderId="5" xfId="0" applyFont="1" applyFill="1" applyBorder="1" applyAlignment="1" applyProtection="1">
      <alignment horizontal="left" vertical="center"/>
    </xf>
    <xf numFmtId="0" fontId="49" fillId="5" borderId="7" xfId="0" applyFont="1" applyFill="1" applyBorder="1" applyAlignment="1" applyProtection="1">
      <alignment horizontal="left" vertical="center"/>
    </xf>
    <xf numFmtId="9" fontId="49" fillId="5" borderId="6" xfId="0" applyNumberFormat="1" applyFont="1" applyFill="1" applyBorder="1" applyAlignment="1" applyProtection="1">
      <alignment horizontal="left" vertical="center"/>
    </xf>
    <xf numFmtId="0" fontId="102" fillId="5" borderId="56" xfId="0" applyFont="1" applyFill="1" applyBorder="1" applyAlignment="1" applyProtection="1">
      <alignment horizontal="left" vertical="center" wrapText="1"/>
    </xf>
    <xf numFmtId="0" fontId="49" fillId="5" borderId="8" xfId="0" applyFont="1" applyFill="1" applyBorder="1" applyAlignment="1" applyProtection="1">
      <alignment horizontal="left" vertical="center" wrapText="1"/>
    </xf>
    <xf numFmtId="9" fontId="49" fillId="5" borderId="43" xfId="0" applyNumberFormat="1" applyFont="1" applyFill="1" applyBorder="1" applyAlignment="1" applyProtection="1">
      <alignment horizontal="left" vertical="center" wrapText="1"/>
    </xf>
    <xf numFmtId="0" fontId="49" fillId="8" borderId="0" xfId="0" applyFont="1" applyFill="1" applyAlignment="1" applyProtection="1">
      <alignment horizontal="left" vertical="center" wrapText="1"/>
    </xf>
    <xf numFmtId="0" fontId="17" fillId="5" borderId="1" xfId="0" applyFont="1" applyFill="1" applyBorder="1" applyAlignment="1" applyProtection="1">
      <alignment horizontal="left" vertical="center" wrapText="1"/>
    </xf>
    <xf numFmtId="181" fontId="102" fillId="5" borderId="1" xfId="0" applyNumberFormat="1" applyFont="1" applyFill="1" applyBorder="1" applyAlignment="1" applyProtection="1">
      <alignment horizontal="left" vertical="center" wrapText="1"/>
    </xf>
    <xf numFmtId="0" fontId="49" fillId="0" borderId="1" xfId="0" applyFont="1" applyFill="1" applyBorder="1" applyAlignment="1" applyProtection="1">
      <alignment horizontal="left" vertical="center" wrapText="1"/>
      <protection locked="0"/>
    </xf>
    <xf numFmtId="0" fontId="111" fillId="5" borderId="0" xfId="0" applyFont="1" applyFill="1" applyAlignment="1" applyProtection="1">
      <alignment horizontal="left" vertical="center"/>
    </xf>
    <xf numFmtId="187" fontId="99" fillId="5" borderId="0" xfId="0" applyNumberFormat="1" applyFont="1" applyFill="1" applyAlignment="1" applyProtection="1">
      <alignment horizontal="left" vertical="center" wrapText="1"/>
    </xf>
    <xf numFmtId="0" fontId="111" fillId="5" borderId="46" xfId="0" applyFont="1" applyFill="1" applyBorder="1" applyAlignment="1" applyProtection="1">
      <alignment horizontal="left" vertical="center"/>
    </xf>
    <xf numFmtId="187" fontId="190" fillId="5" borderId="37" xfId="0" applyNumberFormat="1" applyFont="1" applyFill="1" applyBorder="1" applyAlignment="1" applyProtection="1">
      <alignment horizontal="left" vertical="center" wrapText="1"/>
    </xf>
    <xf numFmtId="0" fontId="99" fillId="5" borderId="37" xfId="0" applyFont="1" applyFill="1" applyBorder="1" applyAlignment="1" applyProtection="1">
      <alignment horizontal="left" vertical="center"/>
    </xf>
    <xf numFmtId="0" fontId="111" fillId="5" borderId="47" xfId="0" applyFont="1" applyFill="1" applyBorder="1" applyAlignment="1" applyProtection="1">
      <alignment horizontal="left" vertical="center"/>
    </xf>
    <xf numFmtId="0" fontId="111" fillId="5" borderId="38" xfId="0" applyFont="1" applyFill="1" applyBorder="1" applyAlignment="1" applyProtection="1">
      <alignment horizontal="left" vertical="center"/>
    </xf>
    <xf numFmtId="0" fontId="111" fillId="5" borderId="0" xfId="0" applyFont="1" applyFill="1" applyBorder="1" applyAlignment="1" applyProtection="1">
      <alignment horizontal="left" vertical="center"/>
    </xf>
    <xf numFmtId="0" fontId="49" fillId="5" borderId="0" xfId="0" applyFont="1" applyFill="1" applyAlignment="1" applyProtection="1">
      <alignment horizontal="left" vertical="center" wrapText="1"/>
      <protection locked="0"/>
    </xf>
    <xf numFmtId="0" fontId="102" fillId="5" borderId="7" xfId="0" applyFont="1" applyFill="1" applyBorder="1" applyAlignment="1" applyProtection="1">
      <alignment horizontal="left" vertical="center" wrapText="1"/>
    </xf>
    <xf numFmtId="0" fontId="102" fillId="5" borderId="1"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0" fontId="118" fillId="5" borderId="1" xfId="0" applyFont="1" applyFill="1" applyBorder="1" applyAlignment="1" applyProtection="1">
      <alignment horizontal="left" vertical="center" wrapText="1"/>
    </xf>
    <xf numFmtId="49" fontId="102" fillId="5" borderId="1" xfId="0" applyNumberFormat="1" applyFont="1" applyFill="1" applyBorder="1" applyAlignment="1" applyProtection="1">
      <alignment horizontal="left" vertical="center" wrapText="1"/>
    </xf>
    <xf numFmtId="10" fontId="102" fillId="5" borderId="1" xfId="0" applyNumberFormat="1" applyFont="1" applyFill="1" applyBorder="1" applyAlignment="1" applyProtection="1">
      <alignment horizontal="left" vertical="center" wrapText="1"/>
    </xf>
    <xf numFmtId="10" fontId="49" fillId="5" borderId="58" xfId="0" applyNumberFormat="1" applyFont="1" applyFill="1" applyBorder="1" applyAlignment="1" applyProtection="1">
      <alignment horizontal="left" vertical="center" wrapText="1"/>
    </xf>
    <xf numFmtId="10" fontId="49" fillId="5" borderId="0" xfId="0" applyNumberFormat="1" applyFont="1" applyFill="1" applyBorder="1" applyAlignment="1" applyProtection="1">
      <alignment horizontal="left" vertical="center" wrapText="1"/>
    </xf>
    <xf numFmtId="10" fontId="99" fillId="0" borderId="1" xfId="0" applyNumberFormat="1" applyFont="1" applyBorder="1" applyAlignment="1" applyProtection="1">
      <alignment horizontal="left" vertical="center"/>
      <protection locked="0"/>
    </xf>
    <xf numFmtId="10" fontId="99" fillId="5" borderId="1" xfId="0" applyNumberFormat="1" applyFont="1" applyFill="1" applyBorder="1" applyAlignment="1" applyProtection="1">
      <alignment horizontal="left" vertical="center"/>
    </xf>
    <xf numFmtId="9" fontId="102" fillId="5" borderId="1" xfId="0" applyNumberFormat="1" applyFont="1" applyFill="1" applyBorder="1" applyAlignment="1" applyProtection="1">
      <alignment horizontal="left" vertical="center" wrapText="1"/>
    </xf>
    <xf numFmtId="10" fontId="47" fillId="5" borderId="1" xfId="0" applyNumberFormat="1" applyFont="1" applyFill="1" applyBorder="1" applyAlignment="1" applyProtection="1">
      <alignment horizontal="left" vertical="center" wrapText="1"/>
    </xf>
    <xf numFmtId="0" fontId="102" fillId="5" borderId="1" xfId="0" applyNumberFormat="1" applyFont="1" applyFill="1" applyBorder="1" applyAlignment="1" applyProtection="1">
      <alignment horizontal="left" vertical="center" wrapText="1"/>
    </xf>
    <xf numFmtId="10" fontId="49" fillId="5" borderId="50" xfId="0" applyNumberFormat="1" applyFont="1" applyFill="1" applyBorder="1" applyAlignment="1" applyProtection="1">
      <alignment horizontal="left" vertical="center" wrapText="1"/>
    </xf>
    <xf numFmtId="0" fontId="241" fillId="0" borderId="1" xfId="0" applyNumberFormat="1" applyFont="1" applyFill="1" applyBorder="1" applyAlignment="1" applyProtection="1">
      <alignment horizontal="left" vertical="center" wrapText="1"/>
      <protection locked="0"/>
    </xf>
    <xf numFmtId="0" fontId="241" fillId="0" borderId="18" xfId="0" applyNumberFormat="1" applyFont="1" applyFill="1" applyBorder="1" applyAlignment="1" applyProtection="1">
      <alignment horizontal="left" vertical="center" wrapText="1"/>
      <protection locked="0"/>
    </xf>
    <xf numFmtId="0" fontId="102" fillId="5" borderId="19" xfId="0" applyFont="1" applyFill="1" applyBorder="1" applyAlignment="1" applyProtection="1">
      <alignment horizontal="left" vertical="center" wrapText="1"/>
    </xf>
    <xf numFmtId="0" fontId="102" fillId="5" borderId="18" xfId="0" applyNumberFormat="1" applyFont="1" applyFill="1" applyBorder="1" applyAlignment="1" applyProtection="1">
      <alignment horizontal="left" vertical="center" wrapText="1"/>
    </xf>
    <xf numFmtId="0" fontId="102" fillId="5" borderId="8" xfId="0" applyFont="1" applyFill="1" applyBorder="1" applyAlignment="1" applyProtection="1">
      <alignment horizontal="left" vertical="center" wrapText="1"/>
    </xf>
    <xf numFmtId="49" fontId="102" fillId="5" borderId="71" xfId="0" applyNumberFormat="1" applyFont="1" applyFill="1" applyBorder="1" applyAlignment="1" applyProtection="1">
      <alignment horizontal="left" vertical="center" wrapText="1"/>
    </xf>
    <xf numFmtId="10" fontId="49" fillId="5" borderId="73" xfId="0" applyNumberFormat="1" applyFont="1" applyFill="1" applyBorder="1" applyAlignment="1" applyProtection="1">
      <alignment horizontal="left" vertical="center" wrapText="1"/>
    </xf>
    <xf numFmtId="9" fontId="102" fillId="5" borderId="61" xfId="0" applyNumberFormat="1" applyFont="1" applyFill="1" applyBorder="1" applyAlignment="1" applyProtection="1">
      <alignment horizontal="left" vertical="center" wrapText="1"/>
    </xf>
    <xf numFmtId="0" fontId="190" fillId="5" borderId="37" xfId="0" applyNumberFormat="1" applyFont="1" applyFill="1" applyBorder="1" applyAlignment="1" applyProtection="1">
      <alignment horizontal="left" vertical="center" wrapText="1"/>
    </xf>
    <xf numFmtId="49" fontId="102" fillId="5" borderId="61" xfId="0" applyNumberFormat="1" applyFont="1" applyFill="1" applyBorder="1" applyAlignment="1" applyProtection="1">
      <alignment horizontal="left" vertical="center" wrapText="1"/>
    </xf>
    <xf numFmtId="0" fontId="102" fillId="0" borderId="61" xfId="0" applyNumberFormat="1" applyFont="1" applyFill="1" applyBorder="1" applyAlignment="1" applyProtection="1">
      <alignment horizontal="left" vertical="center" wrapText="1"/>
      <protection locked="0"/>
    </xf>
    <xf numFmtId="0" fontId="102" fillId="5" borderId="61" xfId="0" applyNumberFormat="1" applyFont="1" applyFill="1" applyBorder="1" applyAlignment="1" applyProtection="1">
      <alignment horizontal="left" vertical="center" wrapText="1"/>
    </xf>
    <xf numFmtId="10" fontId="102" fillId="5" borderId="61" xfId="0" applyNumberFormat="1" applyFont="1" applyFill="1" applyBorder="1" applyAlignment="1" applyProtection="1">
      <alignment horizontal="left" vertical="center" wrapText="1"/>
    </xf>
    <xf numFmtId="0" fontId="103" fillId="5" borderId="0" xfId="0" applyFont="1" applyFill="1" applyAlignment="1" applyProtection="1">
      <alignment horizontal="left" vertical="center"/>
    </xf>
    <xf numFmtId="0" fontId="102" fillId="5" borderId="1" xfId="0" applyFont="1" applyFill="1" applyBorder="1" applyAlignment="1" applyProtection="1">
      <alignment horizontal="left" vertical="center"/>
    </xf>
    <xf numFmtId="0" fontId="102" fillId="5" borderId="3" xfId="0" applyFont="1" applyFill="1" applyBorder="1" applyAlignment="1" applyProtection="1">
      <alignment horizontal="left" vertical="center"/>
    </xf>
    <xf numFmtId="186" fontId="102" fillId="5" borderId="1" xfId="0" applyNumberFormat="1" applyFont="1" applyFill="1" applyBorder="1" applyAlignment="1" applyProtection="1">
      <alignment horizontal="left" vertical="center"/>
    </xf>
    <xf numFmtId="187" fontId="102" fillId="5" borderId="1" xfId="0" applyNumberFormat="1" applyFont="1" applyFill="1" applyBorder="1" applyAlignment="1" applyProtection="1">
      <alignment horizontal="left" vertical="center"/>
    </xf>
    <xf numFmtId="177" fontId="118" fillId="5" borderId="1" xfId="0" applyNumberFormat="1" applyFont="1" applyFill="1" applyBorder="1" applyAlignment="1" applyProtection="1">
      <alignment horizontal="left" vertical="center"/>
    </xf>
    <xf numFmtId="187" fontId="118" fillId="5" borderId="1" xfId="0" applyNumberFormat="1" applyFont="1" applyFill="1" applyBorder="1" applyAlignment="1" applyProtection="1">
      <alignment horizontal="left" vertical="center" wrapText="1"/>
    </xf>
    <xf numFmtId="186" fontId="102" fillId="5" borderId="17" xfId="0" applyNumberFormat="1" applyFont="1" applyFill="1" applyBorder="1" applyAlignment="1" applyProtection="1">
      <alignment horizontal="left" vertical="center" wrapText="1"/>
    </xf>
    <xf numFmtId="179" fontId="118" fillId="5" borderId="1" xfId="0" applyNumberFormat="1" applyFont="1" applyFill="1" applyBorder="1" applyAlignment="1" applyProtection="1">
      <alignment horizontal="left" vertical="center"/>
    </xf>
    <xf numFmtId="0" fontId="49" fillId="5" borderId="49" xfId="0" applyNumberFormat="1" applyFont="1" applyFill="1" applyBorder="1" applyAlignment="1" applyProtection="1">
      <alignment horizontal="left" vertical="center" wrapText="1"/>
    </xf>
    <xf numFmtId="179" fontId="118" fillId="5" borderId="49" xfId="0" applyNumberFormat="1" applyFont="1" applyFill="1" applyBorder="1" applyAlignment="1" applyProtection="1">
      <alignment horizontal="left" vertical="center" wrapText="1"/>
    </xf>
    <xf numFmtId="0" fontId="49" fillId="5" borderId="57" xfId="0" applyNumberFormat="1" applyFont="1" applyFill="1" applyBorder="1" applyAlignment="1" applyProtection="1">
      <alignment horizontal="left" vertical="center" wrapText="1"/>
    </xf>
    <xf numFmtId="0" fontId="118" fillId="5" borderId="37" xfId="0" applyNumberFormat="1" applyFont="1" applyFill="1" applyBorder="1" applyAlignment="1" applyProtection="1">
      <alignment horizontal="left" vertical="center" wrapText="1"/>
    </xf>
    <xf numFmtId="0" fontId="236" fillId="5" borderId="1" xfId="3"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49" fillId="5" borderId="5" xfId="0" applyNumberFormat="1" applyFont="1" applyFill="1" applyBorder="1" applyAlignment="1" applyProtection="1">
      <alignment horizontal="left" vertical="center" wrapText="1"/>
    </xf>
    <xf numFmtId="0" fontId="49" fillId="5" borderId="11" xfId="3" applyNumberFormat="1" applyFont="1" applyFill="1" applyBorder="1" applyAlignment="1" applyProtection="1">
      <alignment horizontal="left" vertical="center"/>
    </xf>
    <xf numFmtId="0" fontId="49" fillId="5" borderId="17" xfId="3" applyNumberFormat="1" applyFont="1" applyFill="1" applyBorder="1" applyAlignment="1" applyProtection="1">
      <alignment horizontal="left" vertical="center"/>
    </xf>
    <xf numFmtId="0" fontId="49" fillId="5" borderId="17" xfId="3" applyNumberFormat="1" applyFont="1" applyFill="1" applyBorder="1" applyAlignment="1" applyProtection="1">
      <alignment horizontal="left" vertical="center" wrapText="1"/>
    </xf>
    <xf numFmtId="0" fontId="49" fillId="5" borderId="57" xfId="3" applyNumberFormat="1" applyFont="1" applyFill="1" applyBorder="1" applyAlignment="1" applyProtection="1">
      <alignment horizontal="left" vertical="center"/>
    </xf>
    <xf numFmtId="0" fontId="49" fillId="5" borderId="59" xfId="3" applyNumberFormat="1" applyFont="1" applyFill="1" applyBorder="1" applyAlignment="1" applyProtection="1">
      <alignment horizontal="left" vertical="center"/>
    </xf>
    <xf numFmtId="0" fontId="49" fillId="5" borderId="7" xfId="0" applyNumberFormat="1" applyFont="1" applyFill="1" applyBorder="1" applyAlignment="1" applyProtection="1">
      <alignment horizontal="left" vertical="center" wrapText="1"/>
    </xf>
    <xf numFmtId="0" fontId="118" fillId="5" borderId="1" xfId="0" applyNumberFormat="1" applyFont="1" applyFill="1" applyBorder="1" applyAlignment="1" applyProtection="1">
      <alignment horizontal="left" vertical="center" wrapText="1"/>
    </xf>
    <xf numFmtId="0" fontId="118" fillId="5" borderId="6" xfId="0" applyNumberFormat="1" applyFont="1" applyFill="1" applyBorder="1" applyAlignment="1" applyProtection="1">
      <alignment horizontal="left" vertical="center" wrapText="1"/>
    </xf>
    <xf numFmtId="0" fontId="49" fillId="5" borderId="8" xfId="0" applyNumberFormat="1" applyFont="1" applyFill="1" applyBorder="1" applyAlignment="1" applyProtection="1">
      <alignment horizontal="left" vertical="center" wrapText="1"/>
    </xf>
    <xf numFmtId="0" fontId="118" fillId="5" borderId="61" xfId="0" applyNumberFormat="1" applyFont="1" applyFill="1" applyBorder="1" applyAlignment="1" applyProtection="1">
      <alignment horizontal="left" vertical="center" wrapText="1"/>
    </xf>
    <xf numFmtId="0" fontId="118" fillId="5" borderId="43" xfId="0" applyNumberFormat="1" applyFont="1" applyFill="1" applyBorder="1" applyAlignment="1" applyProtection="1">
      <alignment horizontal="left" vertical="center" wrapText="1"/>
    </xf>
    <xf numFmtId="0" fontId="103" fillId="0" borderId="0" xfId="7" applyFont="1" applyAlignment="1">
      <alignment horizontal="left" vertical="center"/>
    </xf>
    <xf numFmtId="0" fontId="103" fillId="0" borderId="127" xfId="7" applyFont="1" applyBorder="1" applyAlignment="1">
      <alignment horizontal="left" vertical="center"/>
    </xf>
    <xf numFmtId="0" fontId="98" fillId="5" borderId="127" xfId="8" applyFont="1" applyFill="1" applyBorder="1" applyAlignment="1" applyProtection="1">
      <alignment horizontal="left" vertical="center"/>
    </xf>
    <xf numFmtId="0" fontId="19" fillId="5" borderId="127" xfId="8" applyFont="1" applyFill="1" applyBorder="1" applyAlignment="1" applyProtection="1">
      <alignment horizontal="left" vertical="center"/>
    </xf>
    <xf numFmtId="0" fontId="103" fillId="0" borderId="128" xfId="7" applyFont="1" applyBorder="1" applyAlignment="1">
      <alignment horizontal="left" vertical="center"/>
    </xf>
    <xf numFmtId="0" fontId="169" fillId="17" borderId="0" xfId="7" applyFont="1" applyFill="1" applyAlignment="1">
      <alignment horizontal="left" vertical="center"/>
    </xf>
    <xf numFmtId="0" fontId="99" fillId="17" borderId="0" xfId="8" applyFont="1" applyFill="1" applyAlignment="1" applyProtection="1">
      <alignment horizontal="left" vertical="center"/>
    </xf>
    <xf numFmtId="0" fontId="19" fillId="17" borderId="0" xfId="8" applyFont="1" applyFill="1" applyAlignment="1" applyProtection="1">
      <alignment horizontal="left" vertical="center"/>
    </xf>
    <xf numFmtId="0" fontId="103" fillId="17" borderId="129" xfId="7" applyFont="1" applyFill="1" applyBorder="1" applyAlignment="1">
      <alignment horizontal="left" vertical="center"/>
    </xf>
    <xf numFmtId="0" fontId="103" fillId="17" borderId="0" xfId="7" applyFont="1" applyFill="1" applyBorder="1" applyAlignment="1">
      <alignment horizontal="left" vertical="center"/>
    </xf>
    <xf numFmtId="0" fontId="151" fillId="17" borderId="134" xfId="7" applyFont="1" applyFill="1" applyBorder="1" applyAlignment="1" applyProtection="1">
      <alignment horizontal="left" vertical="center" wrapText="1"/>
    </xf>
    <xf numFmtId="0" fontId="151" fillId="17" borderId="138" xfId="7" applyFont="1" applyFill="1" applyBorder="1" applyAlignment="1" applyProtection="1">
      <alignment horizontal="left" vertical="center" wrapText="1"/>
    </xf>
    <xf numFmtId="0" fontId="103" fillId="17" borderId="0" xfId="7" applyFont="1" applyFill="1" applyAlignment="1">
      <alignment horizontal="left" vertical="center"/>
    </xf>
    <xf numFmtId="0" fontId="148" fillId="17" borderId="0" xfId="7" applyFont="1" applyFill="1" applyAlignment="1">
      <alignment horizontal="left" vertical="center"/>
    </xf>
    <xf numFmtId="0" fontId="102" fillId="17" borderId="0" xfId="7" applyFont="1" applyFill="1" applyAlignment="1">
      <alignment horizontal="left" vertical="center"/>
    </xf>
    <xf numFmtId="10" fontId="102" fillId="17" borderId="0" xfId="7" applyNumberFormat="1" applyFont="1" applyFill="1" applyAlignment="1">
      <alignment horizontal="left" vertical="center"/>
    </xf>
    <xf numFmtId="0" fontId="103" fillId="0" borderId="0" xfId="7" applyFont="1" applyFill="1" applyAlignment="1">
      <alignment horizontal="left" vertical="center"/>
    </xf>
    <xf numFmtId="0" fontId="99" fillId="0" borderId="0" xfId="8" applyFont="1" applyFill="1" applyAlignment="1" applyProtection="1">
      <alignment horizontal="left" vertical="center"/>
    </xf>
    <xf numFmtId="0" fontId="19" fillId="0" borderId="0" xfId="8" applyFont="1" applyFill="1" applyAlignment="1" applyProtection="1">
      <alignment horizontal="left" vertical="center"/>
    </xf>
    <xf numFmtId="0" fontId="103" fillId="0" borderId="129" xfId="7" applyFont="1" applyFill="1" applyBorder="1" applyAlignment="1">
      <alignment horizontal="left" vertical="center"/>
    </xf>
    <xf numFmtId="0" fontId="103" fillId="0" borderId="0" xfId="7" applyFont="1" applyFill="1" applyBorder="1" applyAlignment="1">
      <alignment horizontal="left" vertical="center"/>
    </xf>
    <xf numFmtId="0" fontId="103" fillId="0" borderId="0" xfId="7" applyFont="1" applyFill="1" applyBorder="1" applyAlignment="1" applyProtection="1">
      <alignment horizontal="left" vertical="center"/>
      <protection locked="0"/>
    </xf>
    <xf numFmtId="0" fontId="102" fillId="0" borderId="0" xfId="7" applyFont="1" applyAlignment="1">
      <alignment horizontal="left" vertical="center"/>
    </xf>
    <xf numFmtId="10" fontId="102" fillId="0" borderId="0" xfId="7" applyNumberFormat="1" applyFont="1" applyAlignment="1">
      <alignment horizontal="left" vertical="center"/>
    </xf>
    <xf numFmtId="49" fontId="49" fillId="14" borderId="1" xfId="7" applyNumberFormat="1" applyFont="1" applyFill="1" applyBorder="1" applyAlignment="1" applyProtection="1">
      <alignment horizontal="left" vertical="center" wrapText="1"/>
    </xf>
    <xf numFmtId="186" fontId="152" fillId="14" borderId="0" xfId="7" applyNumberFormat="1" applyFont="1" applyFill="1" applyBorder="1" applyAlignment="1">
      <alignment horizontal="left" vertical="center"/>
    </xf>
    <xf numFmtId="186" fontId="152" fillId="14" borderId="0" xfId="7" applyNumberFormat="1" applyFont="1" applyFill="1" applyAlignment="1">
      <alignment horizontal="left" vertical="center"/>
    </xf>
    <xf numFmtId="0" fontId="151" fillId="12" borderId="133" xfId="7" applyFont="1" applyFill="1" applyBorder="1" applyAlignment="1" applyProtection="1">
      <alignment horizontal="left" vertical="center" wrapText="1"/>
    </xf>
    <xf numFmtId="0" fontId="151" fillId="14" borderId="134" xfId="7" applyFont="1" applyFill="1" applyBorder="1" applyAlignment="1" applyProtection="1">
      <alignment horizontal="left" vertical="center" wrapText="1"/>
    </xf>
    <xf numFmtId="0" fontId="243" fillId="16" borderId="134" xfId="7" applyFont="1" applyFill="1" applyBorder="1" applyAlignment="1" applyProtection="1">
      <alignment horizontal="left" vertical="center" wrapText="1"/>
      <protection locked="0"/>
    </xf>
    <xf numFmtId="0" fontId="243" fillId="16" borderId="138" xfId="7" applyFont="1" applyFill="1" applyBorder="1" applyAlignment="1" applyProtection="1">
      <alignment horizontal="left" vertical="center" wrapText="1"/>
      <protection locked="0"/>
    </xf>
    <xf numFmtId="0" fontId="103" fillId="14" borderId="0" xfId="7" applyFont="1" applyFill="1" applyAlignment="1">
      <alignment horizontal="left" vertical="center"/>
    </xf>
    <xf numFmtId="10" fontId="152" fillId="14" borderId="136" xfId="7" applyNumberFormat="1" applyFont="1" applyFill="1" applyBorder="1" applyAlignment="1">
      <alignment horizontal="left" vertical="center"/>
    </xf>
    <xf numFmtId="0" fontId="118" fillId="6" borderId="0" xfId="7" applyFont="1" applyFill="1" applyAlignment="1">
      <alignment horizontal="left" vertical="center"/>
    </xf>
    <xf numFmtId="0" fontId="102" fillId="14" borderId="0" xfId="7" applyFont="1" applyFill="1" applyAlignment="1">
      <alignment horizontal="left" vertical="center"/>
    </xf>
    <xf numFmtId="10" fontId="102" fillId="14" borderId="0" xfId="7" applyNumberFormat="1" applyFont="1" applyFill="1" applyAlignment="1">
      <alignment horizontal="left" vertical="center"/>
    </xf>
    <xf numFmtId="49" fontId="49" fillId="5" borderId="1" xfId="7" applyNumberFormat="1" applyFont="1" applyFill="1" applyBorder="1" applyAlignment="1" applyProtection="1">
      <alignment horizontal="left" vertical="center" wrapText="1"/>
    </xf>
    <xf numFmtId="186" fontId="102" fillId="0" borderId="0" xfId="7" applyNumberFormat="1" applyFont="1" applyAlignment="1" applyProtection="1">
      <alignment horizontal="left" vertical="center"/>
    </xf>
    <xf numFmtId="0" fontId="151" fillId="13" borderId="134" xfId="7" applyFont="1" applyFill="1" applyBorder="1" applyAlignment="1" applyProtection="1">
      <alignment horizontal="left" vertical="center" wrapText="1"/>
    </xf>
    <xf numFmtId="0" fontId="151" fillId="13" borderId="138" xfId="7" applyFont="1" applyFill="1" applyBorder="1" applyAlignment="1" applyProtection="1">
      <alignment horizontal="left" vertical="center" wrapText="1"/>
    </xf>
    <xf numFmtId="0" fontId="102" fillId="0" borderId="0" xfId="7" applyFont="1" applyAlignment="1" applyProtection="1">
      <alignment horizontal="left" vertical="center"/>
    </xf>
    <xf numFmtId="10" fontId="102" fillId="0" borderId="129" xfId="7" applyNumberFormat="1" applyFont="1" applyBorder="1" applyAlignment="1" applyProtection="1">
      <alignment horizontal="left" vertical="center"/>
    </xf>
    <xf numFmtId="10" fontId="102" fillId="0" borderId="0" xfId="7" applyNumberFormat="1" applyFont="1" applyAlignment="1" applyProtection="1">
      <alignment horizontal="left" vertical="center"/>
    </xf>
    <xf numFmtId="0" fontId="152" fillId="14" borderId="0" xfId="7" applyFont="1" applyFill="1" applyAlignment="1" applyProtection="1">
      <alignment horizontal="left" vertical="center"/>
    </xf>
    <xf numFmtId="0" fontId="151" fillId="12" borderId="131" xfId="7" applyFont="1" applyFill="1" applyBorder="1" applyAlignment="1" applyProtection="1">
      <alignment horizontal="left" vertical="center" wrapText="1"/>
    </xf>
    <xf numFmtId="0" fontId="151" fillId="12" borderId="132" xfId="7" applyFont="1" applyFill="1" applyBorder="1" applyAlignment="1" applyProtection="1">
      <alignment horizontal="left" vertical="center" wrapText="1"/>
    </xf>
    <xf numFmtId="186" fontId="103" fillId="12" borderId="131" xfId="7" applyNumberFormat="1" applyFont="1" applyFill="1" applyBorder="1" applyAlignment="1">
      <alignment horizontal="left" vertical="center" wrapText="1"/>
    </xf>
    <xf numFmtId="186" fontId="103" fillId="12" borderId="137" xfId="7" applyNumberFormat="1" applyFont="1" applyFill="1" applyBorder="1" applyAlignment="1">
      <alignment horizontal="left" vertical="center" wrapText="1"/>
    </xf>
    <xf numFmtId="10" fontId="102" fillId="0" borderId="142" xfId="7" applyNumberFormat="1" applyFont="1" applyBorder="1" applyAlignment="1">
      <alignment horizontal="left" vertical="center"/>
    </xf>
    <xf numFmtId="10" fontId="102" fillId="0" borderId="36" xfId="7" applyNumberFormat="1" applyFont="1" applyBorder="1" applyAlignment="1">
      <alignment horizontal="left" vertical="center"/>
    </xf>
    <xf numFmtId="177" fontId="102" fillId="0" borderId="0" xfId="7" applyNumberFormat="1" applyFont="1" applyAlignment="1">
      <alignment horizontal="left" vertical="center"/>
    </xf>
    <xf numFmtId="181" fontId="102" fillId="0" borderId="129" xfId="7" applyNumberFormat="1" applyFont="1" applyBorder="1" applyAlignment="1">
      <alignment horizontal="left" vertical="center"/>
    </xf>
    <xf numFmtId="181" fontId="102" fillId="0" borderId="0" xfId="7" applyNumberFormat="1" applyFont="1" applyAlignment="1">
      <alignment horizontal="left" vertical="center"/>
    </xf>
    <xf numFmtId="186" fontId="102" fillId="0" borderId="0" xfId="7" applyNumberFormat="1" applyFont="1" applyAlignment="1">
      <alignment horizontal="left" vertical="center"/>
    </xf>
    <xf numFmtId="10" fontId="102" fillId="0" borderId="129" xfId="7" applyNumberFormat="1" applyFont="1" applyBorder="1" applyAlignment="1">
      <alignment horizontal="left" vertical="center"/>
    </xf>
    <xf numFmtId="0" fontId="152" fillId="14" borderId="0" xfId="7" applyFont="1" applyFill="1" applyAlignment="1">
      <alignment horizontal="left" vertical="center"/>
    </xf>
    <xf numFmtId="0" fontId="151" fillId="12" borderId="134" xfId="7" applyFont="1" applyFill="1" applyBorder="1" applyAlignment="1" applyProtection="1">
      <alignment horizontal="left" vertical="center" wrapText="1"/>
    </xf>
    <xf numFmtId="0" fontId="151" fillId="12" borderId="138" xfId="7" applyFont="1" applyFill="1" applyBorder="1" applyAlignment="1" applyProtection="1">
      <alignment horizontal="left" vertical="center" wrapText="1"/>
    </xf>
    <xf numFmtId="10" fontId="102" fillId="0" borderId="136" xfId="7" applyNumberFormat="1" applyFont="1" applyBorder="1" applyAlignment="1">
      <alignment horizontal="left" vertical="center"/>
    </xf>
    <xf numFmtId="10" fontId="102" fillId="0" borderId="65" xfId="7" applyNumberFormat="1" applyFont="1" applyBorder="1" applyAlignment="1">
      <alignment horizontal="left" vertical="center"/>
    </xf>
    <xf numFmtId="10" fontId="102" fillId="0" borderId="0" xfId="7" applyNumberFormat="1" applyFont="1" applyBorder="1" applyAlignment="1">
      <alignment horizontal="left" vertical="center"/>
    </xf>
    <xf numFmtId="0" fontId="102" fillId="0" borderId="0" xfId="7" applyFont="1" applyFill="1" applyAlignment="1">
      <alignment horizontal="left" vertical="center"/>
    </xf>
    <xf numFmtId="10" fontId="102" fillId="0" borderId="0" xfId="7" applyNumberFormat="1" applyFont="1" applyFill="1" applyAlignment="1">
      <alignment horizontal="left" vertical="center"/>
    </xf>
    <xf numFmtId="0" fontId="151" fillId="12" borderId="140" xfId="7" applyFont="1" applyFill="1" applyBorder="1" applyAlignment="1" applyProtection="1">
      <alignment horizontal="left" vertical="center" wrapText="1"/>
    </xf>
    <xf numFmtId="0" fontId="151" fillId="12" borderId="141" xfId="7" applyFont="1" applyFill="1" applyBorder="1" applyAlignment="1" applyProtection="1">
      <alignment horizontal="left" vertical="center" wrapText="1"/>
    </xf>
    <xf numFmtId="0" fontId="102" fillId="0" borderId="129" xfId="7" applyFont="1" applyBorder="1" applyAlignment="1">
      <alignment horizontal="left" vertical="center"/>
    </xf>
    <xf numFmtId="0" fontId="151" fillId="13" borderId="131" xfId="7" applyFont="1" applyFill="1" applyBorder="1" applyAlignment="1" applyProtection="1">
      <alignment horizontal="left" vertical="center" wrapText="1"/>
    </xf>
    <xf numFmtId="0" fontId="151" fillId="13" borderId="132" xfId="7" applyFont="1" applyFill="1" applyBorder="1" applyAlignment="1" applyProtection="1">
      <alignment horizontal="left" vertical="center" wrapText="1"/>
    </xf>
    <xf numFmtId="186" fontId="103" fillId="12" borderId="134" xfId="7" applyNumberFormat="1" applyFont="1" applyFill="1" applyBorder="1" applyAlignment="1">
      <alignment horizontal="left" vertical="center" wrapText="1"/>
    </xf>
    <xf numFmtId="186" fontId="103" fillId="12" borderId="143" xfId="7" applyNumberFormat="1" applyFont="1" applyFill="1" applyBorder="1" applyAlignment="1">
      <alignment horizontal="left" vertical="center" wrapText="1"/>
    </xf>
    <xf numFmtId="0" fontId="102" fillId="13" borderId="131" xfId="7" applyFont="1" applyFill="1" applyBorder="1" applyAlignment="1" applyProtection="1">
      <alignment horizontal="left" vertical="center" wrapText="1"/>
    </xf>
    <xf numFmtId="0" fontId="102" fillId="13" borderId="132" xfId="7" applyFont="1" applyFill="1" applyBorder="1" applyAlignment="1" applyProtection="1">
      <alignment horizontal="left" vertical="center" wrapText="1"/>
    </xf>
    <xf numFmtId="49" fontId="49" fillId="6" borderId="1" xfId="7" applyNumberFormat="1" applyFont="1" applyFill="1" applyBorder="1" applyAlignment="1" applyProtection="1">
      <alignment horizontal="left" vertical="center" wrapText="1"/>
    </xf>
    <xf numFmtId="186" fontId="102" fillId="6" borderId="0" xfId="7" applyNumberFormat="1" applyFont="1" applyFill="1" applyAlignment="1">
      <alignment horizontal="left" vertical="center"/>
    </xf>
    <xf numFmtId="0" fontId="102" fillId="6" borderId="134" xfId="7" applyFont="1" applyFill="1" applyBorder="1" applyAlignment="1" applyProtection="1">
      <alignment horizontal="left" vertical="center" wrapText="1"/>
    </xf>
    <xf numFmtId="0" fontId="102" fillId="6" borderId="138" xfId="7" applyFont="1" applyFill="1" applyBorder="1" applyAlignment="1" applyProtection="1">
      <alignment horizontal="left" vertical="center" wrapText="1"/>
    </xf>
    <xf numFmtId="0" fontId="102" fillId="6" borderId="0" xfId="7" applyFont="1" applyFill="1" applyAlignment="1">
      <alignment horizontal="left" vertical="center"/>
    </xf>
    <xf numFmtId="10" fontId="102" fillId="6" borderId="129" xfId="7" applyNumberFormat="1" applyFont="1" applyFill="1" applyBorder="1" applyAlignment="1">
      <alignment horizontal="left" vertical="center"/>
    </xf>
    <xf numFmtId="10" fontId="102" fillId="6" borderId="0" xfId="7" applyNumberFormat="1" applyFont="1" applyFill="1" applyAlignment="1">
      <alignment horizontal="left" vertical="center"/>
    </xf>
    <xf numFmtId="177" fontId="102" fillId="6" borderId="0" xfId="7" applyNumberFormat="1" applyFont="1" applyFill="1" applyAlignment="1">
      <alignment horizontal="left" vertical="center"/>
    </xf>
    <xf numFmtId="10" fontId="102" fillId="6" borderId="136" xfId="7" applyNumberFormat="1" applyFont="1" applyFill="1" applyBorder="1" applyAlignment="1">
      <alignment horizontal="left" vertical="center"/>
    </xf>
    <xf numFmtId="10" fontId="102" fillId="6" borderId="65" xfId="7" applyNumberFormat="1" applyFont="1" applyFill="1" applyBorder="1" applyAlignment="1">
      <alignment horizontal="left" vertical="center"/>
    </xf>
    <xf numFmtId="0" fontId="139" fillId="6" borderId="0" xfId="7" applyFont="1" applyFill="1" applyAlignment="1">
      <alignment horizontal="left" vertical="center"/>
    </xf>
    <xf numFmtId="0" fontId="102" fillId="6" borderId="0" xfId="7" applyNumberFormat="1" applyFont="1" applyFill="1" applyAlignment="1">
      <alignment horizontal="left" vertical="center"/>
    </xf>
    <xf numFmtId="0" fontId="102" fillId="12" borderId="140" xfId="7" applyFont="1" applyFill="1" applyBorder="1" applyAlignment="1" applyProtection="1">
      <alignment horizontal="left" vertical="center" wrapText="1"/>
    </xf>
    <xf numFmtId="0" fontId="102" fillId="12" borderId="141" xfId="7" applyFont="1" applyFill="1" applyBorder="1" applyAlignment="1" applyProtection="1">
      <alignment horizontal="left" vertical="center" wrapText="1"/>
    </xf>
    <xf numFmtId="14" fontId="102" fillId="0" borderId="0" xfId="7" applyNumberFormat="1" applyFont="1" applyAlignment="1">
      <alignment horizontal="left" vertical="center"/>
    </xf>
    <xf numFmtId="0" fontId="139" fillId="0" borderId="0" xfId="7" applyFont="1" applyAlignment="1">
      <alignment horizontal="left" vertical="center"/>
    </xf>
    <xf numFmtId="0" fontId="102" fillId="0" borderId="0" xfId="7" applyNumberFormat="1" applyFont="1" applyAlignment="1">
      <alignment horizontal="left" vertical="center"/>
    </xf>
    <xf numFmtId="186" fontId="103" fillId="12" borderId="140" xfId="7" applyNumberFormat="1" applyFont="1" applyFill="1" applyBorder="1" applyAlignment="1">
      <alignment horizontal="left" vertical="center" wrapText="1"/>
    </xf>
    <xf numFmtId="186" fontId="103" fillId="12" borderId="144" xfId="7" applyNumberFormat="1" applyFont="1" applyFill="1" applyBorder="1" applyAlignment="1">
      <alignment horizontal="left" vertical="center" wrapText="1"/>
    </xf>
    <xf numFmtId="186" fontId="102" fillId="14" borderId="0" xfId="7" applyNumberFormat="1" applyFont="1" applyFill="1" applyAlignment="1">
      <alignment horizontal="left" vertical="center"/>
    </xf>
    <xf numFmtId="186" fontId="102" fillId="0" borderId="40" xfId="7" applyNumberFormat="1" applyFont="1" applyBorder="1" applyAlignment="1">
      <alignment horizontal="left" vertical="center"/>
    </xf>
    <xf numFmtId="0" fontId="151" fillId="13" borderId="145" xfId="7" applyFont="1" applyFill="1" applyBorder="1" applyAlignment="1" applyProtection="1">
      <alignment horizontal="left" vertical="center" wrapText="1"/>
    </xf>
    <xf numFmtId="0" fontId="151" fillId="13" borderId="146" xfId="7" applyFont="1" applyFill="1" applyBorder="1" applyAlignment="1" applyProtection="1">
      <alignment horizontal="left" vertical="center" wrapText="1"/>
    </xf>
    <xf numFmtId="0" fontId="102" fillId="0" borderId="40" xfId="7" applyFont="1" applyBorder="1" applyAlignment="1">
      <alignment horizontal="left" vertical="center"/>
    </xf>
    <xf numFmtId="10" fontId="102" fillId="0" borderId="147" xfId="7" applyNumberFormat="1" applyFont="1" applyBorder="1" applyAlignment="1">
      <alignment horizontal="left" vertical="center"/>
    </xf>
    <xf numFmtId="10" fontId="102" fillId="0" borderId="40" xfId="7" applyNumberFormat="1" applyFont="1" applyBorder="1" applyAlignment="1">
      <alignment horizontal="left" vertical="center"/>
    </xf>
    <xf numFmtId="177" fontId="102" fillId="0" borderId="40" xfId="7" applyNumberFormat="1" applyFont="1" applyBorder="1" applyAlignment="1">
      <alignment horizontal="left" vertical="center"/>
    </xf>
    <xf numFmtId="0" fontId="151" fillId="12" borderId="148" xfId="7" applyFont="1" applyFill="1" applyBorder="1" applyAlignment="1" applyProtection="1">
      <alignment horizontal="left" vertical="center" wrapText="1"/>
    </xf>
    <xf numFmtId="0" fontId="151" fillId="12" borderId="149" xfId="7" applyFont="1" applyFill="1" applyBorder="1" applyAlignment="1" applyProtection="1">
      <alignment horizontal="left" vertical="center" wrapText="1"/>
    </xf>
    <xf numFmtId="10" fontId="102" fillId="15" borderId="129" xfId="7" applyNumberFormat="1" applyFont="1" applyFill="1" applyBorder="1" applyAlignment="1">
      <alignment horizontal="left" vertical="center"/>
    </xf>
    <xf numFmtId="10" fontId="102" fillId="15" borderId="0" xfId="7" applyNumberFormat="1" applyFont="1" applyFill="1" applyAlignment="1">
      <alignment horizontal="left" vertical="center"/>
    </xf>
    <xf numFmtId="178" fontId="102" fillId="0" borderId="0" xfId="7" applyNumberFormat="1" applyFont="1" applyAlignment="1">
      <alignment horizontal="left" vertical="center"/>
    </xf>
    <xf numFmtId="10" fontId="102" fillId="15" borderId="136" xfId="7" applyNumberFormat="1" applyFont="1" applyFill="1" applyBorder="1" applyAlignment="1">
      <alignment horizontal="left" vertical="center"/>
    </xf>
    <xf numFmtId="10" fontId="102" fillId="15" borderId="65" xfId="7" applyNumberFormat="1" applyFont="1" applyFill="1" applyBorder="1" applyAlignment="1">
      <alignment horizontal="left" vertical="center"/>
    </xf>
    <xf numFmtId="10" fontId="102" fillId="15" borderId="147" xfId="7" applyNumberFormat="1" applyFont="1" applyFill="1" applyBorder="1" applyAlignment="1">
      <alignment horizontal="left" vertical="center"/>
    </xf>
    <xf numFmtId="10" fontId="102" fillId="15" borderId="40" xfId="7" applyNumberFormat="1" applyFont="1" applyFill="1" applyBorder="1" applyAlignment="1">
      <alignment horizontal="left" vertical="center"/>
    </xf>
    <xf numFmtId="178" fontId="102" fillId="0" borderId="40" xfId="7" applyNumberFormat="1" applyFont="1" applyBorder="1" applyAlignment="1">
      <alignment horizontal="left" vertical="center"/>
    </xf>
    <xf numFmtId="0" fontId="103" fillId="13" borderId="150" xfId="7" applyFont="1" applyFill="1" applyBorder="1" applyAlignment="1">
      <alignment horizontal="left" vertical="center" wrapText="1"/>
    </xf>
    <xf numFmtId="0" fontId="103" fillId="13" borderId="151" xfId="7" applyFont="1" applyFill="1" applyBorder="1" applyAlignment="1">
      <alignment horizontal="left" vertical="center" wrapText="1"/>
    </xf>
    <xf numFmtId="180" fontId="102" fillId="0" borderId="0" xfId="7" applyNumberFormat="1" applyFont="1" applyAlignment="1">
      <alignment horizontal="left" vertical="center"/>
    </xf>
    <xf numFmtId="180" fontId="102" fillId="0" borderId="129" xfId="7" applyNumberFormat="1" applyFont="1" applyBorder="1" applyAlignment="1">
      <alignment horizontal="left" vertical="center"/>
    </xf>
    <xf numFmtId="177" fontId="102" fillId="15" borderId="0" xfId="7" applyNumberFormat="1" applyFont="1" applyFill="1" applyAlignment="1">
      <alignment horizontal="left" vertical="center"/>
    </xf>
    <xf numFmtId="0" fontId="151" fillId="13" borderId="140" xfId="7" applyFont="1" applyFill="1" applyBorder="1" applyAlignment="1" applyProtection="1">
      <alignment horizontal="left" vertical="center" wrapText="1"/>
    </xf>
    <xf numFmtId="0" fontId="103" fillId="12" borderId="140" xfId="7" applyFont="1" applyFill="1" applyBorder="1" applyAlignment="1">
      <alignment horizontal="left" vertical="center" wrapText="1"/>
    </xf>
    <xf numFmtId="0" fontId="103" fillId="12" borderId="144" xfId="7" applyFont="1" applyFill="1" applyBorder="1" applyAlignment="1">
      <alignment horizontal="left" vertical="center" wrapText="1"/>
    </xf>
    <xf numFmtId="0" fontId="151" fillId="6" borderId="134" xfId="7" applyFont="1" applyFill="1" applyBorder="1" applyAlignment="1" applyProtection="1">
      <alignment horizontal="left" vertical="center" wrapText="1"/>
    </xf>
    <xf numFmtId="180" fontId="102" fillId="6" borderId="0" xfId="7" applyNumberFormat="1" applyFont="1" applyFill="1" applyAlignment="1">
      <alignment horizontal="left" vertical="center"/>
    </xf>
    <xf numFmtId="0" fontId="102" fillId="6" borderId="129" xfId="7" applyFont="1" applyFill="1" applyBorder="1" applyAlignment="1">
      <alignment horizontal="left" vertical="center"/>
    </xf>
    <xf numFmtId="178" fontId="102" fillId="6" borderId="0" xfId="7" applyNumberFormat="1" applyFont="1" applyFill="1" applyAlignment="1">
      <alignment horizontal="left" vertical="center"/>
    </xf>
    <xf numFmtId="0" fontId="103" fillId="12" borderId="152" xfId="7" applyFont="1" applyFill="1" applyBorder="1" applyAlignment="1">
      <alignment horizontal="left" vertical="center" wrapText="1"/>
    </xf>
    <xf numFmtId="0" fontId="103" fillId="12" borderId="153" xfId="7" applyFont="1" applyFill="1" applyBorder="1" applyAlignment="1">
      <alignment horizontal="left" vertical="center" wrapText="1"/>
    </xf>
    <xf numFmtId="0" fontId="103" fillId="12" borderId="154" xfId="7" applyFont="1" applyFill="1" applyBorder="1" applyAlignment="1">
      <alignment horizontal="left" vertical="center" wrapText="1"/>
    </xf>
    <xf numFmtId="0" fontId="144" fillId="0" borderId="0" xfId="7" applyFont="1" applyAlignment="1">
      <alignment horizontal="left" vertical="center"/>
    </xf>
    <xf numFmtId="0" fontId="118" fillId="0" borderId="0" xfId="7" applyFont="1" applyAlignment="1">
      <alignment horizontal="left" vertical="center"/>
    </xf>
    <xf numFmtId="0" fontId="118" fillId="0" borderId="129" xfId="7" applyFont="1" applyBorder="1" applyAlignment="1">
      <alignment horizontal="left" vertical="center"/>
    </xf>
    <xf numFmtId="180" fontId="118" fillId="0" borderId="0" xfId="7" applyNumberFormat="1" applyFont="1" applyAlignment="1">
      <alignment horizontal="left" vertical="center"/>
    </xf>
    <xf numFmtId="180" fontId="118" fillId="0" borderId="129" xfId="7" applyNumberFormat="1" applyFont="1" applyBorder="1" applyAlignment="1">
      <alignment horizontal="left" vertical="center"/>
    </xf>
    <xf numFmtId="0" fontId="151" fillId="13" borderId="155" xfId="7" applyFont="1" applyFill="1" applyBorder="1" applyAlignment="1">
      <alignment horizontal="left" vertical="center" wrapText="1"/>
    </xf>
    <xf numFmtId="0" fontId="151" fillId="13" borderId="131" xfId="7" applyFont="1" applyFill="1" applyBorder="1" applyAlignment="1">
      <alignment horizontal="left" vertical="center" wrapText="1"/>
    </xf>
    <xf numFmtId="0" fontId="151" fillId="12" borderId="156" xfId="7" applyFont="1" applyFill="1" applyBorder="1" applyAlignment="1">
      <alignment horizontal="left" vertical="center" wrapText="1"/>
    </xf>
    <xf numFmtId="0" fontId="151" fillId="12" borderId="134" xfId="7" applyFont="1" applyFill="1" applyBorder="1" applyAlignment="1">
      <alignment horizontal="left" vertical="center" wrapText="1"/>
    </xf>
    <xf numFmtId="0" fontId="151" fillId="13" borderId="156" xfId="7" applyFont="1" applyFill="1" applyBorder="1" applyAlignment="1">
      <alignment horizontal="left" vertical="center" wrapText="1"/>
    </xf>
    <xf numFmtId="0" fontId="151" fillId="13" borderId="134" xfId="7" applyFont="1" applyFill="1" applyBorder="1" applyAlignment="1">
      <alignment horizontal="left" vertical="center" wrapText="1"/>
    </xf>
    <xf numFmtId="0" fontId="151" fillId="12" borderId="157" xfId="7" applyFont="1" applyFill="1" applyBorder="1" applyAlignment="1">
      <alignment horizontal="left" vertical="center" wrapText="1"/>
    </xf>
    <xf numFmtId="0" fontId="151" fillId="12" borderId="140" xfId="7" applyFont="1" applyFill="1" applyBorder="1" applyAlignment="1">
      <alignment horizontal="left" vertical="center" wrapText="1"/>
    </xf>
    <xf numFmtId="0" fontId="60" fillId="5" borderId="90" xfId="0" applyFont="1" applyFill="1" applyBorder="1" applyAlignment="1" applyProtection="1">
      <alignment horizontal="left" vertical="center"/>
      <protection locked="0"/>
    </xf>
    <xf numFmtId="0" fontId="54" fillId="5" borderId="17" xfId="0" applyFont="1" applyFill="1" applyBorder="1" applyAlignment="1" applyProtection="1">
      <alignment horizontal="left" vertical="center"/>
    </xf>
    <xf numFmtId="0" fontId="58" fillId="5" borderId="39" xfId="0" applyFont="1" applyFill="1" applyBorder="1" applyAlignment="1" applyProtection="1">
      <alignment horizontal="left" vertical="center"/>
    </xf>
    <xf numFmtId="0" fontId="54" fillId="0" borderId="16" xfId="0" applyNumberFormat="1" applyFont="1" applyFill="1" applyBorder="1" applyAlignment="1" applyProtection="1">
      <alignment horizontal="left" vertical="center" wrapText="1"/>
      <protection locked="0"/>
    </xf>
    <xf numFmtId="0" fontId="54" fillId="5" borderId="23" xfId="0" applyNumberFormat="1" applyFont="1" applyFill="1" applyBorder="1" applyAlignment="1" applyProtection="1">
      <alignment horizontal="left" vertical="center" wrapText="1"/>
    </xf>
    <xf numFmtId="0" fontId="54" fillId="5" borderId="26" xfId="0" applyNumberFormat="1" applyFont="1" applyFill="1" applyBorder="1" applyAlignment="1" applyProtection="1">
      <alignment horizontal="left" vertical="center" wrapText="1"/>
    </xf>
    <xf numFmtId="49" fontId="47" fillId="5" borderId="16" xfId="0" applyNumberFormat="1" applyFont="1" applyFill="1" applyBorder="1" applyAlignment="1" applyProtection="1">
      <alignment horizontal="left" vertical="center" wrapText="1"/>
    </xf>
    <xf numFmtId="0" fontId="40" fillId="2" borderId="23" xfId="0" applyNumberFormat="1" applyFont="1" applyFill="1" applyBorder="1" applyAlignment="1" applyProtection="1">
      <alignment horizontal="left" vertical="center" wrapText="1"/>
      <protection locked="0"/>
    </xf>
    <xf numFmtId="17" fontId="45" fillId="0" borderId="19" xfId="0" applyNumberFormat="1" applyFont="1" applyFill="1" applyBorder="1" applyAlignment="1" applyProtection="1">
      <alignment horizontal="left" vertical="center" wrapText="1"/>
      <protection locked="0"/>
    </xf>
    <xf numFmtId="0" fontId="45" fillId="0" borderId="19" xfId="0" applyNumberFormat="1" applyFont="1" applyFill="1" applyBorder="1" applyAlignment="1" applyProtection="1">
      <alignment horizontal="left" vertical="center" wrapText="1"/>
      <protection locked="0"/>
    </xf>
    <xf numFmtId="0" fontId="47" fillId="5" borderId="39" xfId="0" applyFont="1" applyFill="1" applyBorder="1" applyAlignment="1" applyProtection="1">
      <alignment horizontal="left" vertical="center"/>
      <protection locked="0"/>
    </xf>
    <xf numFmtId="0" fontId="69" fillId="5" borderId="39" xfId="0" applyFont="1" applyFill="1" applyBorder="1" applyAlignment="1" applyProtection="1">
      <alignment horizontal="left" vertical="center"/>
      <protection locked="0"/>
    </xf>
    <xf numFmtId="0" fontId="47" fillId="5" borderId="39" xfId="0" applyFont="1" applyFill="1" applyBorder="1" applyAlignment="1" applyProtection="1">
      <alignment horizontal="left"/>
      <protection locked="0"/>
    </xf>
    <xf numFmtId="9" fontId="40" fillId="5" borderId="0" xfId="0" applyNumberFormat="1" applyFont="1" applyFill="1" applyBorder="1" applyAlignment="1" applyProtection="1">
      <alignment horizontal="left" vertical="center" wrapText="1"/>
      <protection locked="0"/>
    </xf>
    <xf numFmtId="0" fontId="47" fillId="0" borderId="49" xfId="0" applyNumberFormat="1" applyFont="1" applyFill="1" applyBorder="1" applyAlignment="1" applyProtection="1">
      <alignment horizontal="left" vertical="center" wrapText="1"/>
      <protection locked="0"/>
    </xf>
    <xf numFmtId="0" fontId="69" fillId="0" borderId="50" xfId="0" applyNumberFormat="1" applyFont="1" applyFill="1" applyBorder="1" applyAlignment="1" applyProtection="1">
      <alignment horizontal="left" vertical="center" wrapText="1"/>
      <protection locked="0"/>
    </xf>
    <xf numFmtId="0" fontId="99" fillId="0" borderId="32" xfId="0" applyNumberFormat="1" applyFont="1" applyFill="1" applyBorder="1" applyAlignment="1" applyProtection="1">
      <alignment horizontal="left" vertical="center" wrapText="1"/>
      <protection locked="0"/>
    </xf>
    <xf numFmtId="0" fontId="58" fillId="5" borderId="91" xfId="0" applyFont="1" applyFill="1" applyBorder="1" applyAlignment="1" applyProtection="1">
      <alignment horizontal="left" vertical="center"/>
    </xf>
    <xf numFmtId="0" fontId="54" fillId="5" borderId="166" xfId="0" applyFont="1" applyFill="1" applyBorder="1" applyAlignment="1" applyProtection="1">
      <alignment horizontal="left" vertical="center"/>
      <protection locked="0"/>
    </xf>
    <xf numFmtId="0" fontId="58" fillId="5" borderId="25" xfId="0" applyFont="1" applyFill="1" applyBorder="1" applyAlignment="1" applyProtection="1">
      <alignment horizontal="left" vertical="center"/>
    </xf>
    <xf numFmtId="0" fontId="58" fillId="5" borderId="27" xfId="0" applyFont="1" applyFill="1" applyBorder="1" applyAlignment="1" applyProtection="1">
      <alignment horizontal="left" vertical="center"/>
    </xf>
    <xf numFmtId="0" fontId="40" fillId="0" borderId="24" xfId="0" applyNumberFormat="1" applyFont="1" applyFill="1" applyBorder="1" applyAlignment="1" applyProtection="1">
      <alignment horizontal="left" vertical="center" wrapText="1"/>
      <protection locked="0"/>
    </xf>
    <xf numFmtId="0" fontId="40" fillId="0" borderId="42" xfId="0" applyNumberFormat="1" applyFont="1" applyFill="1" applyBorder="1" applyAlignment="1" applyProtection="1">
      <alignment horizontal="left" vertical="center" wrapText="1"/>
      <protection locked="0"/>
    </xf>
    <xf numFmtId="0" fontId="40" fillId="5" borderId="59" xfId="0" applyFont="1" applyFill="1" applyBorder="1" applyAlignment="1" applyProtection="1">
      <alignment horizontal="left" vertical="center" wrapText="1"/>
    </xf>
    <xf numFmtId="0" fontId="47" fillId="5" borderId="53" xfId="0" applyFont="1" applyFill="1" applyBorder="1" applyAlignment="1" applyProtection="1">
      <alignment horizontal="left" vertical="center"/>
    </xf>
    <xf numFmtId="0" fontId="40" fillId="5" borderId="58" xfId="0" applyFont="1" applyFill="1" applyBorder="1" applyAlignment="1" applyProtection="1">
      <alignment horizontal="left" vertical="center" wrapText="1"/>
    </xf>
    <xf numFmtId="0" fontId="40" fillId="5" borderId="34" xfId="0" applyFont="1" applyFill="1" applyBorder="1" applyAlignment="1" applyProtection="1">
      <alignment horizontal="left" vertical="center" wrapText="1"/>
    </xf>
    <xf numFmtId="0" fontId="40" fillId="5" borderId="50" xfId="0" applyFont="1" applyFill="1" applyBorder="1" applyAlignment="1" applyProtection="1">
      <alignment horizontal="left" vertical="center" wrapText="1"/>
    </xf>
    <xf numFmtId="0" fontId="47" fillId="0" borderId="51" xfId="0" applyNumberFormat="1" applyFont="1" applyFill="1" applyBorder="1" applyAlignment="1" applyProtection="1">
      <alignment horizontal="left" vertical="center" wrapText="1"/>
      <protection locked="0"/>
    </xf>
    <xf numFmtId="0" fontId="40" fillId="2" borderId="24" xfId="0" applyNumberFormat="1" applyFont="1" applyFill="1" applyBorder="1" applyAlignment="1" applyProtection="1">
      <alignment horizontal="left" vertical="center" wrapText="1"/>
      <protection locked="0"/>
    </xf>
    <xf numFmtId="0" fontId="40" fillId="0" borderId="6" xfId="0" applyFont="1" applyFill="1" applyBorder="1" applyAlignment="1" applyProtection="1">
      <alignment horizontal="left" vertical="center" wrapText="1"/>
      <protection locked="0"/>
    </xf>
    <xf numFmtId="0" fontId="40" fillId="0" borderId="43" xfId="0" applyFont="1" applyFill="1" applyBorder="1" applyAlignment="1" applyProtection="1">
      <alignment horizontal="left" vertical="center" wrapText="1"/>
      <protection locked="0"/>
    </xf>
    <xf numFmtId="0" fontId="47" fillId="0" borderId="48" xfId="0" applyNumberFormat="1" applyFont="1" applyFill="1" applyBorder="1" applyAlignment="1" applyProtection="1">
      <alignment horizontal="left" vertical="center" wrapText="1"/>
      <protection locked="0"/>
    </xf>
    <xf numFmtId="0" fontId="47" fillId="2" borderId="4" xfId="0" applyNumberFormat="1" applyFont="1" applyFill="1" applyBorder="1" applyAlignment="1" applyProtection="1">
      <alignment horizontal="left" vertical="center" wrapText="1"/>
      <protection locked="0"/>
    </xf>
    <xf numFmtId="49" fontId="40" fillId="0" borderId="0" xfId="0" applyNumberFormat="1" applyFont="1" applyFill="1" applyBorder="1" applyAlignment="1" applyProtection="1">
      <alignment horizontal="left" vertical="center"/>
      <protection locked="0"/>
    </xf>
    <xf numFmtId="0" fontId="40" fillId="0" borderId="73" xfId="0" applyNumberFormat="1" applyFont="1" applyFill="1" applyBorder="1" applyAlignment="1" applyProtection="1">
      <alignment horizontal="left" vertical="center" wrapText="1"/>
      <protection locked="0"/>
    </xf>
    <xf numFmtId="0" fontId="47" fillId="5" borderId="54" xfId="0" applyNumberFormat="1" applyFont="1" applyFill="1" applyBorder="1" applyAlignment="1" applyProtection="1">
      <alignment horizontal="left" vertical="center" wrapText="1"/>
    </xf>
    <xf numFmtId="0" fontId="47" fillId="0" borderId="33" xfId="0" applyNumberFormat="1"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9" fontId="47" fillId="0" borderId="0" xfId="0" applyNumberFormat="1" applyFont="1" applyFill="1" applyBorder="1" applyAlignment="1" applyProtection="1">
      <alignment horizontal="left" vertical="center" wrapText="1"/>
      <protection locked="0"/>
    </xf>
    <xf numFmtId="0" fontId="46" fillId="5" borderId="42" xfId="0" applyNumberFormat="1" applyFont="1" applyFill="1" applyBorder="1" applyAlignment="1" applyProtection="1">
      <alignment horizontal="left" vertical="center" wrapText="1"/>
      <protection locked="0"/>
    </xf>
    <xf numFmtId="176" fontId="47" fillId="5" borderId="41" xfId="0" applyNumberFormat="1" applyFont="1" applyFill="1" applyBorder="1" applyAlignment="1" applyProtection="1">
      <alignment horizontal="left" vertical="center" wrapText="1"/>
    </xf>
    <xf numFmtId="176" fontId="47" fillId="18" borderId="41" xfId="0" applyNumberFormat="1"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3" fillId="8" borderId="1" xfId="0" applyFont="1" applyFill="1" applyBorder="1" applyAlignment="1" applyProtection="1">
      <alignment horizontal="left" vertical="center" wrapText="1"/>
    </xf>
    <xf numFmtId="0" fontId="107" fillId="8" borderId="1" xfId="0" applyFont="1" applyFill="1" applyBorder="1" applyAlignment="1" applyProtection="1">
      <alignment horizontal="left" vertical="center" wrapText="1"/>
    </xf>
    <xf numFmtId="10" fontId="107" fillId="8" borderId="1" xfId="0" applyNumberFormat="1" applyFont="1" applyFill="1" applyBorder="1" applyAlignment="1" applyProtection="1">
      <alignment horizontal="left" vertical="center"/>
    </xf>
    <xf numFmtId="9" fontId="107" fillId="8" borderId="1" xfId="0" applyNumberFormat="1" applyFont="1" applyFill="1" applyBorder="1" applyAlignment="1" applyProtection="1">
      <alignment horizontal="left" vertical="center"/>
    </xf>
    <xf numFmtId="0" fontId="107" fillId="8" borderId="18" xfId="0" applyFont="1" applyFill="1" applyBorder="1" applyAlignment="1" applyProtection="1">
      <alignment horizontal="left" vertical="center" wrapText="1"/>
    </xf>
    <xf numFmtId="0" fontId="102" fillId="8" borderId="18" xfId="0" applyFont="1" applyFill="1" applyBorder="1" applyAlignment="1" applyProtection="1">
      <alignment horizontal="left" vertical="center" wrapText="1"/>
    </xf>
    <xf numFmtId="9" fontId="107" fillId="8" borderId="18" xfId="0" applyNumberFormat="1" applyFont="1" applyFill="1" applyBorder="1" applyAlignment="1" applyProtection="1">
      <alignment horizontal="left" vertical="center"/>
    </xf>
    <xf numFmtId="0" fontId="102" fillId="8" borderId="2" xfId="0" applyFont="1" applyFill="1" applyBorder="1" applyAlignment="1" applyProtection="1">
      <alignment horizontal="left" vertical="center" wrapText="1"/>
    </xf>
    <xf numFmtId="0" fontId="107" fillId="8" borderId="35" xfId="0" applyFont="1" applyFill="1" applyBorder="1" applyAlignment="1" applyProtection="1">
      <alignment horizontal="left" vertical="center" wrapText="1"/>
    </xf>
    <xf numFmtId="0" fontId="107" fillId="8" borderId="36" xfId="0" applyFont="1" applyFill="1" applyBorder="1" applyAlignment="1" applyProtection="1">
      <alignment horizontal="left" vertical="center" wrapText="1"/>
    </xf>
    <xf numFmtId="0" fontId="107" fillId="8" borderId="27" xfId="0" applyFont="1" applyFill="1" applyBorder="1" applyAlignment="1" applyProtection="1">
      <alignment horizontal="left" vertical="center" wrapText="1"/>
    </xf>
    <xf numFmtId="0" fontId="107" fillId="8" borderId="2" xfId="0" applyFont="1" applyFill="1" applyBorder="1" applyAlignment="1" applyProtection="1">
      <alignment horizontal="left" vertical="center" wrapText="1"/>
    </xf>
    <xf numFmtId="0" fontId="107" fillId="8" borderId="51" xfId="0" applyFont="1" applyFill="1" applyBorder="1" applyAlignment="1" applyProtection="1">
      <alignment horizontal="left" vertical="center"/>
    </xf>
    <xf numFmtId="0" fontId="107" fillId="8" borderId="3" xfId="0" applyFont="1" applyFill="1" applyBorder="1" applyAlignment="1" applyProtection="1">
      <alignment horizontal="left" vertical="center" wrapText="1"/>
    </xf>
    <xf numFmtId="0" fontId="107" fillId="8" borderId="60" xfId="0" applyFont="1" applyFill="1" applyBorder="1" applyAlignment="1" applyProtection="1">
      <alignment horizontal="left" vertical="center" wrapText="1"/>
    </xf>
    <xf numFmtId="0" fontId="107" fillId="8" borderId="0" xfId="0" applyFont="1" applyFill="1" applyBorder="1" applyAlignment="1" applyProtection="1">
      <alignment horizontal="left" vertical="center" wrapText="1"/>
    </xf>
    <xf numFmtId="0" fontId="107" fillId="8" borderId="25" xfId="0" applyFont="1" applyFill="1" applyBorder="1" applyAlignment="1" applyProtection="1">
      <alignment horizontal="left" vertical="center" wrapText="1"/>
    </xf>
    <xf numFmtId="0" fontId="107" fillId="8" borderId="64" xfId="0" applyFont="1" applyFill="1" applyBorder="1" applyAlignment="1" applyProtection="1">
      <alignment horizontal="left" vertical="center" wrapText="1"/>
    </xf>
    <xf numFmtId="0" fontId="107" fillId="8" borderId="65" xfId="0" applyFont="1" applyFill="1" applyBorder="1" applyAlignment="1" applyProtection="1">
      <alignment horizontal="left" vertical="center" wrapText="1"/>
    </xf>
    <xf numFmtId="0" fontId="107" fillId="8" borderId="24" xfId="0" applyFont="1" applyFill="1" applyBorder="1" applyAlignment="1" applyProtection="1">
      <alignment horizontal="left" vertical="center" wrapText="1"/>
    </xf>
    <xf numFmtId="0" fontId="43" fillId="8" borderId="0" xfId="0" applyFont="1" applyFill="1" applyAlignment="1" applyProtection="1">
      <alignment horizontal="left" vertical="center"/>
    </xf>
    <xf numFmtId="181" fontId="43" fillId="5" borderId="0" xfId="0" applyNumberFormat="1" applyFont="1" applyFill="1" applyAlignment="1" applyProtection="1">
      <alignment horizontal="left" vertical="center"/>
    </xf>
    <xf numFmtId="0" fontId="109" fillId="8" borderId="1" xfId="0" applyFont="1" applyFill="1" applyBorder="1" applyAlignment="1" applyProtection="1">
      <alignment horizontal="left" vertical="center" wrapText="1"/>
    </xf>
    <xf numFmtId="0" fontId="117" fillId="8" borderId="1" xfId="0" applyFont="1" applyFill="1" applyBorder="1" applyAlignment="1" applyProtection="1">
      <alignment horizontal="left" vertical="center" wrapText="1"/>
    </xf>
    <xf numFmtId="0" fontId="247" fillId="8" borderId="1" xfId="0" applyFont="1" applyFill="1" applyBorder="1" applyAlignment="1" applyProtection="1">
      <alignment horizontal="left" vertical="center" wrapText="1"/>
    </xf>
    <xf numFmtId="10" fontId="247" fillId="8" borderId="1" xfId="0" applyNumberFormat="1" applyFont="1" applyFill="1" applyBorder="1" applyAlignment="1" applyProtection="1">
      <alignment horizontal="left" vertical="center"/>
    </xf>
    <xf numFmtId="9" fontId="247" fillId="8" borderId="1" xfId="0" applyNumberFormat="1" applyFont="1" applyFill="1" applyBorder="1" applyAlignment="1" applyProtection="1">
      <alignment horizontal="left" vertical="center"/>
    </xf>
    <xf numFmtId="0" fontId="247" fillId="8" borderId="18" xfId="0" applyFont="1" applyFill="1" applyBorder="1" applyAlignment="1" applyProtection="1">
      <alignment horizontal="left" vertical="center" wrapText="1"/>
    </xf>
    <xf numFmtId="0" fontId="109" fillId="8" borderId="18" xfId="0" applyFont="1" applyFill="1" applyBorder="1" applyAlignment="1" applyProtection="1">
      <alignment horizontal="left" vertical="center" wrapText="1"/>
    </xf>
    <xf numFmtId="9" fontId="247" fillId="8" borderId="18" xfId="0" applyNumberFormat="1" applyFont="1" applyFill="1" applyBorder="1" applyAlignment="1" applyProtection="1">
      <alignment horizontal="left" vertical="center"/>
    </xf>
    <xf numFmtId="0" fontId="109" fillId="8" borderId="2" xfId="0" applyFont="1" applyFill="1" applyBorder="1" applyAlignment="1" applyProtection="1">
      <alignment horizontal="left" vertical="center" wrapText="1"/>
    </xf>
    <xf numFmtId="0" fontId="247" fillId="8" borderId="35" xfId="0" applyFont="1" applyFill="1" applyBorder="1" applyAlignment="1" applyProtection="1">
      <alignment horizontal="left" vertical="center" wrapText="1"/>
    </xf>
    <xf numFmtId="0" fontId="247" fillId="8" borderId="36" xfId="0" applyFont="1" applyFill="1" applyBorder="1" applyAlignment="1" applyProtection="1">
      <alignment horizontal="left" vertical="center" wrapText="1"/>
    </xf>
    <xf numFmtId="0" fontId="247" fillId="8" borderId="27" xfId="0" applyFont="1" applyFill="1" applyBorder="1" applyAlignment="1" applyProtection="1">
      <alignment horizontal="left" vertical="center" wrapText="1"/>
    </xf>
    <xf numFmtId="0" fontId="247" fillId="8" borderId="2" xfId="0" applyFont="1" applyFill="1" applyBorder="1" applyAlignment="1" applyProtection="1">
      <alignment horizontal="left" vertical="center" wrapText="1"/>
    </xf>
    <xf numFmtId="0" fontId="247" fillId="8" borderId="51" xfId="0" applyFont="1" applyFill="1" applyBorder="1" applyAlignment="1" applyProtection="1">
      <alignment horizontal="left" vertical="center"/>
    </xf>
    <xf numFmtId="0" fontId="247" fillId="8" borderId="3" xfId="0" applyFont="1" applyFill="1" applyBorder="1" applyAlignment="1" applyProtection="1">
      <alignment horizontal="left" vertical="center" wrapText="1"/>
    </xf>
    <xf numFmtId="0" fontId="247" fillId="8" borderId="60" xfId="0" applyFont="1" applyFill="1" applyBorder="1" applyAlignment="1" applyProtection="1">
      <alignment horizontal="left" vertical="center" wrapText="1"/>
    </xf>
    <xf numFmtId="0" fontId="247" fillId="8" borderId="0" xfId="0" applyFont="1" applyFill="1" applyBorder="1" applyAlignment="1" applyProtection="1">
      <alignment horizontal="left" vertical="center" wrapText="1"/>
    </xf>
    <xf numFmtId="0" fontId="247" fillId="8" borderId="25" xfId="0" applyFont="1" applyFill="1" applyBorder="1" applyAlignment="1" applyProtection="1">
      <alignment horizontal="left" vertical="center" wrapText="1"/>
    </xf>
    <xf numFmtId="0" fontId="247" fillId="8" borderId="64" xfId="0" applyFont="1" applyFill="1" applyBorder="1" applyAlignment="1" applyProtection="1">
      <alignment horizontal="left" vertical="center" wrapText="1"/>
    </xf>
    <xf numFmtId="0" fontId="247" fillId="8" borderId="65" xfId="0" applyFont="1" applyFill="1" applyBorder="1" applyAlignment="1" applyProtection="1">
      <alignment horizontal="left" vertical="center" wrapText="1"/>
    </xf>
    <xf numFmtId="0" fontId="247" fillId="8" borderId="24" xfId="0" applyFont="1" applyFill="1" applyBorder="1" applyAlignment="1" applyProtection="1">
      <alignment horizontal="left" vertical="center" wrapText="1"/>
    </xf>
    <xf numFmtId="0" fontId="198" fillId="8" borderId="0" xfId="0" applyFont="1" applyFill="1" applyAlignment="1" applyProtection="1">
      <alignment horizontal="left" vertical="center"/>
    </xf>
    <xf numFmtId="0" fontId="248" fillId="5" borderId="1" xfId="0" applyFont="1" applyFill="1" applyBorder="1" applyAlignment="1" applyProtection="1">
      <alignment horizontal="left" vertical="center" wrapText="1"/>
    </xf>
    <xf numFmtId="0" fontId="198" fillId="5" borderId="1" xfId="0" applyFont="1" applyFill="1" applyBorder="1" applyAlignment="1" applyProtection="1">
      <alignment horizontal="left" vertical="center"/>
    </xf>
    <xf numFmtId="181" fontId="198" fillId="5" borderId="0" xfId="0" applyNumberFormat="1" applyFont="1" applyFill="1" applyAlignment="1" applyProtection="1">
      <alignment horizontal="left" vertical="center"/>
    </xf>
    <xf numFmtId="9" fontId="43" fillId="6" borderId="36" xfId="0" applyNumberFormat="1" applyFont="1" applyFill="1" applyBorder="1" applyAlignment="1" applyProtection="1">
      <alignment horizontal="left" vertical="center"/>
      <protection locked="0"/>
    </xf>
    <xf numFmtId="0" fontId="43" fillId="5" borderId="27" xfId="0" applyFont="1" applyFill="1" applyBorder="1" applyAlignment="1" applyProtection="1">
      <alignment horizontal="left" vertical="center"/>
    </xf>
    <xf numFmtId="0" fontId="43" fillId="5" borderId="0" xfId="0" applyFont="1" applyFill="1" applyAlignment="1" applyProtection="1">
      <alignment horizontal="left" vertical="center"/>
    </xf>
    <xf numFmtId="9" fontId="43" fillId="5" borderId="6" xfId="0" applyNumberFormat="1" applyFont="1" applyFill="1" applyBorder="1" applyAlignment="1" applyProtection="1">
      <alignment horizontal="left" vertical="center"/>
    </xf>
    <xf numFmtId="10" fontId="43" fillId="5" borderId="17" xfId="0" applyNumberFormat="1" applyFont="1" applyFill="1" applyBorder="1" applyAlignment="1" applyProtection="1">
      <alignment horizontal="left" vertical="center"/>
    </xf>
    <xf numFmtId="0" fontId="44" fillId="0" borderId="6" xfId="0" applyFont="1" applyFill="1" applyBorder="1" applyAlignment="1" applyProtection="1">
      <alignment horizontal="left" vertical="center" wrapText="1"/>
      <protection locked="0"/>
    </xf>
    <xf numFmtId="0" fontId="43" fillId="6" borderId="3" xfId="0" applyFont="1" applyFill="1" applyBorder="1" applyAlignment="1" applyProtection="1">
      <alignment horizontal="left" vertical="center"/>
      <protection locked="0"/>
    </xf>
    <xf numFmtId="0" fontId="43" fillId="5" borderId="35" xfId="0" applyFont="1" applyFill="1" applyBorder="1" applyAlignment="1" applyProtection="1">
      <alignment horizontal="left" vertical="center"/>
    </xf>
    <xf numFmtId="0" fontId="43" fillId="5" borderId="25" xfId="0" applyFont="1" applyFill="1" applyBorder="1" applyAlignment="1" applyProtection="1">
      <alignment horizontal="left" vertical="center"/>
    </xf>
    <xf numFmtId="0" fontId="76" fillId="18" borderId="0" xfId="0" applyFont="1" applyFill="1" applyAlignment="1" applyProtection="1">
      <alignment horizontal="left" vertical="center"/>
    </xf>
    <xf numFmtId="10" fontId="43" fillId="18" borderId="0" xfId="0" applyNumberFormat="1" applyFont="1" applyFill="1" applyAlignment="1" applyProtection="1">
      <alignment horizontal="left" vertical="center"/>
    </xf>
    <xf numFmtId="0" fontId="43" fillId="5" borderId="60" xfId="0" applyFont="1" applyFill="1" applyBorder="1" applyAlignment="1" applyProtection="1">
      <alignment horizontal="left" vertical="center"/>
    </xf>
    <xf numFmtId="0" fontId="43" fillId="18" borderId="0" xfId="0" applyFont="1" applyFill="1" applyAlignment="1" applyProtection="1">
      <alignment horizontal="left" vertical="center"/>
    </xf>
    <xf numFmtId="0" fontId="43" fillId="5" borderId="23" xfId="0" applyFont="1" applyFill="1" applyBorder="1" applyAlignment="1" applyProtection="1">
      <alignment horizontal="left" vertical="center" wrapText="1"/>
    </xf>
    <xf numFmtId="10" fontId="43" fillId="5" borderId="1" xfId="0" applyNumberFormat="1" applyFont="1" applyFill="1" applyBorder="1" applyAlignment="1" applyProtection="1">
      <alignment horizontal="left" vertical="center"/>
    </xf>
    <xf numFmtId="0" fontId="43" fillId="5" borderId="6" xfId="0" applyFont="1" applyFill="1" applyBorder="1" applyAlignment="1" applyProtection="1">
      <alignment horizontal="left" vertical="center"/>
    </xf>
    <xf numFmtId="0" fontId="118" fillId="0" borderId="6"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wrapText="1"/>
      <protection locked="0"/>
    </xf>
    <xf numFmtId="0" fontId="43" fillId="18" borderId="44" xfId="0" applyFont="1" applyFill="1" applyBorder="1" applyAlignment="1" applyProtection="1">
      <alignment horizontal="left" vertical="center"/>
    </xf>
    <xf numFmtId="10" fontId="43" fillId="18" borderId="61" xfId="0" applyNumberFormat="1" applyFont="1" applyFill="1" applyBorder="1" applyAlignment="1" applyProtection="1">
      <alignment horizontal="left" vertical="center"/>
    </xf>
    <xf numFmtId="0" fontId="172" fillId="5" borderId="1" xfId="13" applyFont="1" applyFill="1" applyBorder="1" applyAlignment="1" applyProtection="1">
      <alignment horizontal="left" vertical="center" wrapText="1"/>
    </xf>
    <xf numFmtId="0" fontId="171"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2" fillId="5" borderId="1" xfId="13" applyNumberFormat="1" applyFont="1" applyFill="1" applyBorder="1" applyAlignment="1" applyProtection="1">
      <alignment horizontal="left" vertical="center" wrapText="1"/>
    </xf>
    <xf numFmtId="0" fontId="172" fillId="13" borderId="1" xfId="13" applyFont="1" applyFill="1" applyBorder="1" applyAlignment="1" applyProtection="1">
      <alignment horizontal="left" vertical="center" wrapText="1"/>
      <protection locked="0"/>
    </xf>
    <xf numFmtId="0" fontId="171" fillId="5" borderId="1" xfId="13" applyFill="1" applyBorder="1" applyAlignment="1" applyProtection="1">
      <alignment horizontal="left" vertical="center"/>
    </xf>
    <xf numFmtId="0" fontId="172" fillId="5" borderId="18" xfId="13" applyFont="1" applyFill="1" applyBorder="1" applyAlignment="1" applyProtection="1">
      <alignment horizontal="left" vertical="center" wrapText="1"/>
    </xf>
    <xf numFmtId="0" fontId="94" fillId="0" borderId="1" xfId="13" applyFont="1" applyFill="1" applyBorder="1" applyAlignment="1" applyProtection="1">
      <alignment horizontal="left"/>
      <protection locked="0"/>
    </xf>
    <xf numFmtId="0" fontId="171" fillId="0" borderId="1" xfId="13" applyBorder="1" applyAlignment="1" applyProtection="1">
      <alignment horizontal="left"/>
      <protection locked="0"/>
    </xf>
    <xf numFmtId="0" fontId="48" fillId="5" borderId="87" xfId="0" applyFont="1" applyFill="1" applyBorder="1" applyAlignment="1" applyProtection="1">
      <alignment vertical="center"/>
    </xf>
    <xf numFmtId="0" fontId="48" fillId="5" borderId="88" xfId="0" applyFont="1" applyFill="1" applyBorder="1" applyAlignment="1" applyProtection="1">
      <alignment vertical="center"/>
    </xf>
    <xf numFmtId="14" fontId="43" fillId="0" borderId="54" xfId="0" applyNumberFormat="1" applyFont="1" applyFill="1" applyBorder="1" applyAlignment="1" applyProtection="1">
      <alignment vertical="center"/>
      <protection locked="0"/>
    </xf>
    <xf numFmtId="0" fontId="43" fillId="5" borderId="124" xfId="0" applyFont="1" applyFill="1" applyBorder="1" applyAlignment="1" applyProtection="1">
      <alignment vertical="center"/>
    </xf>
    <xf numFmtId="14" fontId="43" fillId="6" borderId="75" xfId="0" applyNumberFormat="1" applyFont="1" applyFill="1" applyBorder="1" applyAlignment="1" applyProtection="1">
      <alignment vertical="center"/>
      <protection locked="0"/>
    </xf>
    <xf numFmtId="0" fontId="43" fillId="5" borderId="75" xfId="0" applyFont="1" applyFill="1" applyBorder="1" applyAlignment="1" applyProtection="1">
      <alignment vertical="center" wrapText="1"/>
    </xf>
    <xf numFmtId="0" fontId="43" fillId="5" borderId="75" xfId="0" applyNumberFormat="1" applyFont="1" applyFill="1" applyBorder="1" applyAlignment="1" applyProtection="1">
      <alignment vertical="center"/>
    </xf>
    <xf numFmtId="0" fontId="43" fillId="2" borderId="1" xfId="0" applyFont="1" applyFill="1" applyBorder="1" applyAlignment="1" applyProtection="1">
      <alignment vertical="center" wrapText="1"/>
      <protection locked="0"/>
    </xf>
    <xf numFmtId="0" fontId="43" fillId="0" borderId="3" xfId="0" applyFont="1" applyFill="1" applyBorder="1" applyAlignment="1" applyProtection="1">
      <alignment vertical="center" wrapText="1"/>
      <protection locked="0"/>
    </xf>
    <xf numFmtId="0" fontId="118" fillId="5" borderId="0" xfId="0" applyFont="1" applyFill="1" applyBorder="1" applyAlignment="1" applyProtection="1">
      <alignment vertical="center"/>
    </xf>
    <xf numFmtId="0" fontId="43" fillId="2" borderId="75" xfId="0" applyFont="1" applyFill="1" applyBorder="1" applyAlignment="1" applyProtection="1">
      <alignment vertical="center" wrapText="1"/>
      <protection locked="0"/>
    </xf>
    <xf numFmtId="0" fontId="43" fillId="5" borderId="22" xfId="0" applyFont="1" applyFill="1" applyBorder="1" applyAlignment="1" applyProtection="1">
      <alignment vertical="center" wrapText="1"/>
    </xf>
    <xf numFmtId="49" fontId="43" fillId="5" borderId="28" xfId="0" applyNumberFormat="1" applyFont="1" applyFill="1" applyBorder="1" applyAlignment="1" applyProtection="1">
      <alignment vertical="center" wrapText="1"/>
    </xf>
    <xf numFmtId="0" fontId="43" fillId="5" borderId="31" xfId="0" applyNumberFormat="1" applyFont="1" applyFill="1" applyBorder="1" applyAlignment="1" applyProtection="1">
      <alignment vertical="center" wrapText="1"/>
    </xf>
    <xf numFmtId="49" fontId="43" fillId="6" borderId="3" xfId="0" applyNumberFormat="1" applyFont="1" applyFill="1" applyBorder="1" applyAlignment="1" applyProtection="1">
      <alignment vertical="center" wrapText="1"/>
      <protection locked="0"/>
    </xf>
    <xf numFmtId="49" fontId="43" fillId="0" borderId="6" xfId="0" applyNumberFormat="1" applyFont="1" applyFill="1" applyBorder="1" applyAlignment="1" applyProtection="1">
      <alignment vertical="center" wrapText="1"/>
      <protection locked="0"/>
    </xf>
    <xf numFmtId="49" fontId="43" fillId="6" borderId="61" xfId="0" applyNumberFormat="1" applyFont="1" applyFill="1" applyBorder="1" applyAlignment="1" applyProtection="1">
      <alignment vertical="center" wrapText="1"/>
      <protection locked="0"/>
    </xf>
    <xf numFmtId="49" fontId="43" fillId="0" borderId="43" xfId="0" applyNumberFormat="1" applyFont="1" applyFill="1" applyBorder="1" applyAlignment="1" applyProtection="1">
      <alignment vertical="center" wrapText="1"/>
      <protection locked="0"/>
    </xf>
    <xf numFmtId="0" fontId="43" fillId="5" borderId="29" xfId="0" applyFont="1" applyFill="1" applyBorder="1" applyAlignment="1" applyProtection="1">
      <alignment vertical="center" wrapText="1"/>
    </xf>
    <xf numFmtId="0" fontId="43" fillId="0" borderId="73" xfId="0" applyFont="1" applyFill="1" applyBorder="1" applyAlignment="1" applyProtection="1">
      <alignment vertical="center" wrapText="1"/>
      <protection locked="0"/>
    </xf>
    <xf numFmtId="0" fontId="43" fillId="5" borderId="92" xfId="0" applyFont="1" applyFill="1" applyBorder="1" applyAlignment="1" applyProtection="1">
      <alignment vertical="center" wrapText="1"/>
    </xf>
    <xf numFmtId="0" fontId="43" fillId="6" borderId="40" xfId="0" applyFont="1" applyFill="1" applyBorder="1" applyAlignment="1" applyProtection="1">
      <alignment vertical="center" wrapText="1"/>
      <protection locked="0"/>
    </xf>
    <xf numFmtId="0" fontId="43" fillId="6" borderId="73" xfId="0" applyFont="1" applyFill="1" applyBorder="1" applyAlignment="1" applyProtection="1">
      <alignment vertical="center" wrapText="1"/>
      <protection locked="0"/>
    </xf>
    <xf numFmtId="0" fontId="51" fillId="6" borderId="1" xfId="0" applyFont="1" applyFill="1" applyBorder="1" applyAlignment="1" applyProtection="1">
      <alignment vertical="center" wrapText="1"/>
      <protection locked="0"/>
    </xf>
    <xf numFmtId="0" fontId="51" fillId="6" borderId="1" xfId="0" applyFont="1" applyFill="1" applyBorder="1" applyAlignment="1" applyProtection="1">
      <alignment vertical="center" wrapText="1" shrinkToFit="1"/>
      <protection locked="0"/>
    </xf>
    <xf numFmtId="0" fontId="43" fillId="5" borderId="21" xfId="0" applyFont="1" applyFill="1" applyBorder="1" applyAlignment="1" applyProtection="1">
      <alignment vertical="center" wrapText="1"/>
    </xf>
    <xf numFmtId="184" fontId="43" fillId="0" borderId="38" xfId="0" applyNumberFormat="1" applyFont="1" applyFill="1" applyBorder="1" applyAlignment="1" applyProtection="1">
      <alignment vertical="center" wrapText="1"/>
      <protection locked="0"/>
    </xf>
    <xf numFmtId="0" fontId="43" fillId="5" borderId="5" xfId="0" applyFont="1" applyFill="1" applyBorder="1" applyAlignment="1" applyProtection="1">
      <alignment vertical="center" wrapText="1"/>
    </xf>
    <xf numFmtId="0" fontId="43" fillId="5" borderId="25" xfId="0" applyFont="1" applyFill="1" applyBorder="1" applyAlignment="1" applyProtection="1">
      <alignment vertical="center" wrapText="1"/>
    </xf>
    <xf numFmtId="0" fontId="43" fillId="0" borderId="6" xfId="0" applyFont="1" applyFill="1" applyBorder="1" applyAlignment="1" applyProtection="1">
      <alignment vertical="center" wrapText="1"/>
      <protection locked="0"/>
    </xf>
    <xf numFmtId="0" fontId="43" fillId="0" borderId="1" xfId="0" applyFont="1" applyFill="1" applyBorder="1" applyAlignment="1" applyProtection="1">
      <alignment vertical="center" wrapText="1"/>
      <protection locked="0"/>
    </xf>
    <xf numFmtId="0" fontId="43" fillId="0" borderId="43"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xf>
    <xf numFmtId="0" fontId="48" fillId="5" borderId="37" xfId="0" applyFont="1" applyFill="1" applyBorder="1" applyAlignment="1" applyProtection="1">
      <alignment vertical="center"/>
    </xf>
    <xf numFmtId="0" fontId="48" fillId="5" borderId="79" xfId="0" applyFont="1" applyFill="1" applyBorder="1" applyAlignment="1" applyProtection="1">
      <alignment vertical="center" wrapText="1"/>
    </xf>
    <xf numFmtId="0" fontId="48" fillId="6" borderId="37" xfId="0" applyFont="1" applyFill="1" applyBorder="1" applyAlignment="1" applyProtection="1">
      <alignment vertical="center" wrapText="1"/>
      <protection locked="0"/>
    </xf>
    <xf numFmtId="0" fontId="48" fillId="6" borderId="79" xfId="0" applyFont="1" applyFill="1" applyBorder="1" applyAlignment="1" applyProtection="1">
      <alignment vertical="center" wrapText="1"/>
      <protection locked="0"/>
    </xf>
    <xf numFmtId="0" fontId="43" fillId="5" borderId="6" xfId="0" applyFont="1" applyFill="1" applyBorder="1" applyAlignment="1" applyProtection="1">
      <alignment vertical="center" wrapText="1"/>
      <protection locked="0"/>
    </xf>
    <xf numFmtId="184" fontId="43" fillId="0" borderId="43" xfId="0" applyNumberFormat="1" applyFont="1" applyFill="1" applyBorder="1" applyAlignment="1" applyProtection="1">
      <alignment vertical="center"/>
      <protection locked="0"/>
    </xf>
    <xf numFmtId="0" fontId="43" fillId="5" borderId="28" xfId="0" applyFont="1" applyFill="1" applyBorder="1" applyAlignment="1" applyProtection="1">
      <alignment vertical="center" wrapText="1"/>
    </xf>
    <xf numFmtId="0" fontId="43" fillId="6" borderId="34" xfId="0" applyFont="1" applyFill="1" applyBorder="1" applyAlignment="1" applyProtection="1">
      <alignment vertical="center" wrapText="1"/>
      <protection locked="0"/>
    </xf>
    <xf numFmtId="0" fontId="43" fillId="6" borderId="50" xfId="0" applyFont="1" applyFill="1" applyBorder="1" applyAlignment="1" applyProtection="1">
      <alignment vertical="center" wrapText="1"/>
      <protection locked="0"/>
    </xf>
    <xf numFmtId="184" fontId="43" fillId="0" borderId="31" xfId="0" applyNumberFormat="1" applyFont="1" applyFill="1" applyBorder="1" applyAlignment="1" applyProtection="1">
      <alignment vertical="center"/>
      <protection locked="0"/>
    </xf>
    <xf numFmtId="179" fontId="43" fillId="5" borderId="0" xfId="0" applyNumberFormat="1" applyFont="1" applyFill="1" applyAlignment="1" applyProtection="1">
      <alignment horizontal="left" vertical="center"/>
      <protection locked="0"/>
    </xf>
    <xf numFmtId="0" fontId="43" fillId="0" borderId="0" xfId="0" applyFont="1" applyAlignment="1" applyProtection="1">
      <alignment horizontal="left" vertical="center"/>
      <protection locked="0"/>
    </xf>
    <xf numFmtId="0" fontId="40" fillId="6" borderId="79" xfId="0" applyFont="1" applyFill="1" applyBorder="1" applyAlignment="1" applyProtection="1">
      <alignment horizontal="left" vertical="center"/>
      <protection locked="0"/>
    </xf>
    <xf numFmtId="179" fontId="40" fillId="5" borderId="0" xfId="0" applyNumberFormat="1" applyFont="1" applyFill="1" applyAlignment="1" applyProtection="1">
      <alignment horizontal="left" vertical="center"/>
      <protection locked="0"/>
    </xf>
    <xf numFmtId="0" fontId="40" fillId="0" borderId="0" xfId="0" applyFont="1" applyAlignment="1" applyProtection="1">
      <alignment horizontal="left" vertical="center"/>
      <protection locked="0"/>
    </xf>
    <xf numFmtId="0" fontId="40" fillId="6" borderId="15" xfId="0" applyNumberFormat="1" applyFont="1" applyFill="1" applyBorder="1" applyAlignment="1" applyProtection="1">
      <alignment horizontal="left" vertical="center"/>
      <protection locked="0"/>
    </xf>
    <xf numFmtId="0" fontId="40" fillId="6" borderId="53" xfId="0" applyNumberFormat="1" applyFont="1" applyFill="1" applyBorder="1" applyAlignment="1" applyProtection="1">
      <alignment horizontal="left" vertical="center"/>
      <protection locked="0"/>
    </xf>
    <xf numFmtId="0" fontId="42" fillId="5" borderId="55" xfId="0" applyFont="1" applyFill="1" applyBorder="1" applyAlignment="1" applyProtection="1">
      <alignment horizontal="left" vertical="center" wrapText="1"/>
      <protection locked="0"/>
    </xf>
    <xf numFmtId="0" fontId="40" fillId="5" borderId="15" xfId="0" applyFont="1" applyFill="1" applyBorder="1" applyAlignment="1" applyProtection="1">
      <alignment horizontal="left" vertical="center"/>
      <protection locked="0"/>
    </xf>
    <xf numFmtId="0" fontId="40" fillId="0" borderId="1" xfId="0" applyNumberFormat="1"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wrapText="1"/>
      <protection locked="0"/>
    </xf>
    <xf numFmtId="0" fontId="40" fillId="5" borderId="73"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177" fontId="40" fillId="2" borderId="31" xfId="1" applyNumberFormat="1" applyFont="1" applyFill="1" applyBorder="1" applyAlignment="1" applyProtection="1">
      <alignment horizontal="left" vertical="center"/>
      <protection locked="0"/>
    </xf>
    <xf numFmtId="0" fontId="40" fillId="5" borderId="14" xfId="0" applyFont="1" applyFill="1" applyBorder="1" applyAlignment="1" applyProtection="1">
      <alignment horizontal="left" vertical="center"/>
    </xf>
    <xf numFmtId="177" fontId="43" fillId="6" borderId="6" xfId="1" applyNumberFormat="1" applyFont="1" applyFill="1" applyBorder="1" applyAlignment="1" applyProtection="1">
      <alignment horizontal="left" vertical="center"/>
      <protection locked="0"/>
    </xf>
    <xf numFmtId="0" fontId="49" fillId="0" borderId="31" xfId="1" applyNumberFormat="1" applyFont="1" applyFill="1" applyBorder="1" applyAlignment="1" applyProtection="1">
      <alignment horizontal="left" vertical="center"/>
      <protection locked="0"/>
    </xf>
    <xf numFmtId="0" fontId="40" fillId="0" borderId="0" xfId="0" applyFont="1" applyAlignment="1" applyProtection="1">
      <alignment horizontal="left" vertical="center" wrapText="1"/>
      <protection locked="0"/>
    </xf>
    <xf numFmtId="184" fontId="57" fillId="0" borderId="1" xfId="0" applyNumberFormat="1" applyFont="1" applyFill="1" applyBorder="1" applyAlignment="1" applyProtection="1">
      <alignment horizontal="left" vertical="center" shrinkToFit="1"/>
      <protection locked="0"/>
    </xf>
    <xf numFmtId="0" fontId="49" fillId="0" borderId="6" xfId="1" applyNumberFormat="1" applyFont="1" applyFill="1" applyBorder="1" applyAlignment="1" applyProtection="1">
      <alignment horizontal="left" vertical="center"/>
      <protection locked="0"/>
    </xf>
    <xf numFmtId="0" fontId="49" fillId="0" borderId="43" xfId="1" applyNumberFormat="1" applyFont="1" applyFill="1" applyBorder="1" applyAlignment="1" applyProtection="1">
      <alignment horizontal="left" vertical="center"/>
      <protection locked="0"/>
    </xf>
    <xf numFmtId="0" fontId="49" fillId="0" borderId="34" xfId="1" applyNumberFormat="1" applyFont="1" applyFill="1" applyBorder="1" applyAlignment="1" applyProtection="1">
      <alignment horizontal="left" vertical="center"/>
      <protection locked="0"/>
    </xf>
    <xf numFmtId="181" fontId="40" fillId="0" borderId="6" xfId="0" applyNumberFormat="1" applyFont="1" applyFill="1" applyBorder="1" applyAlignment="1" applyProtection="1">
      <alignment horizontal="left" vertical="center"/>
      <protection locked="0"/>
    </xf>
    <xf numFmtId="0" fontId="49" fillId="0" borderId="58" xfId="1" applyNumberFormat="1" applyFont="1" applyFill="1" applyBorder="1" applyAlignment="1" applyProtection="1">
      <alignment horizontal="left" vertical="center"/>
      <protection locked="0"/>
    </xf>
    <xf numFmtId="177" fontId="43" fillId="0" borderId="31" xfId="1" applyNumberFormat="1" applyFont="1" applyFill="1" applyBorder="1" applyAlignment="1" applyProtection="1">
      <alignment horizontal="left" vertical="center"/>
      <protection locked="0"/>
    </xf>
    <xf numFmtId="0" fontId="43" fillId="5" borderId="82" xfId="0" applyFont="1" applyFill="1" applyBorder="1" applyAlignment="1" applyProtection="1">
      <alignment horizontal="left" vertical="center"/>
      <protection locked="0"/>
    </xf>
    <xf numFmtId="176" fontId="47" fillId="0" borderId="31" xfId="1" applyNumberFormat="1" applyFont="1" applyFill="1" applyBorder="1" applyAlignment="1" applyProtection="1">
      <alignment horizontal="left" vertical="center"/>
      <protection locked="0"/>
    </xf>
    <xf numFmtId="10" fontId="43" fillId="0" borderId="6" xfId="1" applyNumberFormat="1" applyFont="1" applyFill="1" applyBorder="1" applyAlignment="1" applyProtection="1">
      <alignment horizontal="left" vertical="center"/>
      <protection locked="0"/>
    </xf>
    <xf numFmtId="176" fontId="40" fillId="0" borderId="6" xfId="1" applyNumberFormat="1" applyFont="1" applyFill="1" applyBorder="1" applyAlignment="1" applyProtection="1">
      <alignment horizontal="left" vertical="center"/>
      <protection locked="0"/>
    </xf>
    <xf numFmtId="181" fontId="43" fillId="0" borderId="31" xfId="0" applyNumberFormat="1" applyFont="1" applyFill="1" applyBorder="1" applyAlignment="1" applyProtection="1">
      <alignment horizontal="left" vertical="center"/>
      <protection locked="0"/>
    </xf>
    <xf numFmtId="0" fontId="118" fillId="5" borderId="0" xfId="0" applyFont="1" applyFill="1" applyAlignment="1" applyProtection="1">
      <alignment horizontal="left" vertical="center"/>
      <protection locked="0"/>
    </xf>
    <xf numFmtId="176" fontId="40" fillId="0" borderId="58" xfId="1" applyNumberFormat="1" applyFont="1" applyFill="1" applyBorder="1" applyAlignment="1" applyProtection="1">
      <alignment horizontal="left" vertical="center"/>
      <protection locked="0"/>
    </xf>
    <xf numFmtId="181" fontId="43" fillId="0" borderId="6" xfId="0" applyNumberFormat="1" applyFont="1" applyFill="1" applyBorder="1" applyAlignment="1" applyProtection="1">
      <alignment horizontal="left" vertical="center"/>
      <protection locked="0"/>
    </xf>
    <xf numFmtId="181" fontId="43" fillId="0" borderId="43" xfId="0" applyNumberFormat="1" applyFont="1" applyFill="1" applyBorder="1" applyAlignment="1" applyProtection="1">
      <alignment horizontal="left" vertical="center"/>
      <protection locked="0"/>
    </xf>
    <xf numFmtId="0" fontId="40" fillId="0" borderId="15" xfId="0" applyNumberFormat="1" applyFont="1" applyFill="1" applyBorder="1" applyAlignment="1" applyProtection="1">
      <alignment horizontal="left" vertical="center"/>
      <protection locked="0"/>
    </xf>
    <xf numFmtId="0" fontId="43" fillId="6" borderId="31" xfId="0" applyFont="1" applyFill="1" applyBorder="1" applyAlignment="1" applyProtection="1">
      <alignment horizontal="left" vertical="center"/>
      <protection locked="0"/>
    </xf>
    <xf numFmtId="9" fontId="43" fillId="0" borderId="43" xfId="0" applyNumberFormat="1" applyFont="1" applyFill="1" applyBorder="1" applyAlignment="1" applyProtection="1">
      <alignment horizontal="left" vertical="center"/>
      <protection locked="0"/>
    </xf>
    <xf numFmtId="0" fontId="40" fillId="0" borderId="6" xfId="0" applyFont="1" applyBorder="1" applyAlignment="1" applyProtection="1">
      <alignment horizontal="left" vertical="center"/>
      <protection locked="0"/>
    </xf>
    <xf numFmtId="10" fontId="40" fillId="0" borderId="58" xfId="0" applyNumberFormat="1" applyFont="1" applyFill="1" applyBorder="1" applyAlignment="1" applyProtection="1">
      <alignment horizontal="left" vertical="center"/>
      <protection locked="0"/>
    </xf>
    <xf numFmtId="10" fontId="40" fillId="2" borderId="58" xfId="0" applyNumberFormat="1" applyFont="1" applyFill="1" applyBorder="1" applyAlignment="1" applyProtection="1">
      <alignment horizontal="left" vertical="center"/>
      <protection locked="0"/>
    </xf>
    <xf numFmtId="0" fontId="102" fillId="5" borderId="0" xfId="0" applyFont="1" applyFill="1" applyAlignment="1" applyProtection="1">
      <alignment horizontal="left" vertical="center"/>
      <protection locked="0"/>
    </xf>
    <xf numFmtId="0" fontId="40" fillId="0" borderId="58" xfId="0" applyFont="1" applyFill="1" applyBorder="1" applyAlignment="1" applyProtection="1">
      <alignment horizontal="left" vertical="center"/>
      <protection locked="0"/>
    </xf>
    <xf numFmtId="0" fontId="43" fillId="0" borderId="0" xfId="0" applyFont="1" applyFill="1" applyAlignment="1" applyProtection="1">
      <alignment horizontal="left" vertical="center"/>
      <protection locked="0"/>
    </xf>
    <xf numFmtId="0" fontId="40" fillId="5" borderId="38" xfId="0" applyFont="1" applyFill="1" applyBorder="1" applyAlignment="1" applyProtection="1">
      <alignment horizontal="left" vertical="center"/>
    </xf>
    <xf numFmtId="10" fontId="40" fillId="0" borderId="43" xfId="0" applyNumberFormat="1" applyFont="1" applyFill="1" applyBorder="1" applyAlignment="1" applyProtection="1">
      <alignment horizontal="left" vertical="center"/>
      <protection locked="0"/>
    </xf>
    <xf numFmtId="0" fontId="40" fillId="0" borderId="34" xfId="0" applyFont="1" applyFill="1" applyBorder="1" applyAlignment="1" applyProtection="1">
      <alignment horizontal="left" vertical="center"/>
      <protection locked="0"/>
    </xf>
    <xf numFmtId="10" fontId="40" fillId="0" borderId="50" xfId="0" applyNumberFormat="1" applyFont="1" applyFill="1" applyBorder="1" applyAlignment="1" applyProtection="1">
      <alignment horizontal="left" vertical="center"/>
      <protection locked="0"/>
    </xf>
    <xf numFmtId="0" fontId="40" fillId="0" borderId="31" xfId="0" applyFont="1" applyBorder="1" applyAlignment="1" applyProtection="1">
      <alignment horizontal="left" vertical="center"/>
      <protection locked="0"/>
    </xf>
    <xf numFmtId="0" fontId="40" fillId="2" borderId="6" xfId="0" applyFont="1" applyFill="1" applyBorder="1" applyAlignment="1" applyProtection="1">
      <alignment horizontal="left" vertical="center"/>
      <protection locked="0"/>
    </xf>
    <xf numFmtId="0" fontId="40" fillId="6" borderId="6" xfId="0" applyFont="1" applyFill="1" applyBorder="1" applyAlignment="1" applyProtection="1">
      <alignment horizontal="left" vertical="center"/>
      <protection locked="0"/>
    </xf>
    <xf numFmtId="0" fontId="40" fillId="0" borderId="7" xfId="0" applyFont="1" applyBorder="1" applyAlignment="1" applyProtection="1">
      <alignment horizontal="left" vertical="center" wrapText="1"/>
      <protection locked="0"/>
    </xf>
    <xf numFmtId="10" fontId="40" fillId="0" borderId="6" xfId="0" applyNumberFormat="1" applyFont="1" applyBorder="1" applyAlignment="1" applyProtection="1">
      <alignment horizontal="left" vertical="center"/>
      <protection locked="0"/>
    </xf>
    <xf numFmtId="183" fontId="40" fillId="0" borderId="6" xfId="0" applyNumberFormat="1" applyFont="1" applyBorder="1" applyAlignment="1" applyProtection="1">
      <alignment horizontal="left" vertical="center"/>
      <protection locked="0"/>
    </xf>
    <xf numFmtId="181" fontId="40" fillId="0" borderId="43" xfId="0" applyNumberFormat="1" applyFont="1" applyBorder="1" applyAlignment="1" applyProtection="1">
      <alignment horizontal="left" vertical="center"/>
      <protection locked="0"/>
    </xf>
    <xf numFmtId="0" fontId="40" fillId="0" borderId="8" xfId="0" applyFont="1" applyBorder="1" applyAlignment="1" applyProtection="1">
      <alignment horizontal="left" vertical="center" wrapText="1"/>
      <protection locked="0"/>
    </xf>
    <xf numFmtId="0" fontId="40" fillId="0" borderId="43" xfId="0" applyFont="1" applyBorder="1" applyAlignment="1" applyProtection="1">
      <alignment horizontal="left" vertical="center"/>
      <protection locked="0"/>
    </xf>
    <xf numFmtId="0" fontId="43" fillId="0" borderId="0" xfId="0" applyFont="1" applyAlignment="1" applyProtection="1">
      <alignment horizontal="left" vertical="center" wrapText="1"/>
      <protection locked="0"/>
    </xf>
    <xf numFmtId="179" fontId="43" fillId="0" borderId="0" xfId="0" applyNumberFormat="1" applyFont="1" applyAlignment="1" applyProtection="1">
      <alignment horizontal="left" vertical="center"/>
      <protection locked="0"/>
    </xf>
    <xf numFmtId="0" fontId="221" fillId="8" borderId="112" xfId="0" applyFont="1" applyFill="1" applyBorder="1" applyAlignment="1" applyProtection="1">
      <alignment horizontal="left" vertical="center" wrapText="1"/>
      <protection locked="0"/>
    </xf>
    <xf numFmtId="0" fontId="221" fillId="8" borderId="112" xfId="0" applyNumberFormat="1" applyFont="1" applyFill="1" applyBorder="1" applyAlignment="1" applyProtection="1">
      <alignment horizontal="left" vertical="center" wrapText="1"/>
      <protection locked="0"/>
    </xf>
    <xf numFmtId="0" fontId="221" fillId="8" borderId="113" xfId="0" applyFont="1" applyFill="1" applyBorder="1" applyAlignment="1" applyProtection="1">
      <alignment horizontal="left" vertical="center" wrapText="1"/>
      <protection locked="0"/>
    </xf>
    <xf numFmtId="0" fontId="222" fillId="8" borderId="0" xfId="0" applyNumberFormat="1" applyFont="1" applyFill="1" applyAlignment="1" applyProtection="1">
      <alignment horizontal="left" vertical="center"/>
      <protection locked="0"/>
    </xf>
    <xf numFmtId="0" fontId="222" fillId="8" borderId="0" xfId="0" applyFont="1" applyFill="1" applyAlignment="1" applyProtection="1">
      <alignment horizontal="left" vertical="center"/>
      <protection locked="0"/>
    </xf>
    <xf numFmtId="0" fontId="222" fillId="0" borderId="0" xfId="0" applyFont="1" applyAlignment="1" applyProtection="1">
      <alignment horizontal="left" vertical="center"/>
      <protection locked="0"/>
    </xf>
    <xf numFmtId="0" fontId="42" fillId="5" borderId="0" xfId="0" applyFont="1" applyFill="1" applyBorder="1" applyAlignment="1" applyProtection="1">
      <alignment horizontal="left" vertical="center" wrapText="1"/>
    </xf>
    <xf numFmtId="0" fontId="40" fillId="8" borderId="0" xfId="0" applyFont="1" applyFill="1" applyAlignment="1" applyProtection="1">
      <alignment horizontal="left" vertical="center"/>
      <protection locked="0"/>
    </xf>
    <xf numFmtId="49" fontId="40" fillId="5" borderId="0" xfId="0" applyNumberFormat="1" applyFont="1" applyFill="1" applyBorder="1" applyAlignment="1" applyProtection="1">
      <alignment horizontal="left" vertical="center" wrapText="1"/>
      <protection locked="0"/>
    </xf>
    <xf numFmtId="0" fontId="40" fillId="5" borderId="0" xfId="0"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xf>
    <xf numFmtId="0" fontId="221" fillId="8" borderId="0" xfId="0" applyFont="1" applyFill="1" applyBorder="1" applyAlignment="1" applyProtection="1">
      <alignment horizontal="left" vertical="center" wrapText="1"/>
      <protection locked="0"/>
    </xf>
    <xf numFmtId="0" fontId="221" fillId="8" borderId="0" xfId="0" applyNumberFormat="1" applyFont="1" applyFill="1" applyBorder="1" applyAlignment="1" applyProtection="1">
      <alignment horizontal="left" vertical="center" wrapText="1"/>
      <protection locked="0"/>
    </xf>
    <xf numFmtId="0" fontId="221" fillId="8" borderId="25" xfId="0" applyNumberFormat="1" applyFont="1" applyFill="1" applyBorder="1" applyAlignment="1" applyProtection="1">
      <alignment horizontal="left" vertical="center" wrapText="1"/>
      <protection locked="0"/>
    </xf>
    <xf numFmtId="0" fontId="222" fillId="8" borderId="0" xfId="0" applyFont="1" applyFill="1" applyAlignment="1" applyProtection="1">
      <alignment horizontal="left" vertical="center" wrapText="1"/>
      <protection locked="0"/>
    </xf>
    <xf numFmtId="0" fontId="222" fillId="8" borderId="0" xfId="0" applyNumberFormat="1" applyFont="1" applyFill="1" applyAlignment="1" applyProtection="1">
      <alignment horizontal="left" vertical="center" wrapText="1"/>
      <protection locked="0"/>
    </xf>
    <xf numFmtId="0" fontId="39" fillId="5" borderId="116" xfId="0" applyFont="1" applyFill="1" applyBorder="1" applyAlignment="1" applyProtection="1">
      <alignment horizontal="left" vertical="center"/>
    </xf>
    <xf numFmtId="0" fontId="40" fillId="8" borderId="0" xfId="0" applyFont="1" applyFill="1" applyAlignment="1" applyProtection="1">
      <alignment horizontal="left" vertical="center" wrapText="1"/>
      <protection locked="0"/>
    </xf>
    <xf numFmtId="0" fontId="40" fillId="8" borderId="0" xfId="0" applyNumberFormat="1" applyFont="1" applyFill="1" applyAlignment="1" applyProtection="1">
      <alignment horizontal="left" vertical="center" wrapText="1"/>
      <protection locked="0"/>
    </xf>
    <xf numFmtId="0" fontId="40" fillId="8" borderId="0" xfId="0" applyNumberFormat="1" applyFont="1" applyFill="1" applyAlignment="1" applyProtection="1">
      <alignment horizontal="left" vertical="center"/>
      <protection locked="0"/>
    </xf>
    <xf numFmtId="0" fontId="40" fillId="0" borderId="0" xfId="0" applyFont="1" applyFill="1" applyAlignment="1" applyProtection="1">
      <alignment horizontal="left" vertical="center" wrapText="1"/>
      <protection locked="0"/>
    </xf>
    <xf numFmtId="0" fontId="40" fillId="0" borderId="0" xfId="0" applyNumberFormat="1" applyFont="1" applyFill="1" applyAlignment="1" applyProtection="1">
      <alignment horizontal="left" vertical="center" wrapText="1"/>
      <protection locked="0"/>
    </xf>
    <xf numFmtId="0" fontId="40" fillId="5" borderId="18" xfId="0" applyFont="1" applyFill="1" applyBorder="1" applyAlignment="1" applyProtection="1">
      <alignment horizontal="left" vertical="center" wrapText="1"/>
    </xf>
    <xf numFmtId="0" fontId="99" fillId="2" borderId="18" xfId="0" applyFont="1" applyFill="1" applyBorder="1" applyAlignment="1" applyProtection="1">
      <alignment horizontal="left" vertical="center"/>
      <protection locked="0"/>
    </xf>
    <xf numFmtId="0" fontId="42" fillId="5" borderId="2" xfId="0" applyFont="1" applyFill="1" applyBorder="1" applyAlignment="1" applyProtection="1">
      <alignment horizontal="left" vertical="center"/>
    </xf>
    <xf numFmtId="0" fontId="40" fillId="5" borderId="17" xfId="0" applyFont="1" applyFill="1" applyBorder="1" applyAlignment="1" applyProtection="1">
      <alignment horizontal="left" vertical="center"/>
    </xf>
    <xf numFmtId="0" fontId="42" fillId="5" borderId="60" xfId="0" applyFont="1" applyFill="1" applyBorder="1" applyAlignment="1" applyProtection="1">
      <alignment horizontal="left" vertical="center"/>
    </xf>
    <xf numFmtId="0" fontId="40" fillId="5" borderId="0" xfId="0" applyFont="1" applyFill="1" applyAlignment="1" applyProtection="1">
      <alignment horizontal="left" vertical="center"/>
    </xf>
    <xf numFmtId="179" fontId="40" fillId="5" borderId="18" xfId="0" applyNumberFormat="1" applyFont="1" applyFill="1" applyBorder="1" applyAlignment="1" applyProtection="1">
      <alignment horizontal="left" vertical="center"/>
    </xf>
    <xf numFmtId="0" fontId="42" fillId="5" borderId="5" xfId="0" applyFont="1" applyFill="1" applyBorder="1" applyAlignment="1" applyProtection="1">
      <alignment horizontal="left" vertical="center"/>
    </xf>
    <xf numFmtId="0" fontId="40" fillId="5" borderId="11" xfId="0" applyFont="1" applyFill="1" applyBorder="1" applyAlignment="1" applyProtection="1">
      <alignment horizontal="left" vertical="center"/>
    </xf>
    <xf numFmtId="0" fontId="99" fillId="5" borderId="11" xfId="0" applyFont="1" applyFill="1" applyBorder="1" applyAlignment="1" applyProtection="1">
      <alignment horizontal="left" vertical="center"/>
    </xf>
    <xf numFmtId="0" fontId="99" fillId="5" borderId="31" xfId="0" applyFont="1" applyFill="1" applyBorder="1" applyAlignment="1" applyProtection="1">
      <alignment horizontal="left" vertical="center"/>
    </xf>
    <xf numFmtId="0" fontId="40" fillId="5" borderId="13" xfId="0" applyFont="1" applyFill="1" applyBorder="1" applyAlignment="1" applyProtection="1">
      <alignment horizontal="left" vertical="center"/>
    </xf>
    <xf numFmtId="0" fontId="50" fillId="5" borderId="38" xfId="1" applyFont="1" applyFill="1" applyBorder="1" applyAlignment="1" applyProtection="1">
      <alignment horizontal="left" vertical="center"/>
    </xf>
    <xf numFmtId="0" fontId="42" fillId="5" borderId="39" xfId="0" applyFont="1" applyFill="1" applyBorder="1" applyAlignment="1" applyProtection="1">
      <alignment horizontal="left" vertical="center"/>
    </xf>
    <xf numFmtId="0" fontId="43" fillId="5" borderId="41"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40" fillId="5" borderId="61" xfId="0" applyFont="1" applyFill="1" applyBorder="1" applyAlignment="1" applyProtection="1">
      <alignment horizontal="left" vertical="center"/>
    </xf>
    <xf numFmtId="0" fontId="40" fillId="5" borderId="43" xfId="0" applyFont="1" applyFill="1" applyBorder="1" applyAlignment="1" applyProtection="1">
      <alignment horizontal="left" vertical="center"/>
    </xf>
    <xf numFmtId="0" fontId="40" fillId="5" borderId="44" xfId="0" applyFont="1" applyFill="1" applyBorder="1" applyAlignment="1" applyProtection="1">
      <alignment horizontal="left" vertical="center"/>
    </xf>
    <xf numFmtId="0" fontId="43" fillId="5" borderId="62" xfId="0" applyFont="1" applyFill="1" applyBorder="1" applyAlignment="1" applyProtection="1">
      <alignment horizontal="left" vertical="center"/>
    </xf>
    <xf numFmtId="0" fontId="40" fillId="5" borderId="55" xfId="0" applyFont="1" applyFill="1" applyBorder="1" applyAlignment="1" applyProtection="1">
      <alignment horizontal="left" vertical="center"/>
    </xf>
    <xf numFmtId="0" fontId="40" fillId="5" borderId="67" xfId="0" applyFont="1" applyFill="1" applyBorder="1" applyAlignment="1" applyProtection="1">
      <alignment horizontal="left" vertical="center"/>
    </xf>
    <xf numFmtId="181" fontId="106" fillId="5" borderId="81" xfId="0" applyNumberFormat="1" applyFont="1" applyFill="1" applyBorder="1" applyAlignment="1" applyProtection="1">
      <alignment horizontal="left" vertical="center"/>
    </xf>
    <xf numFmtId="0" fontId="40" fillId="5" borderId="64" xfId="0" applyFont="1" applyFill="1" applyBorder="1" applyAlignment="1" applyProtection="1">
      <alignment horizontal="left" vertical="center"/>
    </xf>
    <xf numFmtId="0" fontId="40" fillId="5" borderId="41" xfId="0" applyFont="1" applyFill="1" applyBorder="1" applyAlignment="1" applyProtection="1">
      <alignment horizontal="left" vertical="center"/>
    </xf>
    <xf numFmtId="0" fontId="100" fillId="0" borderId="7" xfId="0" applyFont="1" applyBorder="1" applyAlignment="1" applyProtection="1">
      <alignment horizontal="left" vertical="center"/>
      <protection locked="0"/>
    </xf>
    <xf numFmtId="0" fontId="100" fillId="0" borderId="1" xfId="0" applyFont="1" applyFill="1" applyBorder="1" applyAlignment="1" applyProtection="1">
      <alignment horizontal="left" vertical="center"/>
      <protection locked="0"/>
    </xf>
    <xf numFmtId="0" fontId="100" fillId="0" borderId="6" xfId="0" applyFont="1" applyFill="1" applyBorder="1" applyAlignment="1" applyProtection="1">
      <alignment horizontal="left" vertical="center"/>
      <protection locked="0"/>
    </xf>
    <xf numFmtId="0" fontId="40" fillId="6" borderId="41" xfId="0" applyFont="1" applyFill="1" applyBorder="1" applyAlignment="1" applyProtection="1">
      <alignment horizontal="left" vertical="center"/>
      <protection locked="0"/>
    </xf>
    <xf numFmtId="0" fontId="144" fillId="5" borderId="0" xfId="0" applyFont="1" applyFill="1" applyAlignment="1" applyProtection="1">
      <alignment horizontal="left" vertical="center"/>
    </xf>
    <xf numFmtId="0" fontId="42" fillId="5" borderId="23" xfId="0" applyFont="1" applyFill="1" applyBorder="1" applyAlignment="1" applyProtection="1">
      <alignment horizontal="left" vertical="center"/>
    </xf>
    <xf numFmtId="0" fontId="43" fillId="6" borderId="64" xfId="0" applyFont="1" applyFill="1" applyBorder="1" applyAlignment="1" applyProtection="1">
      <alignment horizontal="left" vertical="center"/>
    </xf>
    <xf numFmtId="0" fontId="42" fillId="6" borderId="1" xfId="0" applyFont="1" applyFill="1" applyBorder="1" applyAlignment="1" applyProtection="1">
      <alignment horizontal="left" vertical="center"/>
      <protection locked="0"/>
    </xf>
    <xf numFmtId="0" fontId="43" fillId="5" borderId="28" xfId="0" applyFont="1" applyFill="1" applyBorder="1" applyAlignment="1" applyProtection="1">
      <alignment horizontal="left" vertical="center"/>
    </xf>
    <xf numFmtId="0" fontId="43" fillId="5" borderId="31" xfId="0" applyFont="1" applyFill="1" applyBorder="1" applyAlignment="1" applyProtection="1">
      <alignment horizontal="left" vertical="center"/>
    </xf>
    <xf numFmtId="0" fontId="40" fillId="5" borderId="24" xfId="0" applyFont="1" applyFill="1" applyBorder="1" applyAlignment="1" applyProtection="1">
      <alignment horizontal="left" vertical="center"/>
    </xf>
    <xf numFmtId="0" fontId="42" fillId="5" borderId="64" xfId="0" applyFont="1" applyFill="1" applyBorder="1" applyAlignment="1" applyProtection="1">
      <alignment horizontal="left" vertical="center"/>
    </xf>
    <xf numFmtId="181" fontId="40" fillId="5" borderId="64" xfId="0" applyNumberFormat="1" applyFont="1" applyFill="1" applyBorder="1" applyAlignment="1" applyProtection="1">
      <alignment horizontal="left" vertical="center"/>
    </xf>
    <xf numFmtId="0" fontId="43" fillId="0" borderId="6" xfId="0" applyFont="1" applyBorder="1" applyAlignment="1" applyProtection="1">
      <alignment horizontal="left" vertical="center"/>
      <protection locked="0"/>
    </xf>
    <xf numFmtId="0" fontId="40" fillId="5" borderId="27" xfId="0" applyFont="1" applyFill="1" applyBorder="1" applyAlignment="1" applyProtection="1">
      <alignment horizontal="left" vertical="center"/>
    </xf>
    <xf numFmtId="0" fontId="42" fillId="5" borderId="35" xfId="0" applyFont="1" applyFill="1" applyBorder="1" applyAlignment="1" applyProtection="1">
      <alignment horizontal="left" vertical="center"/>
    </xf>
    <xf numFmtId="181" fontId="40" fillId="5" borderId="35" xfId="0" applyNumberFormat="1" applyFont="1" applyFill="1" applyBorder="1" applyAlignment="1" applyProtection="1">
      <alignment horizontal="left" vertical="center"/>
    </xf>
    <xf numFmtId="0" fontId="43" fillId="5" borderId="8" xfId="0" applyFont="1" applyFill="1" applyBorder="1" applyAlignment="1" applyProtection="1">
      <alignment horizontal="left" vertical="center"/>
    </xf>
    <xf numFmtId="0" fontId="43" fillId="0" borderId="43" xfId="0" applyFont="1" applyBorder="1" applyAlignment="1" applyProtection="1">
      <alignment horizontal="left" vertical="center"/>
      <protection locked="0"/>
    </xf>
    <xf numFmtId="0" fontId="42" fillId="0" borderId="31" xfId="0" applyFont="1" applyFill="1" applyBorder="1" applyAlignment="1" applyProtection="1">
      <alignment horizontal="left" vertical="center"/>
      <protection locked="0"/>
    </xf>
    <xf numFmtId="0" fontId="40" fillId="6" borderId="82" xfId="0" applyFont="1" applyFill="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0" borderId="61" xfId="0" applyFont="1" applyFill="1" applyBorder="1" applyAlignment="1" applyProtection="1">
      <alignment horizontal="left" vertical="center"/>
      <protection locked="0"/>
    </xf>
    <xf numFmtId="0" fontId="40" fillId="0" borderId="81" xfId="0" applyFont="1" applyFill="1" applyBorder="1" applyAlignment="1" applyProtection="1">
      <alignment horizontal="left" vertical="center"/>
      <protection locked="0"/>
    </xf>
    <xf numFmtId="0" fontId="100" fillId="0" borderId="4" xfId="0" applyFont="1" applyFill="1" applyBorder="1" applyAlignment="1" applyProtection="1">
      <alignment horizontal="left" vertical="center"/>
      <protection locked="0"/>
    </xf>
    <xf numFmtId="0" fontId="100" fillId="0" borderId="11" xfId="0" applyFont="1" applyFill="1" applyBorder="1" applyAlignment="1" applyProtection="1">
      <alignment horizontal="left" vertical="center"/>
      <protection locked="0"/>
    </xf>
    <xf numFmtId="0" fontId="100" fillId="0" borderId="31" xfId="0" applyFont="1" applyFill="1" applyBorder="1" applyAlignment="1" applyProtection="1">
      <alignment horizontal="left" vertical="center"/>
      <protection locked="0"/>
    </xf>
    <xf numFmtId="0" fontId="43" fillId="5" borderId="39" xfId="0" applyFont="1" applyFill="1" applyBorder="1" applyAlignment="1" applyProtection="1">
      <alignment horizontal="left" vertical="center"/>
    </xf>
    <xf numFmtId="0" fontId="43" fillId="0" borderId="7"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3" fillId="0" borderId="6" xfId="0" applyFont="1" applyFill="1" applyBorder="1" applyAlignment="1" applyProtection="1">
      <alignment horizontal="left" vertical="center"/>
      <protection locked="0"/>
    </xf>
    <xf numFmtId="0" fontId="43" fillId="5" borderId="29" xfId="0" applyFont="1" applyFill="1" applyBorder="1" applyAlignment="1" applyProtection="1">
      <alignment horizontal="left" vertical="center"/>
    </xf>
    <xf numFmtId="0" fontId="43" fillId="0" borderId="8" xfId="0" applyFont="1" applyBorder="1" applyAlignment="1" applyProtection="1">
      <alignment horizontal="left" vertical="center"/>
      <protection locked="0"/>
    </xf>
    <xf numFmtId="0" fontId="43" fillId="0" borderId="61" xfId="0" applyFont="1" applyBorder="1" applyAlignment="1" applyProtection="1">
      <alignment horizontal="left" vertical="center"/>
      <protection locked="0"/>
    </xf>
    <xf numFmtId="0" fontId="118" fillId="5" borderId="0" xfId="0" applyFont="1" applyFill="1" applyAlignment="1" applyProtection="1">
      <alignment horizontal="left" vertical="center"/>
    </xf>
    <xf numFmtId="0" fontId="76" fillId="5" borderId="0" xfId="0" applyFont="1" applyFill="1" applyAlignment="1" applyProtection="1">
      <alignment horizontal="left" vertical="center"/>
    </xf>
    <xf numFmtId="0" fontId="100" fillId="0" borderId="18" xfId="0" applyFont="1" applyFill="1" applyBorder="1" applyAlignment="1" applyProtection="1">
      <alignment horizontal="left" vertical="center"/>
    </xf>
    <xf numFmtId="0" fontId="100" fillId="0" borderId="18"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0" fillId="5" borderId="31" xfId="0" applyFont="1" applyFill="1" applyBorder="1" applyAlignment="1" applyProtection="1">
      <alignment horizontal="left" vertical="center"/>
    </xf>
    <xf numFmtId="0" fontId="42" fillId="5" borderId="3" xfId="0" applyFont="1" applyFill="1" applyBorder="1" applyAlignment="1" applyProtection="1">
      <alignment horizontal="left" vertical="center"/>
    </xf>
    <xf numFmtId="0" fontId="40" fillId="5" borderId="6" xfId="0" applyFont="1" applyFill="1" applyBorder="1" applyAlignment="1" applyProtection="1">
      <alignment horizontal="left" vertical="center"/>
    </xf>
    <xf numFmtId="0" fontId="43" fillId="5" borderId="0" xfId="0" applyNumberFormat="1" applyFont="1" applyFill="1" applyAlignment="1" applyProtection="1">
      <alignment horizontal="left" vertical="center"/>
    </xf>
    <xf numFmtId="0" fontId="42" fillId="5" borderId="56"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43" xfId="0" applyFont="1" applyFill="1" applyBorder="1" applyAlignment="1" applyProtection="1">
      <alignment horizontal="left" vertical="center"/>
    </xf>
    <xf numFmtId="0" fontId="222" fillId="5" borderId="0" xfId="0" applyFont="1" applyFill="1" applyBorder="1" applyAlignment="1" applyProtection="1">
      <alignment horizontal="left" vertical="center"/>
    </xf>
    <xf numFmtId="10" fontId="43" fillId="5" borderId="61" xfId="0" applyNumberFormat="1" applyFont="1" applyFill="1" applyBorder="1" applyAlignment="1" applyProtection="1">
      <alignment horizontal="left" vertical="center"/>
    </xf>
    <xf numFmtId="177" fontId="50" fillId="5" borderId="17" xfId="0" applyNumberFormat="1" applyFont="1" applyFill="1" applyBorder="1" applyAlignment="1" applyProtection="1">
      <alignment horizontal="left" vertical="center" wrapText="1"/>
    </xf>
    <xf numFmtId="177" fontId="49" fillId="5" borderId="1" xfId="0" applyNumberFormat="1" applyFont="1" applyFill="1" applyBorder="1" applyAlignment="1" applyProtection="1">
      <alignment horizontal="left" vertical="center" wrapText="1"/>
    </xf>
    <xf numFmtId="177" fontId="49" fillId="0" borderId="1" xfId="0" applyNumberFormat="1" applyFont="1" applyFill="1" applyBorder="1" applyAlignment="1" applyProtection="1">
      <alignment horizontal="left" vertical="center" wrapText="1"/>
      <protection locked="0"/>
    </xf>
    <xf numFmtId="0" fontId="50" fillId="0" borderId="1" xfId="0" applyFont="1" applyFill="1" applyBorder="1" applyAlignment="1" applyProtection="1">
      <alignment horizontal="left" vertical="center" wrapText="1"/>
      <protection locked="0"/>
    </xf>
    <xf numFmtId="177" fontId="50" fillId="5" borderId="1" xfId="0" applyNumberFormat="1" applyFont="1" applyFill="1" applyBorder="1" applyAlignment="1" applyProtection="1">
      <alignment horizontal="left" vertical="center" wrapText="1"/>
    </xf>
    <xf numFmtId="177" fontId="50" fillId="5" borderId="61" xfId="0" applyNumberFormat="1" applyFont="1" applyFill="1" applyBorder="1" applyAlignment="1" applyProtection="1">
      <alignment horizontal="left" vertical="center" wrapText="1"/>
    </xf>
    <xf numFmtId="177" fontId="50" fillId="5" borderId="0" xfId="0" applyNumberFormat="1" applyFont="1" applyFill="1" applyBorder="1" applyAlignment="1" applyProtection="1">
      <alignment horizontal="left" vertical="center" wrapText="1"/>
    </xf>
    <xf numFmtId="0" fontId="99" fillId="5" borderId="0" xfId="2" applyFont="1" applyFill="1" applyAlignment="1" applyProtection="1">
      <alignment horizontal="left" vertical="center" wrapText="1"/>
    </xf>
    <xf numFmtId="0" fontId="40" fillId="2" borderId="1" xfId="2" applyFont="1" applyFill="1" applyBorder="1" applyAlignment="1" applyProtection="1">
      <alignment horizontal="left" vertical="center" wrapText="1"/>
      <protection locked="0"/>
    </xf>
    <xf numFmtId="177" fontId="49" fillId="0" borderId="6" xfId="0" applyNumberFormat="1" applyFont="1" applyFill="1" applyBorder="1" applyAlignment="1" applyProtection="1">
      <alignment horizontal="left" vertical="center" wrapText="1"/>
      <protection locked="0"/>
    </xf>
    <xf numFmtId="9" fontId="40" fillId="5" borderId="0" xfId="0" applyNumberFormat="1" applyFont="1" applyFill="1" applyBorder="1" applyAlignment="1" applyProtection="1">
      <alignment horizontal="left" vertical="center"/>
    </xf>
    <xf numFmtId="10" fontId="49" fillId="5" borderId="1" xfId="0" applyNumberFormat="1" applyFont="1" applyFill="1" applyBorder="1" applyAlignment="1" applyProtection="1">
      <alignment horizontal="left" vertical="center" wrapText="1"/>
    </xf>
    <xf numFmtId="191" fontId="49" fillId="5" borderId="1" xfId="0" applyNumberFormat="1" applyFont="1" applyFill="1" applyBorder="1" applyAlignment="1" applyProtection="1">
      <alignment horizontal="left" vertical="center" wrapText="1"/>
    </xf>
    <xf numFmtId="10" fontId="48" fillId="5" borderId="2" xfId="0" applyNumberFormat="1" applyFont="1" applyFill="1" applyBorder="1" applyAlignment="1" applyProtection="1">
      <alignment horizontal="left" vertical="center" wrapText="1"/>
    </xf>
    <xf numFmtId="181" fontId="50" fillId="5" borderId="1" xfId="0" applyNumberFormat="1" applyFont="1" applyFill="1" applyBorder="1" applyAlignment="1" applyProtection="1">
      <alignment horizontal="left" vertical="center" wrapText="1"/>
    </xf>
    <xf numFmtId="0" fontId="48" fillId="5" borderId="61" xfId="0" applyFont="1" applyFill="1" applyBorder="1" applyAlignment="1" applyProtection="1">
      <alignment horizontal="left" vertical="center" wrapText="1"/>
    </xf>
    <xf numFmtId="0" fontId="49" fillId="5" borderId="2" xfId="0" applyFont="1" applyFill="1" applyBorder="1" applyAlignment="1" applyProtection="1">
      <alignment horizontal="left" vertical="center" wrapText="1"/>
    </xf>
    <xf numFmtId="191" fontId="49" fillId="0" borderId="1" xfId="0" applyNumberFormat="1" applyFont="1" applyFill="1" applyBorder="1" applyAlignment="1" applyProtection="1">
      <alignment horizontal="left" vertical="center" wrapText="1"/>
      <protection locked="0"/>
    </xf>
    <xf numFmtId="0" fontId="99" fillId="0" borderId="7" xfId="0" applyFont="1" applyFill="1" applyBorder="1" applyAlignment="1" applyProtection="1">
      <alignment horizontal="left" vertical="center"/>
      <protection locked="0"/>
    </xf>
    <xf numFmtId="0" fontId="105" fillId="5" borderId="1" xfId="0" applyFont="1" applyFill="1" applyBorder="1" applyAlignment="1" applyProtection="1">
      <alignment horizontal="left" vertical="center" wrapText="1"/>
    </xf>
    <xf numFmtId="0" fontId="105" fillId="5" borderId="6" xfId="0" applyFont="1" applyFill="1" applyBorder="1" applyAlignment="1" applyProtection="1">
      <alignment horizontal="left" vertical="center" wrapText="1"/>
    </xf>
    <xf numFmtId="0" fontId="43" fillId="0" borderId="0" xfId="0" applyFont="1" applyBorder="1" applyAlignment="1" applyProtection="1">
      <alignment horizontal="left" vertical="center"/>
    </xf>
    <xf numFmtId="0" fontId="43" fillId="5" borderId="43" xfId="0" applyFont="1" applyFill="1" applyBorder="1" applyAlignment="1" applyProtection="1">
      <alignment horizontal="left" vertical="center" wrapText="1"/>
    </xf>
    <xf numFmtId="0" fontId="173" fillId="5" borderId="6" xfId="0" applyFont="1" applyFill="1" applyBorder="1" applyAlignment="1" applyProtection="1">
      <alignment horizontal="left" vertical="center" wrapText="1"/>
    </xf>
    <xf numFmtId="0" fontId="173" fillId="5" borderId="18" xfId="0" applyFont="1" applyFill="1" applyBorder="1" applyAlignment="1" applyProtection="1">
      <alignment horizontal="left" vertical="center" wrapText="1"/>
    </xf>
    <xf numFmtId="0" fontId="173" fillId="5" borderId="58" xfId="0" applyFont="1" applyFill="1" applyBorder="1" applyAlignment="1" applyProtection="1">
      <alignment horizontal="left" vertical="center" wrapText="1"/>
    </xf>
    <xf numFmtId="0" fontId="173" fillId="5" borderId="41" xfId="0" applyFont="1" applyFill="1" applyBorder="1" applyAlignment="1" applyProtection="1">
      <alignment horizontal="left" vertical="center" wrapText="1"/>
    </xf>
    <xf numFmtId="0" fontId="102" fillId="5" borderId="64" xfId="0" applyFont="1" applyFill="1" applyBorder="1" applyAlignment="1" applyProtection="1">
      <alignment horizontal="left" vertical="center"/>
    </xf>
    <xf numFmtId="0" fontId="173" fillId="5" borderId="2" xfId="0" applyFont="1" applyFill="1" applyBorder="1" applyAlignment="1" applyProtection="1">
      <alignment horizontal="left" vertical="center" wrapText="1"/>
    </xf>
    <xf numFmtId="0" fontId="173" fillId="5" borderId="80" xfId="0" applyFont="1" applyFill="1" applyBorder="1" applyAlignment="1" applyProtection="1">
      <alignment horizontal="left" vertical="center" wrapText="1"/>
    </xf>
    <xf numFmtId="0" fontId="102" fillId="5" borderId="44" xfId="0" applyFont="1" applyFill="1" applyBorder="1" applyAlignment="1" applyProtection="1">
      <alignment horizontal="left" vertical="center"/>
    </xf>
    <xf numFmtId="0" fontId="173" fillId="5" borderId="44" xfId="0" applyFont="1" applyFill="1" applyBorder="1" applyAlignment="1" applyProtection="1">
      <alignment horizontal="left" vertical="center" wrapText="1"/>
    </xf>
    <xf numFmtId="0" fontId="173" fillId="5" borderId="62" xfId="0" applyFont="1" applyFill="1" applyBorder="1" applyAlignment="1" applyProtection="1">
      <alignment horizontal="left" vertical="center" wrapText="1"/>
    </xf>
    <xf numFmtId="0" fontId="102" fillId="5" borderId="1" xfId="0" applyFont="1" applyFill="1" applyBorder="1" applyAlignment="1" applyProtection="1">
      <alignment horizontal="left" vertical="center" shrinkToFit="1"/>
    </xf>
    <xf numFmtId="0" fontId="48" fillId="5" borderId="6" xfId="0" applyFont="1" applyFill="1" applyBorder="1" applyAlignment="1" applyProtection="1">
      <alignment horizontal="left" vertical="center" wrapText="1"/>
    </xf>
    <xf numFmtId="0" fontId="173" fillId="5" borderId="1" xfId="0" applyFont="1" applyFill="1" applyBorder="1" applyAlignment="1" applyProtection="1">
      <alignment horizontal="left" vertical="center" shrinkToFit="1"/>
    </xf>
    <xf numFmtId="0" fontId="43" fillId="18" borderId="6" xfId="0" applyFont="1" applyFill="1" applyBorder="1" applyAlignment="1" applyProtection="1">
      <alignment horizontal="left" vertical="center" wrapText="1"/>
    </xf>
    <xf numFmtId="0" fontId="43" fillId="5" borderId="6" xfId="0" applyFont="1" applyFill="1" applyBorder="1" applyAlignment="1" applyProtection="1">
      <alignment horizontal="left" vertical="center" shrinkToFit="1"/>
    </xf>
    <xf numFmtId="0" fontId="102" fillId="5" borderId="61" xfId="0" applyFont="1" applyFill="1" applyBorder="1" applyAlignment="1" applyProtection="1">
      <alignment horizontal="left" vertical="center" shrinkToFit="1"/>
    </xf>
    <xf numFmtId="0" fontId="144" fillId="0" borderId="43" xfId="0" applyFont="1" applyFill="1" applyBorder="1" applyAlignment="1" applyProtection="1">
      <alignment horizontal="left" vertical="center" wrapText="1"/>
      <protection locked="0"/>
    </xf>
    <xf numFmtId="181" fontId="43" fillId="18" borderId="41" xfId="0" applyNumberFormat="1" applyFont="1" applyFill="1" applyBorder="1" applyAlignment="1" applyProtection="1">
      <alignment horizontal="center" vertical="center" wrapText="1"/>
    </xf>
    <xf numFmtId="0" fontId="43" fillId="18" borderId="1" xfId="0" applyFont="1" applyFill="1" applyBorder="1" applyAlignment="1" applyProtection="1">
      <alignment horizontal="center" vertical="center"/>
    </xf>
    <xf numFmtId="0" fontId="42" fillId="5" borderId="168" xfId="0" applyFont="1" applyFill="1" applyBorder="1" applyAlignment="1" applyProtection="1">
      <alignment horizontal="left" vertical="center"/>
    </xf>
    <xf numFmtId="0" fontId="42" fillId="5" borderId="169" xfId="0" applyFont="1" applyFill="1" applyBorder="1" applyAlignment="1" applyProtection="1">
      <alignment horizontal="left" vertical="center"/>
    </xf>
    <xf numFmtId="0" fontId="40" fillId="5" borderId="169" xfId="0" applyFont="1" applyFill="1" applyBorder="1" applyAlignment="1" applyProtection="1">
      <alignment horizontal="left" vertical="center"/>
    </xf>
    <xf numFmtId="0" fontId="43" fillId="5" borderId="170" xfId="0" applyFont="1" applyFill="1" applyBorder="1" applyAlignment="1" applyProtection="1">
      <alignment horizontal="left" vertical="center"/>
    </xf>
    <xf numFmtId="0" fontId="43" fillId="8" borderId="170" xfId="0" applyFont="1" applyFill="1" applyBorder="1" applyProtection="1">
      <alignment vertical="center"/>
      <protection locked="0"/>
    </xf>
    <xf numFmtId="0" fontId="43" fillId="8" borderId="170" xfId="0" applyFont="1" applyFill="1" applyBorder="1" applyProtection="1">
      <alignment vertical="center"/>
    </xf>
    <xf numFmtId="0" fontId="43" fillId="0" borderId="170" xfId="0" applyFont="1" applyBorder="1" applyProtection="1">
      <alignment vertical="center"/>
    </xf>
    <xf numFmtId="0" fontId="177" fillId="5" borderId="171" xfId="0" applyFont="1" applyFill="1" applyBorder="1" applyAlignment="1" applyProtection="1">
      <alignment horizontal="left"/>
    </xf>
    <xf numFmtId="0" fontId="101" fillId="5" borderId="171" xfId="0" applyFont="1" applyFill="1" applyBorder="1" applyAlignment="1" applyProtection="1">
      <alignment horizontal="left"/>
    </xf>
    <xf numFmtId="0" fontId="177" fillId="5" borderId="171" xfId="0" applyFont="1" applyFill="1" applyBorder="1" applyAlignment="1" applyProtection="1">
      <alignment horizontal="right"/>
    </xf>
    <xf numFmtId="0" fontId="101" fillId="8" borderId="171" xfId="0" applyFont="1" applyFill="1" applyBorder="1" applyAlignment="1" applyProtection="1">
      <protection locked="0"/>
    </xf>
    <xf numFmtId="0" fontId="101" fillId="8" borderId="171" xfId="0" applyFont="1" applyFill="1" applyBorder="1" applyAlignment="1" applyProtection="1"/>
    <xf numFmtId="0" fontId="101" fillId="0" borderId="171" xfId="0" applyFont="1" applyFill="1" applyBorder="1" applyAlignment="1" applyProtection="1"/>
    <xf numFmtId="0" fontId="169" fillId="5" borderId="0" xfId="0" applyFont="1" applyFill="1" applyBorder="1" applyAlignment="1" applyProtection="1">
      <alignment horizontal="right" vertical="center"/>
    </xf>
    <xf numFmtId="181" fontId="48" fillId="6" borderId="2" xfId="0" applyNumberFormat="1" applyFont="1" applyFill="1" applyBorder="1" applyAlignment="1" applyProtection="1">
      <alignment horizontal="left" vertical="center" wrapText="1"/>
      <protection locked="0"/>
    </xf>
    <xf numFmtId="0" fontId="43" fillId="19" borderId="0" xfId="0" applyFont="1" applyFill="1" applyProtection="1">
      <alignment vertical="center"/>
    </xf>
    <xf numFmtId="0" fontId="224" fillId="19" borderId="0" xfId="0" applyFont="1" applyFill="1" applyAlignment="1" applyProtection="1">
      <alignment horizontal="center" vertical="center"/>
    </xf>
    <xf numFmtId="0" fontId="43" fillId="19" borderId="0" xfId="0" applyFont="1" applyFill="1" applyBorder="1" applyAlignment="1" applyProtection="1">
      <alignment horizontal="center" vertical="center"/>
    </xf>
    <xf numFmtId="0" fontId="43" fillId="19" borderId="0" xfId="0" applyFont="1" applyFill="1" applyBorder="1" applyAlignment="1" applyProtection="1">
      <alignment horizontal="left" vertical="center" wrapText="1"/>
    </xf>
    <xf numFmtId="0" fontId="43" fillId="19" borderId="0" xfId="0" applyFont="1" applyFill="1" applyAlignment="1" applyProtection="1">
      <alignment horizontal="left" vertical="center"/>
    </xf>
    <xf numFmtId="0" fontId="76" fillId="19" borderId="0" xfId="0" applyFont="1" applyFill="1" applyAlignment="1" applyProtection="1">
      <alignment horizontal="left" vertical="center"/>
    </xf>
    <xf numFmtId="0" fontId="177" fillId="19" borderId="171" xfId="0" applyFont="1" applyFill="1" applyBorder="1" applyAlignment="1" applyProtection="1">
      <alignment horizontal="right"/>
    </xf>
    <xf numFmtId="0" fontId="43" fillId="19" borderId="170" xfId="0" applyFont="1" applyFill="1" applyBorder="1" applyAlignment="1" applyProtection="1">
      <alignment horizontal="left" vertical="center"/>
    </xf>
    <xf numFmtId="0" fontId="40" fillId="19" borderId="0" xfId="0" applyFont="1" applyFill="1" applyAlignment="1" applyProtection="1">
      <alignment horizontal="left" vertical="center"/>
    </xf>
    <xf numFmtId="0" fontId="118" fillId="19" borderId="0" xfId="0" applyFont="1" applyFill="1" applyAlignment="1" applyProtection="1">
      <alignment horizontal="left" vertical="center"/>
    </xf>
    <xf numFmtId="0" fontId="169" fillId="19" borderId="0" xfId="0" applyFont="1" applyFill="1" applyBorder="1" applyAlignment="1" applyProtection="1">
      <alignment horizontal="right" vertical="center"/>
    </xf>
    <xf numFmtId="9" fontId="43" fillId="19" borderId="0" xfId="0" applyNumberFormat="1" applyFont="1" applyFill="1" applyAlignment="1" applyProtection="1">
      <alignment horizontal="left" vertical="center"/>
    </xf>
    <xf numFmtId="10" fontId="43" fillId="19" borderId="0" xfId="0" applyNumberFormat="1" applyFont="1" applyFill="1" applyAlignment="1" applyProtection="1">
      <alignment horizontal="left" vertical="center"/>
    </xf>
    <xf numFmtId="0" fontId="43" fillId="19" borderId="0" xfId="2" applyFont="1" applyFill="1" applyBorder="1" applyAlignment="1" applyProtection="1">
      <alignment horizontal="left" vertical="center" wrapText="1"/>
    </xf>
    <xf numFmtId="0" fontId="99" fillId="19" borderId="0" xfId="2" applyFont="1" applyFill="1" applyAlignment="1" applyProtection="1">
      <alignment vertical="center" wrapText="1"/>
    </xf>
    <xf numFmtId="0" fontId="99" fillId="19" borderId="0" xfId="0" applyFont="1" applyFill="1" applyProtection="1">
      <alignment vertical="center"/>
    </xf>
    <xf numFmtId="0" fontId="99" fillId="19" borderId="0" xfId="2" applyFont="1" applyFill="1" applyProtection="1"/>
    <xf numFmtId="0" fontId="99" fillId="19" borderId="0" xfId="0" applyFont="1" applyFill="1" applyBorder="1" applyProtection="1">
      <alignment vertical="center"/>
      <protection locked="0"/>
    </xf>
    <xf numFmtId="0" fontId="41" fillId="19" borderId="0" xfId="0" applyFont="1" applyFill="1" applyBorder="1" applyAlignment="1" applyProtection="1">
      <alignment horizontal="center" vertical="center" wrapText="1"/>
    </xf>
    <xf numFmtId="0" fontId="48" fillId="19" borderId="0" xfId="0" applyFont="1" applyFill="1" applyBorder="1" applyAlignment="1" applyProtection="1">
      <alignment horizontal="left" vertical="center" wrapText="1"/>
    </xf>
    <xf numFmtId="0" fontId="102" fillId="19" borderId="0" xfId="0" applyFont="1" applyFill="1" applyBorder="1" applyAlignment="1" applyProtection="1">
      <alignment horizontal="left" vertical="center" shrinkToFit="1"/>
    </xf>
    <xf numFmtId="0" fontId="102" fillId="19" borderId="0" xfId="0" applyFont="1" applyFill="1" applyBorder="1" applyAlignment="1" applyProtection="1">
      <alignment horizontal="left" vertical="center" wrapText="1"/>
    </xf>
    <xf numFmtId="0" fontId="43" fillId="19" borderId="0" xfId="0" applyFont="1" applyFill="1" applyBorder="1" applyAlignment="1" applyProtection="1">
      <alignment horizontal="left" vertical="center" shrinkToFit="1"/>
    </xf>
    <xf numFmtId="0" fontId="130" fillId="19" borderId="0" xfId="0" applyFont="1" applyFill="1" applyBorder="1" applyAlignment="1" applyProtection="1">
      <alignment horizontal="center" vertical="center" shrinkToFit="1"/>
    </xf>
    <xf numFmtId="0" fontId="102" fillId="19" borderId="0" xfId="0" applyFont="1" applyFill="1" applyBorder="1" applyAlignment="1" applyProtection="1">
      <alignment horizontal="left" vertical="center"/>
    </xf>
    <xf numFmtId="0" fontId="42" fillId="19" borderId="0" xfId="0" applyFont="1" applyFill="1" applyBorder="1" applyAlignment="1" applyProtection="1">
      <alignment horizontal="center" vertical="center"/>
    </xf>
    <xf numFmtId="182" fontId="43" fillId="19" borderId="0" xfId="0" applyNumberFormat="1" applyFont="1" applyFill="1" applyBorder="1" applyAlignment="1" applyProtection="1">
      <alignment horizontal="left" vertical="center" shrinkToFit="1"/>
    </xf>
    <xf numFmtId="182" fontId="43" fillId="19" borderId="0" xfId="0" applyNumberFormat="1" applyFont="1" applyFill="1" applyBorder="1" applyAlignment="1" applyProtection="1">
      <alignment horizontal="left" vertical="center" wrapText="1"/>
    </xf>
    <xf numFmtId="0" fontId="43" fillId="19" borderId="0" xfId="0" applyFont="1" applyFill="1" applyBorder="1" applyAlignment="1" applyProtection="1">
      <alignment horizontal="left" vertical="center"/>
    </xf>
    <xf numFmtId="0" fontId="43" fillId="19" borderId="0" xfId="0" applyFont="1" applyFill="1" applyBorder="1" applyProtection="1">
      <alignment vertical="center"/>
      <protection locked="0"/>
    </xf>
    <xf numFmtId="0" fontId="43" fillId="19" borderId="0" xfId="0" applyFont="1" applyFill="1" applyProtection="1">
      <alignment vertical="center"/>
      <protection locked="0"/>
    </xf>
    <xf numFmtId="0" fontId="43" fillId="19" borderId="0" xfId="0" applyFont="1" applyFill="1" applyBorder="1" applyAlignment="1" applyProtection="1">
      <alignment horizontal="right" vertical="center"/>
      <protection locked="0"/>
    </xf>
    <xf numFmtId="0" fontId="227" fillId="19" borderId="0" xfId="0" applyFont="1" applyFill="1" applyAlignment="1" applyProtection="1">
      <alignment horizontal="center" vertical="center"/>
    </xf>
    <xf numFmtId="0" fontId="227" fillId="19" borderId="0" xfId="0" applyFont="1" applyFill="1" applyBorder="1" applyAlignment="1" applyProtection="1">
      <alignment horizontal="left" vertical="center"/>
    </xf>
    <xf numFmtId="0" fontId="222" fillId="19" borderId="0" xfId="0" applyFont="1" applyFill="1" applyBorder="1" applyAlignment="1" applyProtection="1">
      <alignment horizontal="left" vertical="center"/>
    </xf>
    <xf numFmtId="0" fontId="99" fillId="19" borderId="0" xfId="2" applyFont="1" applyFill="1" applyAlignment="1" applyProtection="1">
      <alignment horizontal="left" vertical="center" wrapText="1"/>
    </xf>
    <xf numFmtId="0" fontId="99" fillId="19" borderId="0" xfId="0" applyFont="1" applyFill="1" applyAlignment="1" applyProtection="1">
      <alignment horizontal="left" vertical="center"/>
    </xf>
    <xf numFmtId="0" fontId="99" fillId="19" borderId="0" xfId="2" applyFont="1" applyFill="1" applyAlignment="1" applyProtection="1">
      <alignment horizontal="left"/>
    </xf>
    <xf numFmtId="0" fontId="99" fillId="19" borderId="0" xfId="0" applyFont="1" applyFill="1" applyBorder="1" applyAlignment="1" applyProtection="1">
      <alignment horizontal="left" vertical="center"/>
      <protection locked="0"/>
    </xf>
    <xf numFmtId="0" fontId="42" fillId="19" borderId="0" xfId="0" applyFont="1" applyFill="1" applyBorder="1" applyAlignment="1" applyProtection="1">
      <alignment horizontal="center" vertical="center" wrapText="1"/>
    </xf>
    <xf numFmtId="0" fontId="76" fillId="18" borderId="0" xfId="0" applyFont="1" applyFill="1" applyBorder="1" applyAlignment="1" applyProtection="1">
      <alignment horizontal="left" vertical="center" wrapText="1"/>
    </xf>
    <xf numFmtId="0" fontId="76" fillId="18" borderId="0" xfId="0" applyFont="1" applyFill="1" applyProtection="1">
      <alignment vertical="center"/>
    </xf>
    <xf numFmtId="0" fontId="43" fillId="0" borderId="0" xfId="0" applyFont="1" applyBorder="1" applyAlignment="1" applyProtection="1">
      <alignment vertical="center" wrapText="1"/>
    </xf>
    <xf numFmtId="0" fontId="43" fillId="0" borderId="41" xfId="0" applyFont="1" applyFill="1" applyBorder="1" applyAlignment="1" applyProtection="1">
      <alignment vertical="center" wrapText="1"/>
      <protection locked="0"/>
    </xf>
    <xf numFmtId="0" fontId="94" fillId="6" borderId="1" xfId="13" applyFont="1" applyFill="1" applyBorder="1" applyAlignment="1" applyProtection="1">
      <alignment horizontal="left"/>
      <protection locked="0"/>
    </xf>
    <xf numFmtId="10" fontId="50" fillId="18" borderId="2" xfId="1" applyNumberFormat="1" applyFont="1" applyFill="1" applyBorder="1" applyAlignment="1" applyProtection="1">
      <alignment horizontal="center" vertical="center"/>
    </xf>
    <xf numFmtId="9" fontId="50" fillId="18" borderId="2" xfId="1" applyNumberFormat="1" applyFont="1" applyFill="1" applyBorder="1" applyAlignment="1" applyProtection="1">
      <alignment horizontal="center" vertical="center"/>
    </xf>
    <xf numFmtId="0" fontId="50" fillId="18" borderId="1" xfId="0" applyFont="1" applyFill="1" applyBorder="1" applyAlignment="1" applyProtection="1">
      <alignment horizontal="left" vertical="center" wrapText="1"/>
    </xf>
    <xf numFmtId="0" fontId="43" fillId="20" borderId="54" xfId="0" applyFont="1" applyFill="1" applyBorder="1" applyAlignment="1" applyProtection="1">
      <alignment vertical="center" wrapText="1"/>
    </xf>
    <xf numFmtId="0" fontId="43" fillId="20" borderId="32" xfId="0" applyFont="1" applyFill="1" applyBorder="1" applyAlignment="1" applyProtection="1">
      <alignment vertical="center" wrapText="1"/>
    </xf>
    <xf numFmtId="0" fontId="43" fillId="20" borderId="1" xfId="0" applyFont="1" applyFill="1" applyBorder="1" applyAlignment="1" applyProtection="1">
      <alignment vertical="center"/>
    </xf>
    <xf numFmtId="0" fontId="43" fillId="20" borderId="1" xfId="0" applyFont="1" applyFill="1" applyBorder="1" applyAlignment="1" applyProtection="1">
      <alignment vertical="center" wrapText="1"/>
    </xf>
    <xf numFmtId="0" fontId="43" fillId="20" borderId="7" xfId="0" applyFont="1" applyFill="1" applyBorder="1" applyAlignment="1" applyProtection="1">
      <alignment vertical="center"/>
    </xf>
    <xf numFmtId="0" fontId="43" fillId="20" borderId="124" xfId="0" applyFont="1" applyFill="1" applyBorder="1" applyAlignment="1" applyProtection="1">
      <alignment vertical="center"/>
    </xf>
    <xf numFmtId="0" fontId="43" fillId="20" borderId="23" xfId="0" applyFont="1" applyFill="1" applyBorder="1" applyAlignment="1" applyProtection="1">
      <alignment vertical="center" wrapText="1"/>
    </xf>
    <xf numFmtId="0" fontId="43" fillId="20" borderId="42" xfId="0" applyFont="1" applyFill="1" applyBorder="1" applyAlignment="1" applyProtection="1">
      <alignment vertical="center" wrapText="1"/>
    </xf>
    <xf numFmtId="0" fontId="43" fillId="20" borderId="11" xfId="0" applyFont="1" applyFill="1" applyBorder="1" applyAlignment="1" applyProtection="1">
      <alignment vertical="center" wrapText="1"/>
    </xf>
    <xf numFmtId="0" fontId="43" fillId="20" borderId="61" xfId="0" applyFont="1" applyFill="1" applyBorder="1" applyAlignment="1" applyProtection="1">
      <alignment vertical="center" wrapText="1"/>
    </xf>
    <xf numFmtId="0" fontId="43" fillId="20" borderId="93" xfId="0" applyFont="1" applyFill="1" applyBorder="1" applyAlignment="1" applyProtection="1">
      <alignment vertical="center" wrapText="1"/>
    </xf>
    <xf numFmtId="0" fontId="41" fillId="0" borderId="172" xfId="0" applyFont="1" applyBorder="1" applyAlignment="1" applyProtection="1">
      <alignment vertical="center" wrapText="1"/>
    </xf>
    <xf numFmtId="0" fontId="43" fillId="0" borderId="0" xfId="0" applyFont="1" applyAlignment="1" applyProtection="1">
      <alignment vertical="center"/>
      <protection locked="0"/>
    </xf>
    <xf numFmtId="0" fontId="43" fillId="0" borderId="0" xfId="0" applyFont="1" applyAlignment="1" applyProtection="1">
      <alignment vertical="center" wrapText="1"/>
      <protection locked="0"/>
    </xf>
    <xf numFmtId="49" fontId="43" fillId="0" borderId="0" xfId="0" applyNumberFormat="1" applyFont="1" applyAlignment="1" applyProtection="1">
      <alignment vertical="center" wrapText="1"/>
      <protection locked="0"/>
    </xf>
    <xf numFmtId="0" fontId="43" fillId="0" borderId="0" xfId="0" applyFont="1" applyBorder="1" applyAlignment="1" applyProtection="1">
      <alignment vertical="center" wrapText="1"/>
      <protection locked="0"/>
    </xf>
    <xf numFmtId="0" fontId="140" fillId="0" borderId="0" xfId="0" applyFont="1" applyBorder="1" applyAlignment="1" applyProtection="1">
      <alignment vertical="center"/>
      <protection locked="0"/>
    </xf>
    <xf numFmtId="0" fontId="166" fillId="0" borderId="172" xfId="0" applyFont="1" applyBorder="1" applyAlignment="1" applyProtection="1">
      <alignment horizontal="center" vertical="center"/>
      <protection locked="0"/>
    </xf>
    <xf numFmtId="0" fontId="140" fillId="0" borderId="172" xfId="0" applyFont="1" applyBorder="1" applyAlignment="1" applyProtection="1">
      <alignment vertical="center"/>
      <protection locked="0"/>
    </xf>
    <xf numFmtId="0" fontId="41" fillId="0" borderId="172" xfId="0" applyFont="1" applyBorder="1" applyAlignment="1" applyProtection="1">
      <alignment vertical="center" wrapText="1"/>
      <protection locked="0"/>
    </xf>
    <xf numFmtId="0" fontId="48" fillId="0" borderId="0" xfId="0" applyFont="1" applyAlignment="1" applyProtection="1">
      <alignment vertical="center" wrapText="1"/>
      <protection locked="0"/>
    </xf>
    <xf numFmtId="49" fontId="48" fillId="0" borderId="0" xfId="0" applyNumberFormat="1" applyFont="1" applyAlignment="1" applyProtection="1">
      <alignment vertical="center" wrapText="1"/>
      <protection locked="0"/>
    </xf>
    <xf numFmtId="49" fontId="43" fillId="0" borderId="0" xfId="0" applyNumberFormat="1" applyFont="1" applyAlignment="1" applyProtection="1">
      <alignment vertical="center"/>
      <protection locked="0"/>
    </xf>
    <xf numFmtId="0" fontId="43" fillId="5" borderId="11" xfId="0" applyFont="1" applyFill="1" applyBorder="1" applyAlignment="1" applyProtection="1">
      <alignment vertical="center" wrapText="1"/>
    </xf>
    <xf numFmtId="0" fontId="40" fillId="5" borderId="1"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172" fillId="0" borderId="18" xfId="13" applyFont="1" applyFill="1" applyBorder="1" applyAlignment="1" applyProtection="1">
      <alignment horizontal="left" vertical="center" wrapText="1"/>
      <protection locked="0"/>
    </xf>
    <xf numFmtId="0" fontId="172" fillId="0" borderId="1" xfId="13" applyFont="1" applyFill="1" applyBorder="1" applyAlignment="1" applyProtection="1">
      <alignment horizontal="left" vertical="center" wrapText="1"/>
      <protection locked="0"/>
    </xf>
    <xf numFmtId="0" fontId="43" fillId="5" borderId="0" xfId="0" applyFont="1" applyFill="1" applyAlignment="1" applyProtection="1">
      <alignment vertical="center"/>
    </xf>
    <xf numFmtId="0" fontId="43" fillId="5" borderId="0" xfId="0" applyFont="1" applyFill="1" applyBorder="1" applyAlignment="1" applyProtection="1">
      <alignment vertical="center"/>
    </xf>
    <xf numFmtId="49" fontId="43" fillId="5" borderId="0" xfId="0" applyNumberFormat="1" applyFont="1" applyFill="1" applyAlignment="1" applyProtection="1">
      <alignment vertical="center" wrapText="1"/>
    </xf>
    <xf numFmtId="0" fontId="104" fillId="5" borderId="0" xfId="0" applyFont="1" applyFill="1" applyAlignment="1" applyProtection="1">
      <alignment horizontal="left" vertical="center" wrapText="1"/>
      <protection locked="0"/>
    </xf>
    <xf numFmtId="0" fontId="42" fillId="5" borderId="9" xfId="0" applyFont="1" applyFill="1" applyBorder="1" applyAlignment="1" applyProtection="1">
      <alignment horizontal="left" vertical="center" wrapText="1"/>
      <protection locked="0"/>
    </xf>
    <xf numFmtId="14" fontId="40" fillId="5" borderId="15" xfId="0" applyNumberFormat="1" applyFont="1" applyFill="1" applyBorder="1" applyAlignment="1" applyProtection="1">
      <alignment horizontal="left" vertical="center"/>
      <protection locked="0"/>
    </xf>
    <xf numFmtId="179" fontId="42" fillId="5" borderId="1" xfId="0" applyNumberFormat="1" applyFont="1" applyFill="1" applyBorder="1" applyAlignment="1" applyProtection="1">
      <alignment horizontal="left" vertical="center"/>
      <protection locked="0"/>
    </xf>
    <xf numFmtId="0" fontId="40" fillId="5" borderId="4" xfId="1" applyFont="1" applyFill="1" applyBorder="1" applyAlignment="1" applyProtection="1">
      <alignment horizontal="left" vertical="center" wrapText="1"/>
      <protection locked="0"/>
    </xf>
    <xf numFmtId="0" fontId="40" fillId="5" borderId="14" xfId="0" applyFont="1" applyFill="1" applyBorder="1" applyAlignment="1" applyProtection="1">
      <alignment horizontal="left" vertical="center"/>
      <protection locked="0"/>
    </xf>
    <xf numFmtId="180" fontId="47" fillId="5" borderId="7" xfId="1" applyNumberFormat="1" applyFont="1" applyFill="1" applyBorder="1" applyAlignment="1" applyProtection="1">
      <alignment horizontal="left" vertical="center" wrapText="1"/>
      <protection locked="0"/>
    </xf>
    <xf numFmtId="0" fontId="40" fillId="5" borderId="4" xfId="0" applyFont="1" applyFill="1" applyBorder="1" applyAlignment="1" applyProtection="1">
      <alignment horizontal="left" vertical="center" wrapText="1"/>
      <protection locked="0"/>
    </xf>
    <xf numFmtId="0" fontId="40" fillId="5" borderId="7" xfId="0" applyFont="1" applyFill="1" applyBorder="1" applyAlignment="1" applyProtection="1">
      <alignment horizontal="left" vertical="center" wrapText="1"/>
      <protection locked="0"/>
    </xf>
    <xf numFmtId="179" fontId="40" fillId="5" borderId="7" xfId="0" applyNumberFormat="1" applyFont="1" applyFill="1" applyBorder="1" applyAlignment="1" applyProtection="1">
      <alignment horizontal="left" vertical="center" wrapText="1"/>
      <protection locked="0"/>
    </xf>
    <xf numFmtId="179" fontId="47" fillId="5" borderId="6" xfId="1" applyNumberFormat="1" applyFont="1" applyFill="1" applyBorder="1" applyAlignment="1" applyProtection="1">
      <alignment horizontal="left" vertical="center"/>
      <protection locked="0"/>
    </xf>
    <xf numFmtId="0" fontId="40" fillId="5" borderId="8" xfId="0" applyFont="1" applyFill="1" applyBorder="1" applyAlignment="1" applyProtection="1">
      <alignment horizontal="left" vertical="center" wrapText="1"/>
      <protection locked="0"/>
    </xf>
    <xf numFmtId="180" fontId="47" fillId="5" borderId="6" xfId="1" applyNumberFormat="1" applyFont="1" applyFill="1" applyBorder="1" applyAlignment="1" applyProtection="1">
      <alignment horizontal="left" vertical="center"/>
      <protection locked="0"/>
    </xf>
    <xf numFmtId="0" fontId="40" fillId="5" borderId="23" xfId="0" applyFont="1" applyFill="1" applyBorder="1" applyAlignment="1" applyProtection="1">
      <alignment horizontal="left" vertical="center" wrapText="1"/>
      <protection locked="0"/>
    </xf>
    <xf numFmtId="0" fontId="47" fillId="5" borderId="6" xfId="1" applyNumberFormat="1" applyFont="1" applyFill="1" applyBorder="1" applyAlignment="1" applyProtection="1">
      <alignment horizontal="left" vertical="center"/>
      <protection locked="0"/>
    </xf>
    <xf numFmtId="0" fontId="40" fillId="5" borderId="16" xfId="0" applyFont="1" applyFill="1" applyBorder="1" applyAlignment="1" applyProtection="1">
      <alignment horizontal="left" vertical="center" wrapText="1"/>
      <protection locked="0"/>
    </xf>
    <xf numFmtId="0" fontId="99" fillId="5" borderId="8" xfId="0" applyFont="1" applyFill="1" applyBorder="1" applyAlignment="1" applyProtection="1">
      <alignment horizontal="left" vertical="center" wrapText="1"/>
      <protection locked="0"/>
    </xf>
    <xf numFmtId="179" fontId="40" fillId="5" borderId="7" xfId="1" applyNumberFormat="1" applyFont="1" applyFill="1" applyBorder="1" applyAlignment="1" applyProtection="1">
      <alignment horizontal="left" vertical="center" wrapText="1"/>
      <protection locked="0"/>
    </xf>
    <xf numFmtId="0" fontId="40" fillId="5" borderId="6" xfId="1" applyNumberFormat="1" applyFont="1" applyFill="1" applyBorder="1" applyAlignment="1" applyProtection="1">
      <alignment horizontal="left" vertical="center"/>
      <protection locked="0"/>
    </xf>
    <xf numFmtId="0" fontId="42" fillId="5" borderId="10" xfId="0" applyFont="1" applyFill="1" applyBorder="1" applyAlignment="1" applyProtection="1">
      <alignment horizontal="left" vertical="center" wrapText="1"/>
      <protection locked="0"/>
    </xf>
    <xf numFmtId="176" fontId="47" fillId="5" borderId="4" xfId="1" applyNumberFormat="1" applyFont="1" applyFill="1" applyBorder="1" applyAlignment="1" applyProtection="1">
      <alignment horizontal="left" vertical="center" wrapText="1"/>
      <protection locked="0"/>
    </xf>
    <xf numFmtId="0" fontId="40" fillId="5" borderId="7" xfId="0" applyFont="1" applyFill="1" applyBorder="1" applyAlignment="1" applyProtection="1">
      <alignment horizontal="left" vertical="center"/>
      <protection locked="0"/>
    </xf>
    <xf numFmtId="176" fontId="47" fillId="5" borderId="7" xfId="1" applyNumberFormat="1" applyFont="1" applyFill="1" applyBorder="1" applyAlignment="1" applyProtection="1">
      <alignment horizontal="left" vertical="center" wrapText="1"/>
      <protection locked="0"/>
    </xf>
    <xf numFmtId="176" fontId="47" fillId="5" borderId="16" xfId="1" applyNumberFormat="1" applyFont="1" applyFill="1" applyBorder="1" applyAlignment="1" applyProtection="1">
      <alignment horizontal="left" vertical="center" wrapText="1"/>
      <protection locked="0"/>
    </xf>
    <xf numFmtId="176" fontId="47" fillId="5" borderId="8" xfId="1" applyNumberFormat="1" applyFont="1" applyFill="1" applyBorder="1" applyAlignment="1" applyProtection="1">
      <alignment horizontal="left" vertical="center" wrapText="1"/>
      <protection locked="0"/>
    </xf>
    <xf numFmtId="176" fontId="47" fillId="5" borderId="43" xfId="1" applyNumberFormat="1" applyFont="1" applyFill="1" applyBorder="1" applyAlignment="1" applyProtection="1">
      <alignment horizontal="left" vertical="center"/>
      <protection locked="0"/>
    </xf>
    <xf numFmtId="176" fontId="40" fillId="5" borderId="7" xfId="1" applyNumberFormat="1" applyFont="1" applyFill="1" applyBorder="1" applyAlignment="1" applyProtection="1">
      <alignment horizontal="left" vertical="center" wrapText="1"/>
      <protection locked="0"/>
    </xf>
    <xf numFmtId="176" fontId="47" fillId="5" borderId="31" xfId="1" applyNumberFormat="1" applyFont="1" applyFill="1" applyBorder="1" applyAlignment="1" applyProtection="1">
      <alignment horizontal="left" vertical="center"/>
      <protection locked="0"/>
    </xf>
    <xf numFmtId="176" fontId="47" fillId="5" borderId="73" xfId="1" applyNumberFormat="1" applyFont="1" applyFill="1" applyBorder="1" applyAlignment="1" applyProtection="1">
      <alignment horizontal="left" vertical="center"/>
      <protection locked="0"/>
    </xf>
    <xf numFmtId="179" fontId="42" fillId="5" borderId="9" xfId="0" applyNumberFormat="1" applyFont="1" applyFill="1" applyBorder="1" applyAlignment="1" applyProtection="1">
      <alignment horizontal="left" vertical="center"/>
      <protection locked="0"/>
    </xf>
    <xf numFmtId="10" fontId="43" fillId="5" borderId="6" xfId="0" applyNumberFormat="1" applyFont="1" applyFill="1" applyBorder="1" applyAlignment="1" applyProtection="1">
      <alignment horizontal="left" vertical="center"/>
      <protection locked="0"/>
    </xf>
    <xf numFmtId="0" fontId="40" fillId="5" borderId="5" xfId="0" applyFont="1" applyFill="1" applyBorder="1" applyAlignment="1" applyProtection="1">
      <alignment horizontal="left" vertical="center"/>
      <protection locked="0"/>
    </xf>
    <xf numFmtId="10" fontId="40" fillId="5" borderId="34" xfId="0" applyNumberFormat="1" applyFont="1" applyFill="1" applyBorder="1" applyAlignment="1" applyProtection="1">
      <alignment horizontal="left" vertical="center"/>
      <protection locked="0"/>
    </xf>
    <xf numFmtId="10" fontId="40" fillId="5" borderId="6" xfId="0" applyNumberFormat="1" applyFont="1" applyFill="1" applyBorder="1" applyAlignment="1" applyProtection="1">
      <alignment horizontal="left" vertical="center"/>
      <protection locked="0"/>
    </xf>
    <xf numFmtId="181" fontId="100" fillId="5" borderId="0" xfId="0" applyNumberFormat="1" applyFont="1" applyFill="1" applyAlignment="1" applyProtection="1">
      <alignment horizontal="left" vertical="center"/>
      <protection locked="0"/>
    </xf>
    <xf numFmtId="183" fontId="40" fillId="5" borderId="58" xfId="0" applyNumberFormat="1" applyFont="1" applyFill="1" applyBorder="1" applyAlignment="1" applyProtection="1">
      <alignment horizontal="left" vertical="center"/>
      <protection locked="0"/>
    </xf>
    <xf numFmtId="179" fontId="40" fillId="5" borderId="6" xfId="0" applyNumberFormat="1" applyFont="1" applyFill="1" applyBorder="1" applyAlignment="1" applyProtection="1">
      <alignment horizontal="left" vertical="center"/>
      <protection locked="0"/>
    </xf>
    <xf numFmtId="0" fontId="111" fillId="5" borderId="46" xfId="0" applyFont="1" applyFill="1" applyBorder="1" applyAlignment="1" applyProtection="1">
      <alignment horizontal="left" vertical="center"/>
      <protection locked="0"/>
    </xf>
    <xf numFmtId="0" fontId="40" fillId="5" borderId="38" xfId="0" applyFont="1" applyFill="1" applyBorder="1" applyAlignment="1" applyProtection="1">
      <alignment horizontal="left" vertical="center"/>
      <protection locked="0"/>
    </xf>
    <xf numFmtId="0" fontId="40" fillId="5" borderId="26" xfId="0" applyFont="1" applyFill="1" applyBorder="1" applyAlignment="1" applyProtection="1">
      <alignment horizontal="left" vertical="center" wrapText="1"/>
      <protection locked="0"/>
    </xf>
    <xf numFmtId="0" fontId="40" fillId="5" borderId="22" xfId="0" applyFont="1" applyFill="1" applyBorder="1" applyAlignment="1" applyProtection="1">
      <alignment horizontal="left" vertical="center" wrapText="1"/>
      <protection locked="0"/>
    </xf>
    <xf numFmtId="10" fontId="40" fillId="5" borderId="59" xfId="0" applyNumberFormat="1" applyFont="1" applyFill="1" applyBorder="1" applyAlignment="1" applyProtection="1">
      <alignment horizontal="left" vertical="center"/>
      <protection locked="0"/>
    </xf>
    <xf numFmtId="10" fontId="40" fillId="5" borderId="43" xfId="0" applyNumberFormat="1" applyFont="1" applyFill="1" applyBorder="1" applyAlignment="1" applyProtection="1">
      <alignment horizontal="left" vertical="center"/>
      <protection locked="0"/>
    </xf>
    <xf numFmtId="179" fontId="40" fillId="5" borderId="58" xfId="0" applyNumberFormat="1" applyFont="1" applyFill="1" applyBorder="1" applyAlignment="1" applyProtection="1">
      <alignment horizontal="left" vertical="center"/>
      <protection locked="0"/>
    </xf>
    <xf numFmtId="178" fontId="40" fillId="5" borderId="59" xfId="0" applyNumberFormat="1" applyFont="1" applyFill="1" applyBorder="1" applyAlignment="1" applyProtection="1">
      <alignment horizontal="left" vertical="center"/>
      <protection locked="0"/>
    </xf>
    <xf numFmtId="14" fontId="40" fillId="0" borderId="0" xfId="0" applyNumberFormat="1" applyFont="1" applyFill="1" applyAlignment="1" applyProtection="1">
      <alignment horizontal="left" vertical="center"/>
      <protection locked="0"/>
    </xf>
    <xf numFmtId="179" fontId="43" fillId="0" borderId="0" xfId="0" applyNumberFormat="1" applyFont="1" applyFill="1" applyAlignment="1" applyProtection="1">
      <alignment horizontal="left" vertical="center"/>
      <protection locked="0"/>
    </xf>
    <xf numFmtId="179" fontId="40" fillId="0" borderId="0" xfId="0" applyNumberFormat="1" applyFont="1" applyFill="1" applyAlignment="1" applyProtection="1">
      <alignment horizontal="left" vertical="center"/>
      <protection locked="0"/>
    </xf>
    <xf numFmtId="0" fontId="40" fillId="0" borderId="0" xfId="0" applyFont="1" applyFill="1" applyBorder="1" applyAlignment="1" applyProtection="1">
      <alignment horizontal="left" vertical="center"/>
      <protection locked="0"/>
    </xf>
    <xf numFmtId="0" fontId="42" fillId="0" borderId="0" xfId="0" applyFont="1" applyFill="1" applyBorder="1" applyAlignment="1" applyProtection="1">
      <alignment horizontal="left" vertical="center" wrapText="1"/>
      <protection locked="0"/>
    </xf>
    <xf numFmtId="179" fontId="42" fillId="0" borderId="0" xfId="0" applyNumberFormat="1" applyFont="1" applyFill="1" applyBorder="1" applyAlignment="1" applyProtection="1">
      <alignment horizontal="left" vertical="center"/>
      <protection locked="0"/>
    </xf>
    <xf numFmtId="0" fontId="43" fillId="0" borderId="0" xfId="0" applyFont="1" applyFill="1" applyAlignment="1" applyProtection="1">
      <alignment horizontal="left" vertical="center" wrapText="1"/>
      <protection locked="0"/>
    </xf>
    <xf numFmtId="0" fontId="120" fillId="8" borderId="0" xfId="0" applyFont="1" applyFill="1" applyProtection="1">
      <alignment vertical="center"/>
    </xf>
    <xf numFmtId="0" fontId="100" fillId="8" borderId="0" xfId="0" applyFont="1" applyFill="1" applyProtection="1">
      <alignment vertical="center"/>
    </xf>
    <xf numFmtId="0" fontId="118" fillId="5" borderId="0" xfId="0" applyFont="1" applyFill="1" applyBorder="1" applyAlignment="1" applyProtection="1">
      <alignment horizontal="left" vertical="center"/>
      <protection locked="0"/>
    </xf>
    <xf numFmtId="0" fontId="43" fillId="5" borderId="0" xfId="0" applyFont="1" applyFill="1" applyBorder="1" applyAlignment="1" applyProtection="1">
      <alignment horizontal="left" vertical="center"/>
      <protection locked="0"/>
    </xf>
    <xf numFmtId="0" fontId="43" fillId="5" borderId="170" xfId="0" applyFont="1" applyFill="1" applyBorder="1" applyAlignment="1" applyProtection="1">
      <alignment horizontal="left" vertical="center"/>
      <protection locked="0"/>
    </xf>
    <xf numFmtId="9" fontId="43" fillId="5" borderId="0" xfId="0" applyNumberFormat="1" applyFont="1" applyFill="1" applyAlignment="1" applyProtection="1">
      <alignment horizontal="left" vertical="center"/>
      <protection locked="0"/>
    </xf>
    <xf numFmtId="10" fontId="43" fillId="5" borderId="0" xfId="0" applyNumberFormat="1"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43" fillId="5" borderId="0"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center" vertical="center" wrapText="1"/>
      <protection locked="0"/>
    </xf>
    <xf numFmtId="0" fontId="76" fillId="5" borderId="0" xfId="0" applyFont="1" applyFill="1" applyBorder="1" applyAlignment="1" applyProtection="1">
      <alignment horizontal="left" vertical="center"/>
      <protection locked="0"/>
    </xf>
    <xf numFmtId="0" fontId="43" fillId="5" borderId="0" xfId="0" applyFont="1" applyFill="1" applyBorder="1" applyAlignment="1" applyProtection="1">
      <alignment horizontal="center" vertical="center"/>
      <protection locked="0"/>
    </xf>
    <xf numFmtId="0" fontId="53" fillId="0" borderId="0" xfId="0" applyFont="1" applyFill="1" applyAlignment="1" applyProtection="1">
      <alignment vertical="center"/>
      <protection locked="0"/>
    </xf>
    <xf numFmtId="0" fontId="60" fillId="5" borderId="0" xfId="0" applyFont="1" applyFill="1" applyAlignment="1" applyProtection="1">
      <alignment vertical="center"/>
      <protection locked="0"/>
    </xf>
    <xf numFmtId="0" fontId="102" fillId="5" borderId="3" xfId="0" applyFont="1" applyFill="1" applyBorder="1" applyProtection="1">
      <alignment vertical="center"/>
    </xf>
    <xf numFmtId="0" fontId="102" fillId="5" borderId="51" xfId="0" applyFont="1" applyFill="1" applyBorder="1" applyAlignment="1" applyProtection="1">
      <alignment horizontal="center" vertical="center"/>
    </xf>
    <xf numFmtId="0" fontId="102" fillId="5" borderId="3" xfId="0" applyFont="1" applyFill="1" applyBorder="1" applyAlignment="1" applyProtection="1">
      <alignment horizontal="center" vertical="center"/>
    </xf>
    <xf numFmtId="0" fontId="103" fillId="5" borderId="1" xfId="0" applyFont="1" applyFill="1" applyBorder="1" applyProtection="1">
      <alignment vertical="center"/>
    </xf>
    <xf numFmtId="0" fontId="43" fillId="0" borderId="1" xfId="0"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189" fontId="53" fillId="0" borderId="0" xfId="0" applyNumberFormat="1" applyFont="1" applyFill="1" applyBorder="1" applyAlignment="1" applyProtection="1">
      <alignment horizontal="left" vertical="center"/>
      <protection locked="0"/>
    </xf>
    <xf numFmtId="181" fontId="53" fillId="0" borderId="0" xfId="0" applyNumberFormat="1" applyFont="1" applyFill="1" applyBorder="1" applyAlignment="1" applyProtection="1">
      <alignment horizontal="left" vertical="center"/>
      <protection locked="0"/>
    </xf>
    <xf numFmtId="0" fontId="217" fillId="0" borderId="0" xfId="0" applyFont="1" applyFill="1" applyBorder="1" applyAlignment="1" applyProtection="1">
      <alignment horizontal="left" vertical="center"/>
      <protection locked="0"/>
    </xf>
    <xf numFmtId="181" fontId="40" fillId="0" borderId="0" xfId="0" applyNumberFormat="1"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protection locked="0"/>
    </xf>
    <xf numFmtId="181" fontId="68" fillId="0" borderId="0" xfId="0" applyNumberFormat="1" applyFont="1" applyFill="1" applyBorder="1" applyAlignment="1" applyProtection="1">
      <alignment horizontal="left" vertical="center" wrapText="1"/>
      <protection locked="0"/>
    </xf>
    <xf numFmtId="0" fontId="68" fillId="0" borderId="0" xfId="0" applyFont="1" applyFill="1" applyBorder="1" applyAlignment="1" applyProtection="1">
      <alignment horizontal="left" vertical="center"/>
      <protection locked="0"/>
    </xf>
    <xf numFmtId="181" fontId="45" fillId="0" borderId="0" xfId="0" applyNumberFormat="1" applyFont="1" applyFill="1" applyBorder="1" applyAlignment="1" applyProtection="1">
      <alignment horizontal="left" vertical="center" wrapText="1"/>
      <protection locked="0"/>
    </xf>
    <xf numFmtId="181" fontId="69" fillId="0" borderId="0" xfId="0" applyNumberFormat="1" applyFont="1" applyFill="1" applyBorder="1" applyAlignment="1" applyProtection="1">
      <alignment horizontal="left" vertical="center" wrapText="1"/>
      <protection locked="0"/>
    </xf>
    <xf numFmtId="181" fontId="47" fillId="0" borderId="0" xfId="0" applyNumberFormat="1" applyFont="1" applyFill="1" applyBorder="1" applyAlignment="1" applyProtection="1">
      <alignment horizontal="left" vertical="center" wrapText="1"/>
      <protection locked="0"/>
    </xf>
    <xf numFmtId="181" fontId="69" fillId="0" borderId="0" xfId="0" applyNumberFormat="1" applyFont="1" applyFill="1" applyAlignment="1" applyProtection="1">
      <alignment horizontal="left" vertical="center"/>
      <protection locked="0"/>
    </xf>
    <xf numFmtId="181" fontId="47" fillId="0" borderId="0" xfId="0" applyNumberFormat="1" applyFont="1" applyFill="1" applyBorder="1" applyAlignment="1" applyProtection="1">
      <alignment horizontal="left"/>
      <protection locked="0"/>
    </xf>
    <xf numFmtId="0" fontId="47" fillId="0" borderId="0" xfId="0" applyFont="1" applyFill="1" applyBorder="1" applyAlignment="1" applyProtection="1">
      <alignment horizontal="left"/>
      <protection locked="0"/>
    </xf>
    <xf numFmtId="9" fontId="47" fillId="0" borderId="0" xfId="0" applyNumberFormat="1" applyFont="1" applyFill="1" applyAlignment="1" applyProtection="1">
      <alignment horizontal="left" vertical="center"/>
      <protection locked="0"/>
    </xf>
    <xf numFmtId="14" fontId="47" fillId="0" borderId="0" xfId="0" applyNumberFormat="1" applyFont="1" applyFill="1" applyAlignment="1" applyProtection="1">
      <alignment horizontal="left" vertical="center"/>
      <protection locked="0"/>
    </xf>
    <xf numFmtId="176" fontId="47" fillId="0" borderId="0" xfId="0" applyNumberFormat="1" applyFont="1" applyFill="1" applyAlignment="1" applyProtection="1">
      <alignment horizontal="left" vertical="center"/>
      <protection locked="0"/>
    </xf>
    <xf numFmtId="189" fontId="69" fillId="0" borderId="0" xfId="0" applyNumberFormat="1" applyFont="1" applyFill="1" applyAlignment="1" applyProtection="1">
      <alignment horizontal="left" vertical="center"/>
      <protection locked="0"/>
    </xf>
    <xf numFmtId="0" fontId="66" fillId="0" borderId="0" xfId="0" applyFont="1" applyFill="1" applyBorder="1" applyAlignment="1" applyProtection="1">
      <alignment horizontal="left" vertical="center"/>
      <protection locked="0"/>
    </xf>
    <xf numFmtId="0" fontId="58" fillId="0" borderId="0" xfId="0" applyFont="1" applyFill="1" applyBorder="1" applyAlignment="1" applyProtection="1">
      <alignment horizontal="left" vertical="center"/>
      <protection locked="0"/>
    </xf>
    <xf numFmtId="189" fontId="58" fillId="0" borderId="0" xfId="0" applyNumberFormat="1" applyFont="1" applyFill="1" applyBorder="1" applyAlignment="1" applyProtection="1">
      <alignment horizontal="left" vertical="center"/>
      <protection locked="0"/>
    </xf>
    <xf numFmtId="181" fontId="58" fillId="0" borderId="0" xfId="0" applyNumberFormat="1" applyFont="1" applyFill="1" applyBorder="1" applyAlignment="1" applyProtection="1">
      <alignment horizontal="left" vertical="center"/>
      <protection locked="0"/>
    </xf>
    <xf numFmtId="0" fontId="40" fillId="0" borderId="0" xfId="0" applyNumberFormat="1" applyFont="1" applyFill="1" applyBorder="1" applyAlignment="1" applyProtection="1">
      <alignment horizontal="left" vertical="center" wrapText="1"/>
      <protection locked="0"/>
    </xf>
    <xf numFmtId="0" fontId="69" fillId="0" borderId="0" xfId="0" applyNumberFormat="1" applyFont="1" applyFill="1" applyBorder="1" applyAlignment="1" applyProtection="1">
      <alignment horizontal="left" vertical="center" wrapText="1"/>
      <protection locked="0"/>
    </xf>
    <xf numFmtId="0" fontId="47" fillId="0" borderId="0" xfId="0" applyNumberFormat="1" applyFont="1" applyFill="1" applyBorder="1" applyAlignment="1" applyProtection="1">
      <alignment horizontal="left" vertical="center" wrapText="1"/>
      <protection locked="0"/>
    </xf>
    <xf numFmtId="0" fontId="45" fillId="0" borderId="0" xfId="0" applyNumberFormat="1" applyFont="1" applyFill="1" applyBorder="1" applyAlignment="1" applyProtection="1">
      <alignment horizontal="left" vertical="center" wrapText="1"/>
      <protection locked="0"/>
    </xf>
    <xf numFmtId="0" fontId="58" fillId="5" borderId="35" xfId="0" applyFont="1" applyFill="1" applyBorder="1" applyAlignment="1" applyProtection="1">
      <alignment horizontal="left" vertical="center"/>
    </xf>
    <xf numFmtId="0" fontId="58" fillId="0" borderId="0" xfId="0" applyFont="1" applyFill="1" applyBorder="1" applyAlignment="1" applyProtection="1">
      <alignment vertical="center"/>
      <protection locked="0"/>
    </xf>
    <xf numFmtId="181" fontId="58" fillId="0" borderId="0" xfId="0" applyNumberFormat="1" applyFont="1" applyFill="1" applyBorder="1" applyAlignment="1" applyProtection="1">
      <alignment vertical="center"/>
      <protection locked="0"/>
    </xf>
    <xf numFmtId="0" fontId="58" fillId="0" borderId="0" xfId="0" applyFont="1" applyFill="1" applyBorder="1" applyAlignment="1" applyProtection="1">
      <alignment horizontal="center" vertical="center"/>
      <protection locked="0"/>
    </xf>
    <xf numFmtId="0" fontId="66" fillId="0" borderId="0" xfId="0" applyFont="1" applyFill="1" applyBorder="1" applyAlignment="1" applyProtection="1">
      <alignment vertical="center"/>
      <protection locked="0"/>
    </xf>
    <xf numFmtId="189" fontId="58" fillId="0" borderId="0" xfId="0" applyNumberFormat="1" applyFont="1" applyFill="1" applyBorder="1" applyAlignment="1" applyProtection="1">
      <alignment horizontal="center" vertical="center"/>
      <protection locked="0"/>
    </xf>
    <xf numFmtId="181" fontId="40" fillId="0" borderId="0" xfId="0" applyNumberFormat="1" applyFont="1" applyFill="1" applyBorder="1" applyAlignment="1" applyProtection="1">
      <alignment vertical="center" wrapText="1"/>
      <protection locked="0"/>
    </xf>
    <xf numFmtId="0" fontId="47" fillId="0" borderId="0" xfId="0" applyFont="1" applyFill="1" applyBorder="1" applyAlignment="1" applyProtection="1">
      <alignment horizontal="center" vertical="center"/>
      <protection locked="0"/>
    </xf>
    <xf numFmtId="181" fontId="40" fillId="0" borderId="0" xfId="0" applyNumberFormat="1" applyFont="1" applyFill="1" applyBorder="1" applyAlignment="1" applyProtection="1">
      <alignment horizontal="center" vertical="center" wrapText="1"/>
      <protection locked="0"/>
    </xf>
    <xf numFmtId="0" fontId="40" fillId="0" borderId="0" xfId="0" applyFont="1" applyFill="1" applyBorder="1" applyAlignment="1" applyProtection="1">
      <alignment horizontal="center" vertical="center"/>
      <protection locked="0"/>
    </xf>
    <xf numFmtId="0" fontId="40"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protection locked="0"/>
    </xf>
    <xf numFmtId="0" fontId="68" fillId="0" borderId="25" xfId="0" applyFont="1" applyFill="1" applyBorder="1" applyAlignment="1" applyProtection="1">
      <alignment horizontal="center" vertical="center"/>
      <protection locked="0"/>
    </xf>
    <xf numFmtId="181" fontId="45" fillId="0" borderId="0" xfId="0" applyNumberFormat="1" applyFont="1" applyFill="1" applyBorder="1" applyAlignment="1" applyProtection="1">
      <alignment horizontal="center" vertical="center" wrapText="1"/>
      <protection locked="0"/>
    </xf>
    <xf numFmtId="0" fontId="47" fillId="0" borderId="25" xfId="0" applyFont="1" applyFill="1" applyBorder="1" applyAlignment="1" applyProtection="1">
      <alignment horizontal="center" vertical="center"/>
      <protection locked="0"/>
    </xf>
    <xf numFmtId="181" fontId="69" fillId="0" borderId="0" xfId="0" applyNumberFormat="1" applyFont="1" applyFill="1" applyBorder="1" applyAlignment="1" applyProtection="1">
      <alignment horizontal="center" vertical="center" wrapText="1"/>
      <protection locked="0"/>
    </xf>
    <xf numFmtId="0" fontId="45" fillId="0" borderId="25" xfId="0" applyFont="1" applyFill="1" applyBorder="1" applyAlignment="1" applyProtection="1">
      <alignment horizontal="center" vertical="center"/>
      <protection locked="0"/>
    </xf>
    <xf numFmtId="181" fontId="47" fillId="0" borderId="0" xfId="0" applyNumberFormat="1" applyFont="1" applyFill="1" applyBorder="1" applyAlignment="1" applyProtection="1">
      <alignment vertical="center" wrapText="1"/>
      <protection locked="0"/>
    </xf>
    <xf numFmtId="181" fontId="69" fillId="0" borderId="0" xfId="0" applyNumberFormat="1" applyFont="1" applyFill="1" applyAlignment="1" applyProtection="1">
      <alignment horizontal="center" vertical="center"/>
      <protection locked="0"/>
    </xf>
    <xf numFmtId="14" fontId="47" fillId="0" borderId="0" xfId="0" applyNumberFormat="1" applyFont="1" applyFill="1" applyAlignment="1" applyProtection="1">
      <alignment horizontal="center" vertical="center"/>
      <protection locked="0"/>
    </xf>
    <xf numFmtId="9" fontId="47" fillId="0" borderId="0" xfId="0" applyNumberFormat="1" applyFont="1" applyFill="1" applyAlignment="1" applyProtection="1">
      <alignment horizontal="center" vertical="center"/>
      <protection locked="0"/>
    </xf>
    <xf numFmtId="189" fontId="69" fillId="0" borderId="0" xfId="0" applyNumberFormat="1" applyFont="1" applyFill="1" applyAlignment="1" applyProtection="1">
      <alignment horizontal="center" vertical="center"/>
      <protection locked="0"/>
    </xf>
    <xf numFmtId="176" fontId="47" fillId="0" borderId="0" xfId="0" applyNumberFormat="1" applyFont="1" applyFill="1" applyAlignment="1" applyProtection="1">
      <alignment horizontal="center" vertical="center"/>
      <protection locked="0"/>
    </xf>
    <xf numFmtId="0" fontId="47" fillId="0" borderId="0" xfId="0" applyFont="1" applyFill="1" applyBorder="1" applyAlignment="1" applyProtection="1">
      <protection locked="0"/>
    </xf>
    <xf numFmtId="0" fontId="40" fillId="0" borderId="25" xfId="0" applyFont="1" applyFill="1" applyBorder="1" applyAlignment="1" applyProtection="1">
      <alignment horizontal="left" vertical="center"/>
      <protection locked="0"/>
    </xf>
    <xf numFmtId="0" fontId="68" fillId="0" borderId="25" xfId="0" applyFont="1" applyFill="1" applyBorder="1" applyAlignment="1" applyProtection="1">
      <alignment horizontal="left" vertical="center"/>
      <protection locked="0"/>
    </xf>
    <xf numFmtId="0" fontId="47" fillId="0" borderId="25" xfId="0" applyFont="1" applyFill="1" applyBorder="1" applyAlignment="1" applyProtection="1">
      <alignment horizontal="left" vertical="center"/>
      <protection locked="0"/>
    </xf>
    <xf numFmtId="0" fontId="45" fillId="0" borderId="25" xfId="0" applyFont="1" applyFill="1" applyBorder="1" applyAlignment="1" applyProtection="1">
      <alignment horizontal="left" vertical="center"/>
      <protection locked="0"/>
    </xf>
    <xf numFmtId="0" fontId="49" fillId="0" borderId="0" xfId="0" applyFont="1" applyFill="1" applyAlignment="1" applyProtection="1">
      <alignment horizontal="left"/>
      <protection locked="0"/>
    </xf>
    <xf numFmtId="0" fontId="49" fillId="0" borderId="0" xfId="0" applyFont="1" applyFill="1" applyAlignment="1" applyProtection="1">
      <protection locked="0"/>
    </xf>
    <xf numFmtId="0" fontId="49" fillId="0" borderId="0" xfId="0" applyFont="1" applyFill="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7" fillId="0" borderId="0" xfId="0" applyFont="1" applyFill="1" applyAlignment="1" applyProtection="1">
      <alignment horizontal="left" vertical="center" wrapText="1"/>
      <protection locked="0"/>
    </xf>
    <xf numFmtId="0" fontId="47" fillId="5" borderId="22" xfId="6" applyFont="1" applyFill="1" applyBorder="1" applyAlignment="1" applyProtection="1">
      <alignment horizontal="left" vertical="center" wrapText="1"/>
      <protection locked="0"/>
    </xf>
    <xf numFmtId="0" fontId="47" fillId="5" borderId="0" xfId="6" applyFont="1" applyFill="1" applyBorder="1" applyAlignment="1" applyProtection="1">
      <alignment horizontal="left" vertical="center" wrapText="1"/>
      <protection locked="0"/>
    </xf>
    <xf numFmtId="10" fontId="49" fillId="5" borderId="58" xfId="6" applyNumberFormat="1"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9" fillId="5" borderId="31" xfId="0" applyFont="1" applyFill="1" applyBorder="1" applyAlignment="1" applyProtection="1">
      <alignment horizontal="left" vertical="center" wrapText="1"/>
    </xf>
    <xf numFmtId="0" fontId="49" fillId="0" borderId="0" xfId="0" applyFont="1" applyFill="1" applyAlignment="1" applyProtection="1">
      <alignment horizontal="left" vertical="center" wrapText="1"/>
    </xf>
    <xf numFmtId="0" fontId="122" fillId="0" borderId="0" xfId="5" applyFont="1" applyAlignment="1">
      <alignment horizontal="left" vertical="center"/>
    </xf>
    <xf numFmtId="0" fontId="156" fillId="0" borderId="0" xfId="5" applyFont="1" applyAlignment="1">
      <alignment horizontal="left" vertical="center"/>
    </xf>
    <xf numFmtId="0" fontId="156" fillId="0" borderId="0" xfId="5" applyFont="1" applyFill="1" applyAlignment="1">
      <alignment horizontal="left" vertical="center"/>
    </xf>
    <xf numFmtId="14" fontId="156" fillId="0" borderId="0" xfId="5" applyNumberFormat="1" applyFont="1" applyAlignment="1">
      <alignment horizontal="left" vertical="center"/>
    </xf>
    <xf numFmtId="0" fontId="125"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2" fillId="0" borderId="0" xfId="5" applyFont="1" applyAlignment="1">
      <alignment horizontal="left" vertical="center"/>
    </xf>
    <xf numFmtId="0" fontId="123" fillId="6" borderId="18" xfId="5" applyFont="1" applyFill="1" applyBorder="1" applyAlignment="1">
      <alignment horizontal="left" vertical="center"/>
    </xf>
    <xf numFmtId="0" fontId="124" fillId="0" borderId="1" xfId="5" applyFont="1" applyBorder="1" applyAlignment="1">
      <alignment horizontal="left" vertical="center"/>
    </xf>
    <xf numFmtId="0" fontId="124" fillId="0" borderId="2" xfId="5" applyFont="1" applyBorder="1" applyAlignment="1">
      <alignment horizontal="left" vertical="center"/>
    </xf>
    <xf numFmtId="192" fontId="124" fillId="0" borderId="1" xfId="5" applyNumberFormat="1" applyFont="1" applyFill="1" applyBorder="1" applyAlignment="1">
      <alignment horizontal="left" vertical="center"/>
    </xf>
    <xf numFmtId="184" fontId="124" fillId="0" borderId="1" xfId="5" applyNumberFormat="1" applyFont="1" applyFill="1" applyBorder="1" applyAlignment="1">
      <alignment horizontal="left" vertical="center"/>
    </xf>
    <xf numFmtId="0" fontId="253" fillId="0" borderId="1" xfId="5" applyFont="1" applyFill="1" applyBorder="1" applyAlignment="1">
      <alignment horizontal="left" vertical="center"/>
    </xf>
    <xf numFmtId="192" fontId="124" fillId="0" borderId="2" xfId="5" applyNumberFormat="1" applyFont="1" applyFill="1" applyBorder="1" applyAlignment="1">
      <alignment horizontal="left" vertical="center"/>
    </xf>
    <xf numFmtId="0" fontId="253" fillId="0" borderId="0" xfId="5" applyFont="1" applyFill="1" applyAlignment="1">
      <alignment horizontal="left" vertical="center"/>
    </xf>
    <xf numFmtId="0" fontId="123" fillId="0" borderId="1" xfId="5" applyFont="1" applyFill="1" applyBorder="1" applyAlignment="1">
      <alignment horizontal="left" vertical="center"/>
    </xf>
    <xf numFmtId="0" fontId="126" fillId="0" borderId="1"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0" fontId="83" fillId="0" borderId="1" xfId="5" applyFont="1" applyBorder="1" applyAlignment="1">
      <alignment horizontal="left" vertical="center"/>
    </xf>
    <xf numFmtId="184" fontId="83" fillId="0" borderId="1" xfId="0" applyNumberFormat="1" applyFont="1" applyFill="1" applyBorder="1" applyAlignment="1">
      <alignment horizontal="left" vertical="center"/>
    </xf>
    <xf numFmtId="192" fontId="253" fillId="0" borderId="2" xfId="5" applyNumberFormat="1" applyFont="1" applyFill="1" applyBorder="1" applyAlignment="1">
      <alignment horizontal="left" vertical="center"/>
    </xf>
    <xf numFmtId="0" fontId="123" fillId="6" borderId="174" xfId="5" applyFont="1" applyFill="1" applyBorder="1" applyAlignment="1">
      <alignment horizontal="left" vertical="center"/>
    </xf>
    <xf numFmtId="0" fontId="124" fillId="0" borderId="173" xfId="5" applyFont="1" applyFill="1" applyBorder="1" applyAlignment="1">
      <alignment horizontal="left" vertical="center"/>
    </xf>
    <xf numFmtId="184" fontId="124" fillId="0" borderId="2" xfId="5" applyNumberFormat="1" applyFont="1" applyFill="1" applyBorder="1" applyAlignment="1">
      <alignment horizontal="left" vertical="center"/>
    </xf>
    <xf numFmtId="14" fontId="126" fillId="0" borderId="2" xfId="5" applyNumberFormat="1" applyFont="1" applyBorder="1" applyAlignment="1">
      <alignment horizontal="left" vertical="center"/>
    </xf>
    <xf numFmtId="0" fontId="126" fillId="0" borderId="173" xfId="5" applyFont="1" applyBorder="1" applyAlignment="1">
      <alignment horizontal="left" vertical="center"/>
    </xf>
    <xf numFmtId="14" fontId="156" fillId="0" borderId="175" xfId="5" applyNumberFormat="1" applyFont="1" applyBorder="1" applyAlignment="1">
      <alignment horizontal="left" vertical="center"/>
    </xf>
    <xf numFmtId="0" fontId="156" fillId="0" borderId="0" xfId="5" applyFont="1" applyBorder="1" applyAlignment="1">
      <alignment horizontal="left" vertical="center"/>
    </xf>
    <xf numFmtId="0" fontId="254" fillId="0" borderId="0" xfId="5" applyFont="1" applyBorder="1" applyAlignment="1">
      <alignment horizontal="left" vertical="center"/>
    </xf>
    <xf numFmtId="181" fontId="40" fillId="0" borderId="58" xfId="0" applyNumberFormat="1" applyFont="1" applyFill="1" applyBorder="1" applyAlignment="1" applyProtection="1">
      <alignment horizontal="left" vertical="center"/>
      <protection locked="0"/>
    </xf>
    <xf numFmtId="0" fontId="136" fillId="0" borderId="0" xfId="0" applyFont="1" applyFill="1" applyAlignment="1" applyProtection="1">
      <alignment horizontal="left" vertical="center"/>
      <protection locked="0"/>
    </xf>
    <xf numFmtId="0" fontId="136" fillId="5" borderId="15" xfId="0" applyFont="1" applyFill="1" applyBorder="1" applyAlignment="1" applyProtection="1">
      <alignment horizontal="left" vertical="center"/>
      <protection locked="0"/>
    </xf>
    <xf numFmtId="0" fontId="43" fillId="5" borderId="1" xfId="0" applyFont="1" applyFill="1" applyBorder="1" applyAlignment="1" applyProtection="1">
      <alignment horizontal="left" vertical="center" wrapText="1"/>
    </xf>
    <xf numFmtId="0" fontId="43" fillId="5" borderId="7" xfId="0" applyFont="1" applyFill="1" applyBorder="1" applyAlignment="1" applyProtection="1">
      <alignment horizontal="left" vertical="center" wrapText="1"/>
    </xf>
    <xf numFmtId="0" fontId="43" fillId="5" borderId="3" xfId="0" applyFont="1" applyFill="1" applyBorder="1" applyAlignment="1" applyProtection="1">
      <alignment horizontal="left" vertical="center" wrapText="1"/>
    </xf>
    <xf numFmtId="0" fontId="43" fillId="5" borderId="8"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183" fontId="40" fillId="0" borderId="43" xfId="0" applyNumberFormat="1" applyFont="1" applyFill="1" applyBorder="1" applyAlignment="1" applyProtection="1">
      <alignment horizontal="left" vertical="center"/>
      <protection locked="0"/>
    </xf>
    <xf numFmtId="0" fontId="48" fillId="5" borderId="55" xfId="0" applyFont="1" applyFill="1" applyBorder="1" applyAlignment="1" applyProtection="1">
      <alignment horizontal="left" vertical="center" wrapText="1"/>
    </xf>
    <xf numFmtId="0" fontId="48" fillId="5" borderId="14"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43" fillId="5" borderId="66" xfId="0" applyFont="1" applyFill="1" applyBorder="1" applyAlignment="1" applyProtection="1">
      <alignment horizontal="left" vertical="center"/>
    </xf>
    <xf numFmtId="0" fontId="43" fillId="8" borderId="0" xfId="0" applyFont="1" applyFill="1" applyAlignment="1" applyProtection="1">
      <alignment horizontal="left" vertical="center"/>
      <protection locked="0"/>
    </xf>
    <xf numFmtId="0" fontId="48" fillId="5" borderId="22" xfId="0" applyFont="1" applyFill="1" applyBorder="1" applyAlignment="1" applyProtection="1">
      <alignment horizontal="left" vertical="center" wrapText="1"/>
    </xf>
    <xf numFmtId="0" fontId="43" fillId="5" borderId="11" xfId="0" applyFont="1" applyFill="1" applyBorder="1" applyAlignment="1" applyProtection="1">
      <alignment horizontal="left" vertical="center" wrapText="1"/>
    </xf>
    <xf numFmtId="49" fontId="43" fillId="5" borderId="0" xfId="0" applyNumberFormat="1" applyFont="1" applyFill="1" applyBorder="1" applyAlignment="1" applyProtection="1">
      <alignment horizontal="left" vertical="center" wrapText="1"/>
      <protection locked="0"/>
    </xf>
    <xf numFmtId="0" fontId="48" fillId="5" borderId="26" xfId="0" applyFont="1" applyFill="1" applyBorder="1" applyAlignment="1" applyProtection="1">
      <alignment horizontal="left" vertical="center" wrapText="1"/>
    </xf>
    <xf numFmtId="0" fontId="43" fillId="5" borderId="24" xfId="0" applyFont="1" applyFill="1" applyBorder="1" applyAlignment="1" applyProtection="1">
      <alignment horizontal="left" vertical="center" wrapText="1"/>
    </xf>
    <xf numFmtId="0" fontId="241" fillId="0" borderId="34" xfId="0" applyNumberFormat="1" applyFont="1" applyFill="1" applyBorder="1" applyAlignment="1" applyProtection="1">
      <alignment horizontal="left" vertical="center" wrapText="1"/>
      <protection locked="0"/>
    </xf>
    <xf numFmtId="49" fontId="43" fillId="5" borderId="26" xfId="0" applyNumberFormat="1" applyFont="1" applyFill="1" applyBorder="1" applyAlignment="1" applyProtection="1">
      <alignment horizontal="left" vertical="center" wrapText="1"/>
    </xf>
    <xf numFmtId="0" fontId="241" fillId="0" borderId="6" xfId="0" applyFont="1" applyBorder="1" applyAlignment="1" applyProtection="1">
      <alignment horizontal="left" vertical="center" wrapText="1"/>
      <protection locked="0"/>
    </xf>
    <xf numFmtId="49" fontId="43" fillId="5" borderId="42" xfId="0" applyNumberFormat="1" applyFont="1" applyFill="1" applyBorder="1" applyAlignment="1" applyProtection="1">
      <alignment horizontal="left" vertical="center" wrapText="1"/>
    </xf>
    <xf numFmtId="0" fontId="43" fillId="5" borderId="56" xfId="0" applyFont="1" applyFill="1" applyBorder="1" applyAlignment="1" applyProtection="1">
      <alignment horizontal="left" vertical="center" wrapText="1"/>
    </xf>
    <xf numFmtId="0" fontId="241" fillId="0" borderId="43" xfId="0" applyNumberFormat="1" applyFont="1" applyFill="1" applyBorder="1" applyAlignment="1" applyProtection="1">
      <alignment horizontal="left" vertical="center" wrapText="1"/>
      <protection locked="0"/>
    </xf>
    <xf numFmtId="0" fontId="48" fillId="5" borderId="42" xfId="0" applyFont="1" applyFill="1" applyBorder="1" applyAlignment="1" applyProtection="1">
      <alignment horizontal="left" vertical="center" wrapText="1"/>
    </xf>
    <xf numFmtId="0" fontId="43" fillId="8" borderId="0" xfId="0" applyNumberFormat="1" applyFont="1" applyFill="1" applyBorder="1" applyAlignment="1" applyProtection="1">
      <alignment horizontal="left" vertical="center" wrapText="1"/>
      <protection locked="0"/>
    </xf>
    <xf numFmtId="49" fontId="43" fillId="8" borderId="0"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0" fontId="43" fillId="5" borderId="0" xfId="0" applyNumberFormat="1" applyFont="1" applyFill="1" applyBorder="1" applyAlignment="1" applyProtection="1">
      <alignment horizontal="left" vertical="center" wrapText="1"/>
      <protection locked="0"/>
    </xf>
    <xf numFmtId="0" fontId="48" fillId="5" borderId="5"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3" fillId="8" borderId="0" xfId="0" applyFont="1" applyFill="1" applyAlignment="1" applyProtection="1">
      <alignment horizontal="left" vertical="center" wrapText="1"/>
      <protection locked="0"/>
    </xf>
    <xf numFmtId="0" fontId="43" fillId="8" borderId="0" xfId="0" applyNumberFormat="1" applyFont="1" applyFill="1" applyAlignment="1" applyProtection="1">
      <alignment horizontal="left" vertical="center" wrapText="1"/>
      <protection locked="0"/>
    </xf>
    <xf numFmtId="0" fontId="43" fillId="8" borderId="0" xfId="0" applyNumberFormat="1" applyFont="1" applyFill="1" applyAlignment="1" applyProtection="1">
      <alignment horizontal="left" vertical="center"/>
      <protection locked="0"/>
    </xf>
    <xf numFmtId="0" fontId="48" fillId="5" borderId="10" xfId="0" applyFont="1" applyFill="1" applyBorder="1" applyAlignment="1" applyProtection="1">
      <alignment horizontal="left" vertical="center" wrapText="1"/>
    </xf>
    <xf numFmtId="0" fontId="43" fillId="5" borderId="4" xfId="0" applyFont="1" applyFill="1" applyBorder="1" applyAlignment="1" applyProtection="1">
      <alignment horizontal="left" vertical="center" wrapText="1"/>
    </xf>
    <xf numFmtId="49" fontId="43" fillId="5" borderId="59" xfId="0" applyNumberFormat="1" applyFont="1" applyFill="1" applyBorder="1" applyAlignment="1" applyProtection="1">
      <alignment horizontal="left" vertical="center" wrapText="1"/>
    </xf>
    <xf numFmtId="49" fontId="48" fillId="5" borderId="10" xfId="0" applyNumberFormat="1" applyFont="1" applyFill="1" applyBorder="1" applyAlignment="1" applyProtection="1">
      <alignment horizontal="left" vertical="center" wrapText="1"/>
    </xf>
    <xf numFmtId="0" fontId="43" fillId="5" borderId="31" xfId="0" applyNumberFormat="1" applyFont="1" applyFill="1" applyBorder="1" applyAlignment="1" applyProtection="1">
      <alignment horizontal="left" vertical="center" wrapText="1"/>
    </xf>
    <xf numFmtId="0" fontId="48" fillId="5" borderId="77" xfId="0" applyFont="1" applyFill="1" applyBorder="1" applyAlignment="1" applyProtection="1">
      <alignment horizontal="left" vertical="center" wrapText="1"/>
    </xf>
    <xf numFmtId="49" fontId="43" fillId="5" borderId="6" xfId="0" applyNumberFormat="1" applyFont="1" applyFill="1" applyBorder="1" applyAlignment="1" applyProtection="1">
      <alignment horizontal="left" vertical="center" wrapText="1"/>
    </xf>
    <xf numFmtId="49" fontId="48" fillId="5" borderId="77" xfId="0" applyNumberFormat="1" applyFont="1" applyFill="1" applyBorder="1" applyAlignment="1" applyProtection="1">
      <alignment horizontal="left" vertical="center" wrapText="1"/>
    </xf>
    <xf numFmtId="0" fontId="43" fillId="5" borderId="6" xfId="0" applyNumberFormat="1" applyFont="1" applyFill="1" applyBorder="1" applyAlignment="1" applyProtection="1">
      <alignment horizontal="left" vertical="center" wrapText="1"/>
    </xf>
    <xf numFmtId="0" fontId="241" fillId="0" borderId="6" xfId="0" applyNumberFormat="1" applyFont="1" applyFill="1" applyBorder="1" applyAlignment="1" applyProtection="1">
      <alignment horizontal="left" vertical="center" wrapText="1"/>
      <protection locked="0"/>
    </xf>
    <xf numFmtId="0" fontId="43" fillId="6" borderId="6" xfId="0" applyNumberFormat="1" applyFont="1" applyFill="1" applyBorder="1" applyAlignment="1" applyProtection="1">
      <alignment horizontal="left" vertical="center" wrapText="1"/>
      <protection locked="0"/>
    </xf>
    <xf numFmtId="0" fontId="43" fillId="0" borderId="6" xfId="0" applyNumberFormat="1" applyFont="1" applyFill="1" applyBorder="1" applyAlignment="1" applyProtection="1">
      <alignment horizontal="left" vertical="center" wrapText="1"/>
      <protection locked="0"/>
    </xf>
    <xf numFmtId="49" fontId="48" fillId="5" borderId="78" xfId="0" applyNumberFormat="1" applyFont="1" applyFill="1" applyBorder="1" applyAlignment="1" applyProtection="1">
      <alignment horizontal="left" vertical="center" wrapText="1"/>
    </xf>
    <xf numFmtId="0" fontId="43" fillId="0" borderId="43" xfId="0" applyNumberFormat="1" applyFont="1" applyFill="1" applyBorder="1" applyAlignment="1" applyProtection="1">
      <alignment horizontal="left" vertical="center" wrapText="1"/>
      <protection locked="0"/>
    </xf>
    <xf numFmtId="0" fontId="48" fillId="5" borderId="78" xfId="0" applyFont="1" applyFill="1" applyBorder="1" applyAlignment="1" applyProtection="1">
      <alignment horizontal="left" vertical="center" wrapText="1"/>
    </xf>
    <xf numFmtId="0" fontId="43" fillId="5" borderId="43" xfId="0" applyNumberFormat="1" applyFont="1" applyFill="1" applyBorder="1" applyAlignment="1" applyProtection="1">
      <alignment horizontal="left" vertical="center" wrapText="1"/>
    </xf>
    <xf numFmtId="0" fontId="43" fillId="5" borderId="0" xfId="0" applyFont="1" applyFill="1" applyAlignment="1" applyProtection="1">
      <alignment horizontal="left" vertical="center" wrapText="1"/>
      <protection locked="0"/>
    </xf>
    <xf numFmtId="0" fontId="43" fillId="5" borderId="0" xfId="0" applyNumberFormat="1" applyFont="1" applyFill="1" applyAlignment="1" applyProtection="1">
      <alignment horizontal="left" vertical="center" wrapText="1"/>
      <protection locked="0"/>
    </xf>
    <xf numFmtId="0" fontId="99" fillId="5" borderId="43" xfId="0" applyNumberFormat="1" applyFont="1" applyFill="1" applyBorder="1" applyAlignment="1" applyProtection="1">
      <alignment horizontal="left" vertical="center" wrapText="1"/>
    </xf>
    <xf numFmtId="0" fontId="151" fillId="12" borderId="133" xfId="7" applyFont="1" applyFill="1" applyBorder="1" applyAlignment="1" applyProtection="1">
      <alignment horizontal="left" vertical="center" wrapText="1"/>
    </xf>
    <xf numFmtId="0" fontId="151" fillId="12" borderId="133" xfId="7" applyFont="1" applyFill="1" applyBorder="1" applyAlignment="1" applyProtection="1">
      <alignment horizontal="left" vertical="center" wrapText="1"/>
    </xf>
    <xf numFmtId="0" fontId="144" fillId="5" borderId="0" xfId="2" applyFont="1" applyFill="1"/>
    <xf numFmtId="0" fontId="144" fillId="5" borderId="1" xfId="2" applyFont="1" applyFill="1" applyBorder="1" applyAlignment="1">
      <alignment horizontal="center" wrapText="1"/>
    </xf>
    <xf numFmtId="0" fontId="144" fillId="0" borderId="0" xfId="2" applyFont="1"/>
    <xf numFmtId="0" fontId="96" fillId="0" borderId="0" xfId="0" applyFont="1" applyAlignment="1"/>
    <xf numFmtId="10" fontId="49" fillId="5" borderId="57" xfId="0" applyNumberFormat="1" applyFont="1" applyFill="1" applyBorder="1" applyAlignment="1" applyProtection="1">
      <alignment horizontal="left" vertical="center" wrapText="1"/>
    </xf>
    <xf numFmtId="10" fontId="102" fillId="5" borderId="57" xfId="0" applyNumberFormat="1" applyFont="1" applyFill="1" applyBorder="1" applyAlignment="1" applyProtection="1">
      <alignment horizontal="left" vertical="center" wrapText="1"/>
    </xf>
    <xf numFmtId="0" fontId="40" fillId="6" borderId="7" xfId="0" applyFont="1" applyFill="1" applyBorder="1" applyAlignment="1" applyProtection="1">
      <alignment horizontal="left" vertical="center" wrapText="1"/>
      <protection locked="0"/>
    </xf>
    <xf numFmtId="10" fontId="118" fillId="0" borderId="0" xfId="0" applyNumberFormat="1" applyFont="1" applyFill="1" applyAlignment="1" applyProtection="1">
      <alignment horizontal="left" vertical="center"/>
      <protection locked="0"/>
    </xf>
    <xf numFmtId="0" fontId="151" fillId="12" borderId="133" xfId="7" applyFont="1" applyFill="1" applyBorder="1" applyAlignment="1" applyProtection="1">
      <alignment horizontal="left" vertical="center" wrapText="1"/>
    </xf>
    <xf numFmtId="0" fontId="151" fillId="13" borderId="134" xfId="11" applyFont="1" applyFill="1" applyBorder="1" applyAlignment="1" applyProtection="1">
      <alignment horizontal="left" vertical="center" wrapText="1"/>
    </xf>
    <xf numFmtId="0" fontId="151" fillId="13" borderId="138" xfId="11" applyFont="1" applyFill="1" applyBorder="1" applyAlignment="1" applyProtection="1">
      <alignment horizontal="left" vertical="center" wrapText="1"/>
    </xf>
    <xf numFmtId="0" fontId="120" fillId="5" borderId="0" xfId="0" applyFont="1" applyFill="1" applyAlignment="1" applyProtection="1">
      <alignment horizontal="left" vertical="center"/>
      <protection locked="0"/>
    </xf>
    <xf numFmtId="0" fontId="136" fillId="0" borderId="32" xfId="0" applyNumberFormat="1" applyFont="1" applyFill="1" applyBorder="1" applyAlignment="1" applyProtection="1">
      <alignment horizontal="left" vertical="center" wrapText="1"/>
      <protection locked="0"/>
    </xf>
    <xf numFmtId="0" fontId="93" fillId="0" borderId="32" xfId="0" applyNumberFormat="1" applyFont="1" applyFill="1" applyBorder="1" applyAlignment="1" applyProtection="1">
      <alignment horizontal="left" vertical="center" wrapText="1"/>
      <protection locked="0"/>
    </xf>
    <xf numFmtId="10" fontId="40" fillId="0" borderId="19" xfId="0" applyNumberFormat="1" applyFont="1" applyFill="1" applyBorder="1" applyAlignment="1" applyProtection="1">
      <alignment horizontal="center" vertical="center" wrapText="1"/>
      <protection locked="0"/>
    </xf>
    <xf numFmtId="0" fontId="136" fillId="0" borderId="46" xfId="0" applyNumberFormat="1" applyFont="1" applyFill="1" applyBorder="1" applyAlignment="1" applyProtection="1">
      <alignment horizontal="center" vertical="center" wrapText="1"/>
      <protection locked="0"/>
    </xf>
    <xf numFmtId="0" fontId="136" fillId="0" borderId="32" xfId="0" applyNumberFormat="1" applyFont="1" applyFill="1" applyBorder="1" applyAlignment="1" applyProtection="1">
      <alignment horizontal="center" vertical="center" wrapText="1"/>
      <protection locked="0"/>
    </xf>
    <xf numFmtId="0" fontId="93" fillId="0" borderId="11" xfId="0" applyNumberFormat="1" applyFont="1" applyFill="1" applyBorder="1" applyAlignment="1" applyProtection="1">
      <alignment horizontal="center" vertical="center" wrapText="1"/>
      <protection locked="0"/>
    </xf>
    <xf numFmtId="0" fontId="93" fillId="0" borderId="23" xfId="0" applyNumberFormat="1" applyFont="1" applyFill="1" applyBorder="1" applyAlignment="1" applyProtection="1">
      <alignment horizontal="center" vertical="center" wrapText="1"/>
      <protection locked="0"/>
    </xf>
    <xf numFmtId="0" fontId="136" fillId="0" borderId="58" xfId="0" applyFont="1" applyFill="1" applyBorder="1" applyAlignment="1" applyProtection="1">
      <alignment horizontal="center" vertical="center" wrapText="1"/>
      <protection locked="0"/>
    </xf>
    <xf numFmtId="0" fontId="93" fillId="0" borderId="1" xfId="0" applyNumberFormat="1" applyFont="1" applyFill="1" applyBorder="1" applyAlignment="1" applyProtection="1">
      <alignment horizontal="center" vertical="center" wrapText="1"/>
      <protection locked="0"/>
    </xf>
    <xf numFmtId="0" fontId="136" fillId="0" borderId="23" xfId="0" applyNumberFormat="1" applyFont="1" applyFill="1" applyBorder="1" applyAlignment="1" applyProtection="1">
      <alignment horizontal="center" vertical="center" wrapText="1"/>
      <protection locked="0"/>
    </xf>
    <xf numFmtId="0" fontId="94" fillId="0" borderId="0" xfId="8" applyAlignment="1">
      <alignment horizontal="center" vertical="center" wrapText="1"/>
    </xf>
    <xf numFmtId="0" fontId="94" fillId="0" borderId="0" xfId="8" applyAlignment="1">
      <alignment vertical="center" wrapText="1"/>
    </xf>
    <xf numFmtId="10" fontId="94" fillId="0" borderId="0" xfId="8" applyNumberFormat="1" applyAlignment="1">
      <alignment vertical="center" wrapText="1"/>
    </xf>
    <xf numFmtId="0" fontId="94" fillId="0" borderId="0" xfId="8">
      <alignment vertical="center"/>
    </xf>
    <xf numFmtId="10" fontId="94" fillId="0" borderId="0" xfId="8" applyNumberFormat="1">
      <alignment vertical="center"/>
    </xf>
    <xf numFmtId="10" fontId="94" fillId="21" borderId="0" xfId="8" applyNumberFormat="1" applyFill="1">
      <alignment vertical="center"/>
    </xf>
    <xf numFmtId="10" fontId="50" fillId="0" borderId="0" xfId="0" applyNumberFormat="1" applyFont="1" applyFill="1" applyAlignment="1" applyProtection="1">
      <alignment vertical="center"/>
      <protection locked="0"/>
    </xf>
    <xf numFmtId="0" fontId="255" fillId="0" borderId="1" xfId="8" applyFont="1" applyBorder="1" applyAlignment="1">
      <alignment horizontal="left" vertical="center" wrapText="1" shrinkToFit="1"/>
    </xf>
    <xf numFmtId="9" fontId="256" fillId="0" borderId="1" xfId="8" applyNumberFormat="1" applyFont="1" applyBorder="1" applyAlignment="1">
      <alignment horizontal="center" vertical="center" wrapText="1" shrinkToFit="1"/>
    </xf>
    <xf numFmtId="0" fontId="94" fillId="0" borderId="0" xfId="8" applyAlignment="1"/>
    <xf numFmtId="49" fontId="112" fillId="0" borderId="1" xfId="8" applyNumberFormat="1" applyFont="1" applyBorder="1" applyAlignment="1">
      <alignment horizontal="center" vertical="center" wrapText="1" shrinkToFit="1"/>
    </xf>
    <xf numFmtId="0" fontId="112" fillId="0" borderId="1" xfId="8" applyFont="1" applyBorder="1" applyAlignment="1">
      <alignment vertical="center" wrapText="1" shrinkToFit="1"/>
    </xf>
    <xf numFmtId="0" fontId="112" fillId="0" borderId="1" xfId="8" applyFont="1" applyBorder="1" applyAlignment="1">
      <alignment horizontal="center" vertical="center" wrapText="1" shrinkToFit="1"/>
    </xf>
    <xf numFmtId="0" fontId="255" fillId="0" borderId="1" xfId="8" applyFont="1" applyBorder="1" applyAlignment="1">
      <alignment horizontal="center" vertical="center" wrapText="1" shrinkToFit="1"/>
    </xf>
    <xf numFmtId="0" fontId="109" fillId="0" borderId="0" xfId="8" applyFont="1" applyAlignment="1">
      <alignment wrapText="1"/>
    </xf>
    <xf numFmtId="0" fontId="112" fillId="0" borderId="1" xfId="8" applyFont="1" applyBorder="1" applyAlignment="1">
      <alignment horizontal="left" vertical="center" wrapText="1" shrinkToFit="1"/>
    </xf>
    <xf numFmtId="179" fontId="112" fillId="0" borderId="1" xfId="8" applyNumberFormat="1" applyFont="1" applyBorder="1" applyAlignment="1">
      <alignment horizontal="center" vertical="center" wrapText="1" shrinkToFit="1"/>
    </xf>
    <xf numFmtId="49" fontId="255" fillId="0" borderId="1" xfId="8" applyNumberFormat="1" applyFont="1" applyBorder="1" applyAlignment="1">
      <alignment horizontal="center" vertical="center" wrapText="1" shrinkToFit="1"/>
    </xf>
    <xf numFmtId="9" fontId="112" fillId="0" borderId="1" xfId="8" applyNumberFormat="1" applyFont="1" applyBorder="1" applyAlignment="1">
      <alignment horizontal="left" vertical="center" wrapText="1" shrinkToFit="1"/>
    </xf>
    <xf numFmtId="181" fontId="259" fillId="0" borderId="1" xfId="8" applyNumberFormat="1" applyFont="1" applyBorder="1" applyAlignment="1">
      <alignment horizontal="center" vertical="center" wrapText="1" shrinkToFit="1"/>
    </xf>
    <xf numFmtId="9" fontId="260" fillId="0" borderId="1" xfId="8" applyNumberFormat="1" applyFont="1" applyBorder="1" applyAlignment="1">
      <alignment horizontal="center" vertical="center" wrapText="1"/>
    </xf>
    <xf numFmtId="179" fontId="259" fillId="0" borderId="1" xfId="8" applyNumberFormat="1" applyFont="1" applyBorder="1" applyAlignment="1">
      <alignment horizontal="center" vertical="center" wrapText="1" shrinkToFit="1"/>
    </xf>
    <xf numFmtId="0" fontId="112" fillId="0" borderId="0" xfId="8" applyFont="1" applyAlignment="1">
      <alignment horizontal="center" vertical="center"/>
    </xf>
    <xf numFmtId="9" fontId="261" fillId="22" borderId="1" xfId="8" applyNumberFormat="1" applyFont="1" applyFill="1" applyBorder="1" applyAlignment="1">
      <alignment horizontal="center" vertical="center" wrapText="1"/>
    </xf>
    <xf numFmtId="0" fontId="94" fillId="0" borderId="0" xfId="8" applyAlignment="1">
      <alignment vertical="center" wrapText="1" shrinkToFit="1"/>
    </xf>
    <xf numFmtId="179" fontId="112" fillId="0" borderId="0" xfId="8" applyNumberFormat="1" applyFont="1" applyAlignment="1">
      <alignment horizontal="center" vertical="center"/>
    </xf>
    <xf numFmtId="0" fontId="109" fillId="0" borderId="1" xfId="8" applyFont="1" applyBorder="1" applyAlignment="1">
      <alignment vertical="center" wrapText="1"/>
    </xf>
    <xf numFmtId="0" fontId="109" fillId="0" borderId="1" xfId="8" applyFont="1" applyBorder="1" applyAlignment="1">
      <alignment horizontal="center" vertical="center" wrapText="1"/>
    </xf>
    <xf numFmtId="9" fontId="255" fillId="0" borderId="1" xfId="8" applyNumberFormat="1" applyFont="1" applyBorder="1" applyAlignment="1">
      <alignment horizontal="center" vertical="center" wrapText="1"/>
    </xf>
    <xf numFmtId="9" fontId="109" fillId="0" borderId="1" xfId="8" applyNumberFormat="1" applyFont="1" applyBorder="1" applyAlignment="1">
      <alignment horizontal="center" vertical="center" wrapText="1"/>
    </xf>
    <xf numFmtId="179" fontId="262" fillId="0" borderId="0" xfId="8" applyNumberFormat="1" applyFont="1">
      <alignment vertical="center"/>
    </xf>
    <xf numFmtId="10" fontId="109" fillId="0" borderId="1" xfId="8" applyNumberFormat="1" applyFont="1" applyBorder="1" applyAlignment="1">
      <alignment horizontal="center" vertical="center" wrapText="1"/>
    </xf>
    <xf numFmtId="9" fontId="109" fillId="22" borderId="1" xfId="8" applyNumberFormat="1" applyFont="1" applyFill="1" applyBorder="1" applyAlignment="1">
      <alignment horizontal="center" vertical="center" wrapText="1"/>
    </xf>
    <xf numFmtId="10" fontId="117" fillId="0" borderId="1" xfId="8" applyNumberFormat="1" applyFont="1" applyBorder="1" applyAlignment="1">
      <alignment horizontal="center" vertical="center" wrapText="1"/>
    </xf>
    <xf numFmtId="0" fontId="109" fillId="0" borderId="1" xfId="8" applyFont="1" applyBorder="1" applyAlignment="1">
      <alignment wrapText="1"/>
    </xf>
    <xf numFmtId="0" fontId="139" fillId="0" borderId="0" xfId="1" applyFont="1" applyAlignment="1" applyProtection="1">
      <alignment horizontal="left" vertical="center"/>
      <protection hidden="1"/>
    </xf>
    <xf numFmtId="179" fontId="262" fillId="0" borderId="0" xfId="8" applyNumberFormat="1" applyFont="1" applyAlignment="1">
      <alignment vertical="center" wrapText="1" shrinkToFit="1"/>
    </xf>
    <xf numFmtId="181" fontId="112" fillId="0" borderId="0" xfId="8" applyNumberFormat="1" applyFont="1" applyAlignment="1">
      <alignment horizontal="center" vertical="center"/>
    </xf>
    <xf numFmtId="179" fontId="94" fillId="0" borderId="0" xfId="8" applyNumberFormat="1">
      <alignment vertical="center"/>
    </xf>
    <xf numFmtId="49" fontId="112" fillId="0" borderId="18" xfId="8" applyNumberFormat="1" applyFont="1" applyBorder="1" applyAlignment="1">
      <alignment horizontal="center" vertical="center" wrapText="1" shrinkToFit="1"/>
    </xf>
    <xf numFmtId="0" fontId="112" fillId="0" borderId="18" xfId="8" applyFont="1" applyBorder="1" applyAlignment="1">
      <alignment vertical="center" wrapText="1" shrinkToFit="1"/>
    </xf>
    <xf numFmtId="0" fontId="112" fillId="0" borderId="2" xfId="8" applyFont="1" applyBorder="1" applyAlignment="1">
      <alignment horizontal="center" vertical="center" wrapText="1" shrinkToFit="1"/>
    </xf>
    <xf numFmtId="180" fontId="112" fillId="0" borderId="51" xfId="8" applyNumberFormat="1" applyFont="1" applyBorder="1" applyAlignment="1">
      <alignment horizontal="center" vertical="center" wrapText="1" shrinkToFit="1"/>
    </xf>
    <xf numFmtId="10" fontId="112" fillId="0" borderId="1" xfId="8" applyNumberFormat="1" applyFont="1" applyBorder="1" applyAlignment="1">
      <alignment horizontal="center" vertical="center" wrapText="1" shrinkToFit="1"/>
    </xf>
    <xf numFmtId="9" fontId="112" fillId="0" borderId="0" xfId="8" applyNumberFormat="1" applyFont="1" applyAlignment="1">
      <alignment horizontal="center" vertical="center"/>
    </xf>
    <xf numFmtId="0" fontId="112" fillId="0" borderId="2" xfId="8" applyFont="1" applyBorder="1" applyAlignment="1">
      <alignment horizontal="right" vertical="center" wrapText="1" shrinkToFit="1"/>
    </xf>
    <xf numFmtId="49" fontId="112" fillId="0" borderId="51" xfId="8" applyNumberFormat="1" applyFont="1" applyBorder="1" applyAlignment="1">
      <alignment horizontal="center" vertical="center" wrapText="1" shrinkToFit="1"/>
    </xf>
    <xf numFmtId="10" fontId="113" fillId="0" borderId="0" xfId="8" applyNumberFormat="1" applyFont="1" applyAlignment="1">
      <alignment horizontal="center" vertical="center"/>
    </xf>
    <xf numFmtId="0" fontId="76" fillId="0" borderId="0" xfId="8" applyFont="1">
      <alignment vertical="center"/>
    </xf>
    <xf numFmtId="183" fontId="112" fillId="0" borderId="0" xfId="8" applyNumberFormat="1" applyFont="1" applyAlignment="1">
      <alignment horizontal="center" vertical="center"/>
    </xf>
    <xf numFmtId="10" fontId="112" fillId="0" borderId="0" xfId="8" applyNumberFormat="1" applyFont="1" applyAlignment="1">
      <alignment horizontal="center" vertical="center"/>
    </xf>
    <xf numFmtId="0" fontId="94" fillId="0" borderId="0" xfId="8" applyAlignment="1">
      <alignment horizontal="left" vertical="center" wrapText="1"/>
    </xf>
    <xf numFmtId="0" fontId="262" fillId="0" borderId="0" xfId="8" applyFont="1" applyAlignment="1">
      <alignment horizontal="center" vertical="center" wrapText="1"/>
    </xf>
    <xf numFmtId="0" fontId="262" fillId="0" borderId="0" xfId="8" applyFont="1" applyAlignment="1">
      <alignment vertical="center" wrapText="1"/>
    </xf>
    <xf numFmtId="0" fontId="147" fillId="0" borderId="1" xfId="8" applyFont="1" applyBorder="1" applyAlignment="1">
      <alignment horizontal="center" vertical="center" wrapText="1"/>
    </xf>
    <xf numFmtId="9" fontId="147" fillId="0" borderId="1" xfId="8" applyNumberFormat="1" applyFont="1" applyBorder="1" applyAlignment="1">
      <alignment horizontal="center" vertical="center" wrapText="1"/>
    </xf>
    <xf numFmtId="178" fontId="147" fillId="0" borderId="1" xfId="8" applyNumberFormat="1" applyFont="1" applyBorder="1" applyAlignment="1">
      <alignment horizontal="center" vertical="center" wrapText="1"/>
    </xf>
    <xf numFmtId="0" fontId="267" fillId="0" borderId="0" xfId="8" applyFont="1" applyAlignment="1">
      <alignment horizontal="center" vertical="center" wrapText="1"/>
    </xf>
    <xf numFmtId="0" fontId="262" fillId="0" borderId="1" xfId="8" applyFont="1" applyBorder="1" applyAlignment="1">
      <alignment horizontal="center" vertical="center" wrapText="1"/>
    </xf>
    <xf numFmtId="0" fontId="262" fillId="0" borderId="0" xfId="8" applyFont="1" applyAlignment="1">
      <alignment horizontal="left" vertical="center" wrapText="1"/>
    </xf>
    <xf numFmtId="179" fontId="262" fillId="0" borderId="0" xfId="8" applyNumberFormat="1" applyFont="1" applyAlignment="1">
      <alignment vertical="center" wrapText="1"/>
    </xf>
    <xf numFmtId="178" fontId="94" fillId="0" borderId="0" xfId="8" applyNumberFormat="1" applyAlignment="1">
      <alignment vertical="center" wrapText="1"/>
    </xf>
    <xf numFmtId="0" fontId="31" fillId="0" borderId="0" xfId="4"/>
    <xf numFmtId="176" fontId="5" fillId="0" borderId="2" xfId="4" applyNumberFormat="1" applyFont="1" applyBorder="1" applyAlignment="1">
      <alignment horizontal="center" vertical="center" wrapText="1"/>
    </xf>
    <xf numFmtId="176" fontId="5" fillId="0" borderId="1" xfId="4" applyNumberFormat="1" applyFont="1" applyBorder="1" applyAlignment="1">
      <alignment horizontal="center" vertical="center" wrapText="1"/>
    </xf>
    <xf numFmtId="0" fontId="5" fillId="0" borderId="1" xfId="4" applyFont="1" applyBorder="1" applyAlignment="1">
      <alignment horizontal="center" vertical="center"/>
    </xf>
    <xf numFmtId="176" fontId="5" fillId="0" borderId="1" xfId="4" applyNumberFormat="1" applyFont="1" applyBorder="1" applyAlignment="1">
      <alignment horizontal="center" vertical="center"/>
    </xf>
    <xf numFmtId="40" fontId="5" fillId="0" borderId="1" xfId="4" applyNumberFormat="1" applyFont="1" applyBorder="1" applyAlignment="1">
      <alignment horizontal="center" vertical="center"/>
    </xf>
    <xf numFmtId="0" fontId="5" fillId="0" borderId="1" xfId="4" applyFont="1" applyBorder="1" applyAlignment="1">
      <alignment horizontal="center"/>
    </xf>
    <xf numFmtId="176" fontId="5" fillId="0" borderId="1" xfId="4" applyNumberFormat="1" applyFont="1" applyBorder="1" applyAlignment="1">
      <alignment horizontal="center"/>
    </xf>
    <xf numFmtId="0" fontId="5" fillId="0" borderId="3" xfId="4" applyFont="1" applyBorder="1" applyAlignment="1">
      <alignment horizontal="center"/>
    </xf>
    <xf numFmtId="179" fontId="5" fillId="0" borderId="1" xfId="4" applyNumberFormat="1" applyFont="1" applyBorder="1" applyAlignment="1">
      <alignment horizontal="center"/>
    </xf>
    <xf numFmtId="0" fontId="266" fillId="0" borderId="1" xfId="4" applyFont="1" applyBorder="1" applyAlignment="1">
      <alignment horizontal="center"/>
    </xf>
    <xf numFmtId="0" fontId="163" fillId="0" borderId="0" xfId="4" applyFont="1" applyAlignment="1">
      <alignment horizontal="center" vertical="center"/>
    </xf>
    <xf numFmtId="0" fontId="269" fillId="0" borderId="0" xfId="4" applyFont="1" applyAlignment="1">
      <alignment horizontal="center" vertical="center" wrapText="1"/>
    </xf>
    <xf numFmtId="0" fontId="269" fillId="0" borderId="0" xfId="4" applyFont="1" applyAlignment="1">
      <alignment horizontal="center" vertical="center"/>
    </xf>
    <xf numFmtId="0" fontId="93" fillId="0" borderId="0" xfId="4" applyFont="1" applyAlignment="1">
      <alignment horizontal="center" vertical="center"/>
    </xf>
    <xf numFmtId="196" fontId="270" fillId="0" borderId="0" xfId="4" applyNumberFormat="1" applyFont="1" applyAlignment="1">
      <alignment horizontal="center" vertical="center"/>
    </xf>
    <xf numFmtId="196" fontId="93" fillId="0" borderId="0" xfId="4" applyNumberFormat="1" applyFont="1" applyAlignment="1">
      <alignment horizontal="center" vertical="center"/>
    </xf>
    <xf numFmtId="0" fontId="269" fillId="0" borderId="0" xfId="4" applyFont="1" applyAlignment="1">
      <alignment vertical="center"/>
    </xf>
    <xf numFmtId="0" fontId="269" fillId="0" borderId="1" xfId="4" applyFont="1" applyBorder="1" applyAlignment="1">
      <alignment horizontal="center" vertical="center"/>
    </xf>
    <xf numFmtId="0" fontId="269" fillId="0" borderId="17" xfId="14" applyNumberFormat="1" applyFont="1" applyBorder="1" applyAlignment="1">
      <alignment horizontal="center" vertical="center" wrapText="1"/>
    </xf>
    <xf numFmtId="0" fontId="275" fillId="0" borderId="1" xfId="14" applyNumberFormat="1" applyFont="1" applyAlignment="1">
      <alignment horizontal="center" vertical="center"/>
    </xf>
    <xf numFmtId="43" fontId="275" fillId="0" borderId="1" xfId="14" applyNumberFormat="1" applyFont="1" applyAlignment="1">
      <alignment horizontal="right" vertical="center"/>
    </xf>
    <xf numFmtId="196" fontId="269" fillId="0" borderId="1" xfId="4" applyNumberFormat="1" applyFont="1" applyBorder="1" applyAlignment="1">
      <alignment horizontal="center" vertical="center"/>
    </xf>
    <xf numFmtId="0" fontId="276" fillId="0" borderId="17" xfId="14" applyNumberFormat="1" applyFont="1" applyBorder="1" applyAlignment="1">
      <alignment horizontal="center" vertical="center" wrapText="1"/>
    </xf>
    <xf numFmtId="0" fontId="275" fillId="0" borderId="1" xfId="15" applyNumberFormat="1" applyFont="1" applyAlignment="1">
      <alignment horizontal="center" vertical="center"/>
    </xf>
    <xf numFmtId="43" fontId="275" fillId="0" borderId="1" xfId="16" applyFont="1" applyFill="1" applyBorder="1" applyAlignment="1">
      <alignment horizontal="center" vertical="center" wrapText="1"/>
    </xf>
    <xf numFmtId="0" fontId="269" fillId="0" borderId="27" xfId="4" applyFont="1" applyBorder="1" applyAlignment="1">
      <alignment horizontal="center" vertical="center" wrapText="1"/>
    </xf>
    <xf numFmtId="43" fontId="275" fillId="25" borderId="1" xfId="14" applyNumberFormat="1" applyFont="1" applyFill="1" applyAlignment="1">
      <alignment horizontal="center" vertical="center"/>
    </xf>
    <xf numFmtId="0" fontId="275" fillId="25" borderId="1" xfId="15" applyNumberFormat="1" applyFont="1" applyFill="1" applyAlignment="1">
      <alignment horizontal="center" vertical="center"/>
    </xf>
    <xf numFmtId="43" fontId="275" fillId="25" borderId="1" xfId="16" applyFont="1" applyFill="1" applyBorder="1" applyAlignment="1">
      <alignment horizontal="center" vertical="center" wrapText="1"/>
    </xf>
    <xf numFmtId="0" fontId="269" fillId="25" borderId="27" xfId="4" applyFont="1" applyFill="1" applyBorder="1" applyAlignment="1">
      <alignment horizontal="center" vertical="center" wrapText="1"/>
    </xf>
    <xf numFmtId="0" fontId="269" fillId="25" borderId="0" xfId="4" applyFont="1" applyFill="1" applyAlignment="1">
      <alignment vertical="center"/>
    </xf>
    <xf numFmtId="0" fontId="275" fillId="0" borderId="17" xfId="14" applyNumberFormat="1" applyFont="1" applyBorder="1" applyAlignment="1">
      <alignment horizontal="center" vertical="center" wrapText="1"/>
    </xf>
    <xf numFmtId="43" fontId="275" fillId="0" borderId="17" xfId="14" applyNumberFormat="1" applyFont="1" applyBorder="1" applyAlignment="1">
      <alignment horizontal="center" vertical="center" wrapText="1"/>
    </xf>
    <xf numFmtId="10" fontId="276" fillId="0" borderId="17" xfId="14" applyNumberFormat="1" applyFont="1" applyBorder="1" applyAlignment="1">
      <alignment horizontal="center" vertical="center" wrapText="1"/>
    </xf>
    <xf numFmtId="0" fontId="275" fillId="0" borderId="17" xfId="15" applyNumberFormat="1" applyFont="1" applyBorder="1" applyAlignment="1">
      <alignment horizontal="center" vertical="center"/>
    </xf>
    <xf numFmtId="0" fontId="31" fillId="0" borderId="1" xfId="4" applyBorder="1" applyAlignment="1">
      <alignment vertical="center"/>
    </xf>
    <xf numFmtId="0" fontId="31" fillId="0" borderId="0" xfId="4" applyAlignment="1">
      <alignment vertical="center"/>
    </xf>
    <xf numFmtId="0" fontId="269" fillId="0" borderId="1" xfId="14" applyNumberFormat="1" applyFont="1" applyAlignment="1">
      <alignment horizontal="center" vertical="center" wrapText="1"/>
    </xf>
    <xf numFmtId="43" fontId="275" fillId="0" borderId="1" xfId="14" applyNumberFormat="1" applyFont="1" applyAlignment="1">
      <alignment horizontal="center" vertical="center"/>
    </xf>
    <xf numFmtId="0" fontId="276" fillId="0" borderId="1" xfId="14" applyNumberFormat="1" applyFont="1" applyAlignment="1">
      <alignment horizontal="center" vertical="center" wrapText="1"/>
    </xf>
    <xf numFmtId="0" fontId="277" fillId="0" borderId="1" xfId="14" applyNumberFormat="1" applyFont="1" applyAlignment="1">
      <alignment horizontal="center" vertical="center"/>
    </xf>
    <xf numFmtId="43" fontId="277" fillId="0" borderId="1" xfId="14" applyNumberFormat="1" applyFont="1" applyAlignment="1">
      <alignment horizontal="center" vertical="center"/>
    </xf>
    <xf numFmtId="177" fontId="277" fillId="0" borderId="1" xfId="16" applyNumberFormat="1" applyFont="1" applyFill="1" applyBorder="1" applyAlignment="1">
      <alignment horizontal="center" vertical="center"/>
    </xf>
    <xf numFmtId="0" fontId="269" fillId="0" borderId="1" xfId="4" applyFont="1" applyBorder="1" applyAlignment="1">
      <alignment vertical="center"/>
    </xf>
    <xf numFmtId="43" fontId="277" fillId="25" borderId="1" xfId="14" applyNumberFormat="1" applyFont="1" applyFill="1" applyAlignment="1">
      <alignment horizontal="center" vertical="center"/>
    </xf>
    <xf numFmtId="43" fontId="275" fillId="25" borderId="1" xfId="16" applyFont="1" applyFill="1" applyBorder="1" applyAlignment="1">
      <alignment vertical="center"/>
    </xf>
    <xf numFmtId="0" fontId="31" fillId="25" borderId="1" xfId="4" applyFill="1" applyBorder="1" applyAlignment="1">
      <alignment vertical="center"/>
    </xf>
    <xf numFmtId="0" fontId="31" fillId="25" borderId="0" xfId="4" applyFill="1" applyAlignment="1">
      <alignment vertical="center"/>
    </xf>
    <xf numFmtId="0" fontId="275" fillId="0" borderId="1" xfId="14" applyNumberFormat="1" applyFont="1" applyAlignment="1">
      <alignment horizontal="center" vertical="center" wrapText="1"/>
    </xf>
    <xf numFmtId="0" fontId="269" fillId="0" borderId="1" xfId="14" applyNumberFormat="1" applyFont="1" applyAlignment="1">
      <alignment horizontal="center" vertical="center"/>
    </xf>
    <xf numFmtId="0" fontId="275" fillId="0" borderId="1" xfId="15" applyNumberFormat="1" applyFont="1" applyAlignment="1">
      <alignment horizontal="center" vertical="center" wrapText="1"/>
    </xf>
    <xf numFmtId="0" fontId="269" fillId="0" borderId="1" xfId="15" applyNumberFormat="1" applyFont="1" applyAlignment="1">
      <alignment horizontal="center" vertical="center" wrapText="1"/>
    </xf>
    <xf numFmtId="0" fontId="269" fillId="0" borderId="1" xfId="14" applyNumberFormat="1" applyFont="1" applyAlignment="1">
      <alignment vertical="center" wrapText="1"/>
    </xf>
    <xf numFmtId="10" fontId="276" fillId="0" borderId="1" xfId="14" applyNumberFormat="1" applyFont="1" applyAlignment="1">
      <alignment horizontal="center" vertical="center" wrapText="1"/>
    </xf>
    <xf numFmtId="44" fontId="278" fillId="0" borderId="1" xfId="17" applyFont="1" applyFill="1" applyBorder="1" applyAlignment="1">
      <alignment horizontal="center" vertical="center"/>
    </xf>
    <xf numFmtId="43" fontId="275" fillId="0" borderId="1" xfId="14" applyNumberFormat="1" applyFont="1" applyAlignment="1">
      <alignment horizontal="center" vertical="center" wrapText="1"/>
    </xf>
    <xf numFmtId="0" fontId="31" fillId="0" borderId="18" xfId="4" applyBorder="1" applyAlignment="1">
      <alignment horizontal="center" vertical="center"/>
    </xf>
    <xf numFmtId="43" fontId="275" fillId="25" borderId="1" xfId="14" applyNumberFormat="1" applyFont="1" applyFill="1" applyAlignment="1">
      <alignment horizontal="center" vertical="center" wrapText="1"/>
    </xf>
    <xf numFmtId="43" fontId="269" fillId="0" borderId="1" xfId="16" applyFont="1" applyFill="1" applyBorder="1" applyAlignment="1">
      <alignment horizontal="center" vertical="center"/>
    </xf>
    <xf numFmtId="177" fontId="275" fillId="0" borderId="1" xfId="16" applyNumberFormat="1" applyFont="1" applyFill="1" applyBorder="1" applyAlignment="1">
      <alignment horizontal="center" vertical="center"/>
    </xf>
    <xf numFmtId="3" fontId="277" fillId="0" borderId="1" xfId="14" applyFont="1" applyAlignment="1">
      <alignment horizontal="center" vertical="center" wrapText="1"/>
    </xf>
    <xf numFmtId="43" fontId="277" fillId="0" borderId="1" xfId="16" applyFont="1" applyFill="1" applyBorder="1" applyAlignment="1">
      <alignment horizontal="center" vertical="center"/>
    </xf>
    <xf numFmtId="43" fontId="275" fillId="0" borderId="1" xfId="16" applyFont="1" applyFill="1" applyBorder="1" applyAlignment="1">
      <alignment horizontal="center" vertical="center"/>
    </xf>
    <xf numFmtId="3" fontId="275" fillId="0" borderId="1" xfId="14" applyFont="1" applyAlignment="1">
      <alignment horizontal="center" vertical="center" wrapText="1"/>
    </xf>
    <xf numFmtId="43" fontId="275" fillId="25" borderId="1" xfId="4" applyNumberFormat="1" applyFont="1" applyFill="1" applyBorder="1" applyAlignment="1">
      <alignment vertical="center"/>
    </xf>
    <xf numFmtId="196" fontId="275" fillId="25" borderId="1" xfId="4" applyNumberFormat="1" applyFont="1" applyFill="1" applyBorder="1" applyAlignment="1">
      <alignment vertical="center"/>
    </xf>
    <xf numFmtId="0" fontId="280" fillId="0" borderId="1" xfId="14" applyNumberFormat="1" applyFont="1" applyAlignment="1">
      <alignment horizontal="center" vertical="center" wrapText="1"/>
    </xf>
    <xf numFmtId="0" fontId="280" fillId="0" borderId="1" xfId="14" applyNumberFormat="1" applyFont="1" applyAlignment="1">
      <alignment horizontal="center" vertical="center"/>
    </xf>
    <xf numFmtId="43" fontId="281" fillId="0" borderId="1" xfId="16" applyFont="1" applyFill="1" applyBorder="1" applyAlignment="1">
      <alignment horizontal="center" vertical="center" wrapText="1"/>
    </xf>
    <xf numFmtId="0" fontId="273" fillId="0" borderId="1" xfId="4" applyFont="1" applyBorder="1" applyAlignment="1">
      <alignment horizontal="center" vertical="center"/>
    </xf>
    <xf numFmtId="196" fontId="269" fillId="0" borderId="3" xfId="4" applyNumberFormat="1" applyFont="1" applyBorder="1" applyAlignment="1">
      <alignment horizontal="center" vertical="center" wrapText="1"/>
    </xf>
    <xf numFmtId="176" fontId="279" fillId="0" borderId="2" xfId="14" applyNumberFormat="1" applyFont="1" applyBorder="1" applyAlignment="1">
      <alignment horizontal="center" vertical="center"/>
    </xf>
    <xf numFmtId="0" fontId="281" fillId="0" borderId="2" xfId="15" applyNumberFormat="1" applyFont="1" applyBorder="1" applyAlignment="1">
      <alignment horizontal="center" vertical="center"/>
    </xf>
    <xf numFmtId="10" fontId="279" fillId="0" borderId="2" xfId="14" applyNumberFormat="1" applyFont="1" applyBorder="1" applyAlignment="1">
      <alignment horizontal="center" vertical="center"/>
    </xf>
    <xf numFmtId="0" fontId="281" fillId="0" borderId="1" xfId="15" applyNumberFormat="1" applyFont="1" applyAlignment="1">
      <alignment horizontal="center" vertical="center"/>
    </xf>
    <xf numFmtId="43" fontId="275" fillId="25" borderId="1" xfId="16" applyFont="1" applyFill="1" applyBorder="1" applyAlignment="1">
      <alignment horizontal="center" vertical="center"/>
    </xf>
    <xf numFmtId="43" fontId="5" fillId="25" borderId="0" xfId="16" applyFont="1" applyFill="1" applyAlignment="1">
      <alignment vertical="center"/>
    </xf>
    <xf numFmtId="0" fontId="269" fillId="0" borderId="0" xfId="4" applyFont="1" applyAlignment="1">
      <alignment vertical="center" wrapText="1"/>
    </xf>
    <xf numFmtId="0" fontId="273" fillId="0" borderId="0" xfId="4" applyFont="1" applyAlignment="1">
      <alignment horizontal="center" vertical="center"/>
    </xf>
    <xf numFmtId="0" fontId="31" fillId="0" borderId="0" xfId="4" applyAlignment="1">
      <alignment horizontal="center" vertical="center"/>
    </xf>
    <xf numFmtId="0" fontId="120" fillId="0" borderId="0" xfId="4" applyFont="1" applyAlignment="1">
      <alignment horizontal="center" vertical="center"/>
    </xf>
    <xf numFmtId="0" fontId="283" fillId="0" borderId="1" xfId="4" applyFont="1" applyBorder="1" applyAlignment="1">
      <alignment horizontal="right" vertical="center" wrapText="1"/>
    </xf>
    <xf numFmtId="43" fontId="284" fillId="25" borderId="1" xfId="14" applyNumberFormat="1" applyFont="1" applyFill="1" applyAlignment="1">
      <alignment horizontal="center" vertical="center"/>
    </xf>
    <xf numFmtId="43" fontId="284" fillId="0" borderId="17" xfId="14" applyNumberFormat="1" applyFont="1" applyBorder="1" applyAlignment="1">
      <alignment vertical="center"/>
    </xf>
    <xf numFmtId="43" fontId="284" fillId="0" borderId="1" xfId="14" applyNumberFormat="1" applyFont="1" applyAlignment="1">
      <alignment horizontal="center" vertical="center"/>
    </xf>
    <xf numFmtId="43" fontId="284" fillId="0" borderId="1" xfId="14" applyNumberFormat="1" applyFont="1" applyAlignment="1">
      <alignment horizontal="center"/>
    </xf>
    <xf numFmtId="43" fontId="284" fillId="25" borderId="1" xfId="14" applyNumberFormat="1" applyFont="1" applyFill="1" applyAlignment="1">
      <alignment horizontal="center" vertical="center" wrapText="1"/>
    </xf>
    <xf numFmtId="43" fontId="284" fillId="0" borderId="1" xfId="16" applyFont="1" applyFill="1" applyBorder="1" applyAlignment="1">
      <alignment horizontal="center" vertical="center"/>
    </xf>
    <xf numFmtId="43" fontId="284" fillId="0" borderId="1" xfId="16" applyFont="1" applyFill="1" applyBorder="1" applyAlignment="1">
      <alignment horizontal="center" vertical="center" wrapText="1"/>
    </xf>
    <xf numFmtId="43" fontId="284" fillId="25" borderId="1" xfId="4" applyNumberFormat="1" applyFont="1" applyFill="1" applyBorder="1" applyAlignment="1">
      <alignment vertical="center"/>
    </xf>
    <xf numFmtId="0" fontId="167" fillId="0" borderId="1" xfId="4" applyFont="1" applyBorder="1" applyAlignment="1">
      <alignment vertical="center"/>
    </xf>
    <xf numFmtId="43" fontId="285" fillId="0" borderId="1" xfId="16" applyFont="1" applyFill="1" applyBorder="1" applyAlignment="1">
      <alignment horizontal="center" vertical="center" wrapText="1"/>
    </xf>
    <xf numFmtId="43" fontId="284" fillId="25" borderId="1" xfId="16" applyFont="1" applyFill="1" applyBorder="1" applyAlignment="1">
      <alignment horizontal="center" vertical="center"/>
    </xf>
    <xf numFmtId="43" fontId="284" fillId="25" borderId="1" xfId="16" applyFont="1" applyFill="1" applyBorder="1" applyAlignment="1">
      <alignment vertical="center"/>
    </xf>
    <xf numFmtId="0" fontId="167" fillId="0" borderId="0" xfId="4" applyFont="1" applyAlignment="1">
      <alignment vertical="center"/>
    </xf>
    <xf numFmtId="43" fontId="285" fillId="0" borderId="0" xfId="16" applyFont="1" applyFill="1" applyBorder="1" applyAlignment="1">
      <alignment horizontal="center" vertical="center" wrapText="1"/>
    </xf>
    <xf numFmtId="0" fontId="286" fillId="0" borderId="17" xfId="14" applyNumberFormat="1" applyFont="1" applyBorder="1" applyAlignment="1">
      <alignment horizontal="center" vertical="center" wrapText="1"/>
    </xf>
    <xf numFmtId="0" fontId="284" fillId="25" borderId="1" xfId="15" applyNumberFormat="1" applyFont="1" applyFill="1" applyAlignment="1">
      <alignment horizontal="center" vertical="center"/>
    </xf>
    <xf numFmtId="0" fontId="286" fillId="0" borderId="1" xfId="14" applyNumberFormat="1" applyFont="1" applyAlignment="1">
      <alignment horizontal="center" vertical="center" wrapText="1"/>
    </xf>
    <xf numFmtId="176" fontId="287" fillId="0" borderId="1" xfId="14" applyNumberFormat="1" applyFont="1" applyAlignment="1">
      <alignment horizontal="center" vertical="center"/>
    </xf>
    <xf numFmtId="176" fontId="287" fillId="0" borderId="2" xfId="14" applyNumberFormat="1" applyFont="1" applyBorder="1" applyAlignment="1">
      <alignment horizontal="center" vertical="center"/>
    </xf>
    <xf numFmtId="0" fontId="167" fillId="0" borderId="0" xfId="4" applyFont="1" applyAlignment="1">
      <alignment horizontal="center" vertical="center"/>
    </xf>
    <xf numFmtId="43" fontId="284" fillId="6" borderId="1" xfId="14" applyNumberFormat="1" applyFont="1" applyFill="1" applyAlignment="1">
      <alignment horizontal="center" vertical="center"/>
    </xf>
    <xf numFmtId="0" fontId="269" fillId="0" borderId="1" xfId="14" applyNumberFormat="1" applyFont="1" applyFill="1" applyAlignment="1">
      <alignment horizontal="center" vertical="center" wrapText="1"/>
    </xf>
    <xf numFmtId="0" fontId="269" fillId="0" borderId="1" xfId="14" applyNumberFormat="1" applyFont="1" applyFill="1" applyAlignment="1">
      <alignment vertical="center" wrapText="1"/>
    </xf>
    <xf numFmtId="0" fontId="275" fillId="0" borderId="1" xfId="14" applyNumberFormat="1" applyFont="1" applyFill="1" applyAlignment="1">
      <alignment horizontal="center" vertical="center"/>
    </xf>
    <xf numFmtId="43" fontId="275" fillId="0" borderId="1" xfId="14" applyNumberFormat="1" applyFont="1" applyFill="1" applyAlignment="1">
      <alignment horizontal="center" vertical="center"/>
    </xf>
    <xf numFmtId="43" fontId="284" fillId="0" borderId="1" xfId="14" applyNumberFormat="1" applyFont="1" applyFill="1" applyAlignment="1">
      <alignment horizontal="center" vertical="center"/>
    </xf>
    <xf numFmtId="196" fontId="269" fillId="0" borderId="1" xfId="4" applyNumberFormat="1" applyFont="1" applyFill="1" applyBorder="1" applyAlignment="1">
      <alignment horizontal="center" vertical="center"/>
    </xf>
    <xf numFmtId="0" fontId="286" fillId="0" borderId="1" xfId="4" applyFont="1" applyFill="1" applyBorder="1" applyAlignment="1">
      <alignment horizontal="center" vertical="center"/>
    </xf>
    <xf numFmtId="0" fontId="276" fillId="0" borderId="1" xfId="4" applyFont="1" applyFill="1" applyBorder="1" applyAlignment="1">
      <alignment horizontal="center" vertical="center"/>
    </xf>
    <xf numFmtId="0" fontId="275" fillId="0" borderId="1" xfId="15" applyNumberFormat="1" applyFont="1" applyFill="1" applyAlignment="1">
      <alignment horizontal="center" vertical="center"/>
    </xf>
    <xf numFmtId="0" fontId="283" fillId="0" borderId="1" xfId="14" applyNumberFormat="1" applyFont="1" applyAlignment="1">
      <alignment vertical="center" wrapText="1"/>
    </xf>
    <xf numFmtId="196" fontId="283" fillId="0" borderId="1" xfId="4" applyNumberFormat="1" applyFont="1" applyBorder="1" applyAlignment="1">
      <alignment horizontal="center" vertical="center"/>
    </xf>
    <xf numFmtId="10" fontId="286" fillId="0" borderId="1" xfId="14" applyNumberFormat="1" applyFont="1" applyAlignment="1">
      <alignment horizontal="center" vertical="center" wrapText="1"/>
    </xf>
    <xf numFmtId="0" fontId="284" fillId="0" borderId="1" xfId="15" applyNumberFormat="1" applyFont="1" applyAlignment="1">
      <alignment horizontal="center" vertical="center"/>
    </xf>
    <xf numFmtId="44" fontId="283" fillId="0" borderId="1" xfId="17" applyFont="1" applyFill="1" applyBorder="1" applyAlignment="1">
      <alignment horizontal="center" vertical="center"/>
    </xf>
    <xf numFmtId="177" fontId="284" fillId="0" borderId="1" xfId="16" applyNumberFormat="1" applyFont="1" applyFill="1" applyBorder="1" applyAlignment="1">
      <alignment horizontal="center" vertical="center"/>
    </xf>
    <xf numFmtId="0" fontId="283" fillId="0" borderId="1" xfId="14" applyNumberFormat="1" applyFont="1" applyAlignment="1">
      <alignment horizontal="center" vertical="center"/>
    </xf>
    <xf numFmtId="3" fontId="284" fillId="0" borderId="1" xfId="14" applyFont="1" applyAlignment="1">
      <alignment horizontal="center" vertical="center"/>
    </xf>
    <xf numFmtId="0" fontId="283" fillId="0" borderId="1" xfId="15" applyNumberFormat="1" applyFont="1" applyAlignment="1">
      <alignment horizontal="center" vertical="center"/>
    </xf>
    <xf numFmtId="0" fontId="284" fillId="0" borderId="1" xfId="14" applyNumberFormat="1" applyFont="1" applyAlignment="1">
      <alignment horizontal="center" vertical="center" wrapText="1"/>
    </xf>
    <xf numFmtId="43" fontId="284" fillId="0" borderId="1" xfId="14" applyNumberFormat="1" applyFont="1" applyAlignment="1">
      <alignment horizontal="center" vertical="center" wrapText="1"/>
    </xf>
    <xf numFmtId="196" fontId="283" fillId="0" borderId="18" xfId="4" applyNumberFormat="1" applyFont="1" applyBorder="1" applyAlignment="1">
      <alignment horizontal="center" vertical="center"/>
    </xf>
    <xf numFmtId="0" fontId="282" fillId="6" borderId="1" xfId="4" applyFont="1" applyFill="1" applyBorder="1" applyAlignment="1">
      <alignment horizontal="center"/>
    </xf>
    <xf numFmtId="176" fontId="282" fillId="6" borderId="1" xfId="4" applyNumberFormat="1" applyFont="1" applyFill="1" applyBorder="1" applyAlignment="1">
      <alignment horizontal="center" vertical="center"/>
    </xf>
    <xf numFmtId="176" fontId="282" fillId="6" borderId="1" xfId="4" applyNumberFormat="1" applyFont="1" applyFill="1" applyBorder="1" applyAlignment="1">
      <alignment horizontal="center"/>
    </xf>
    <xf numFmtId="40" fontId="282" fillId="6" borderId="1" xfId="4" applyNumberFormat="1" applyFont="1" applyFill="1" applyBorder="1" applyAlignment="1">
      <alignment horizontal="center" vertical="center"/>
    </xf>
    <xf numFmtId="49" fontId="241" fillId="0" borderId="31" xfId="0" applyNumberFormat="1" applyFont="1" applyBorder="1" applyAlignment="1" applyProtection="1">
      <alignment vertical="center" wrapText="1"/>
      <protection locked="0"/>
    </xf>
    <xf numFmtId="49" fontId="241" fillId="0" borderId="6" xfId="0" applyNumberFormat="1" applyFont="1" applyBorder="1" applyAlignment="1" applyProtection="1">
      <alignment vertical="center" wrapText="1"/>
      <protection locked="0"/>
    </xf>
    <xf numFmtId="49" fontId="242" fillId="0" borderId="6" xfId="0" applyNumberFormat="1" applyFont="1" applyBorder="1" applyAlignment="1" applyProtection="1">
      <alignment vertical="center" wrapText="1"/>
      <protection locked="0"/>
    </xf>
    <xf numFmtId="0" fontId="242" fillId="0" borderId="6" xfId="0" applyFont="1" applyBorder="1" applyAlignment="1" applyProtection="1">
      <alignment vertical="center" wrapText="1"/>
      <protection locked="0"/>
    </xf>
    <xf numFmtId="0" fontId="17" fillId="0" borderId="0" xfId="18" applyFont="1" applyAlignment="1">
      <alignment horizontal="left" vertical="center" wrapText="1"/>
    </xf>
    <xf numFmtId="0" fontId="17" fillId="0" borderId="0" xfId="18" applyFont="1" applyAlignment="1">
      <alignment horizontal="center" vertical="center"/>
    </xf>
    <xf numFmtId="0" fontId="17" fillId="0" borderId="0" xfId="18" applyFont="1" applyAlignment="1">
      <alignment horizontal="center" vertical="center" wrapText="1"/>
    </xf>
    <xf numFmtId="196" fontId="17" fillId="0" borderId="0" xfId="18" applyNumberFormat="1" applyFont="1" applyAlignment="1">
      <alignment horizontal="center" vertical="center"/>
    </xf>
    <xf numFmtId="43" fontId="17" fillId="0" borderId="0" xfId="19" applyFont="1" applyFill="1" applyBorder="1" applyAlignment="1">
      <alignment horizontal="center" vertical="center" wrapText="1"/>
    </xf>
    <xf numFmtId="43" fontId="17" fillId="26" borderId="0" xfId="19" applyFont="1" applyFill="1" applyBorder="1" applyAlignment="1">
      <alignment horizontal="center" vertical="center" wrapText="1"/>
    </xf>
    <xf numFmtId="0" fontId="90" fillId="0" borderId="4" xfId="18" applyFont="1" applyBorder="1" applyAlignment="1">
      <alignment horizontal="center" vertical="center"/>
    </xf>
    <xf numFmtId="0" fontId="1" fillId="0" borderId="0" xfId="18" applyAlignment="1">
      <alignment vertical="center"/>
    </xf>
    <xf numFmtId="0" fontId="237" fillId="0" borderId="7" xfId="18" applyFont="1" applyBorder="1" applyAlignment="1">
      <alignment horizontal="center" vertical="center" wrapText="1"/>
    </xf>
    <xf numFmtId="0" fontId="237" fillId="0" borderId="1" xfId="18" applyFont="1" applyBorder="1" applyAlignment="1">
      <alignment horizontal="center" vertical="center" wrapText="1"/>
    </xf>
    <xf numFmtId="176" fontId="237" fillId="0" borderId="1" xfId="18" applyNumberFormat="1" applyFont="1" applyBorder="1" applyAlignment="1">
      <alignment horizontal="center" vertical="center" wrapText="1"/>
    </xf>
    <xf numFmtId="43" fontId="237" fillId="0" borderId="1" xfId="18" applyNumberFormat="1" applyFont="1" applyBorder="1" applyAlignment="1">
      <alignment horizontal="center" vertical="center" wrapText="1"/>
    </xf>
    <xf numFmtId="43" fontId="237" fillId="0" borderId="1" xfId="20" applyFont="1" applyFill="1" applyBorder="1" applyAlignment="1">
      <alignment horizontal="center" vertical="center" wrapText="1"/>
    </xf>
    <xf numFmtId="43" fontId="237" fillId="0" borderId="6" xfId="20" applyFont="1" applyFill="1" applyBorder="1" applyAlignment="1">
      <alignment horizontal="center" vertical="center" wrapText="1"/>
    </xf>
    <xf numFmtId="43" fontId="237" fillId="0" borderId="3" xfId="18" applyNumberFormat="1" applyFont="1" applyBorder="1" applyAlignment="1">
      <alignment horizontal="center" vertical="center" wrapText="1"/>
    </xf>
    <xf numFmtId="196" fontId="237" fillId="0" borderId="1" xfId="18" applyNumberFormat="1" applyFont="1" applyBorder="1" applyAlignment="1">
      <alignment horizontal="center" vertical="center" wrapText="1"/>
    </xf>
    <xf numFmtId="43" fontId="237" fillId="26" borderId="1" xfId="20" applyFont="1" applyFill="1" applyBorder="1" applyAlignment="1">
      <alignment horizontal="center" vertical="center" wrapText="1"/>
    </xf>
    <xf numFmtId="43" fontId="237" fillId="27" borderId="1" xfId="20" applyFont="1" applyFill="1" applyBorder="1" applyAlignment="1">
      <alignment horizontal="center" vertical="center" wrapText="1"/>
    </xf>
    <xf numFmtId="43" fontId="237" fillId="27" borderId="2" xfId="20" applyFont="1" applyFill="1" applyBorder="1" applyAlignment="1">
      <alignment horizontal="center" vertical="center" wrapText="1"/>
    </xf>
    <xf numFmtId="0" fontId="17" fillId="0" borderId="7" xfId="18" applyFont="1" applyBorder="1" applyAlignment="1">
      <alignment horizontal="center" vertical="center" wrapText="1"/>
    </xf>
    <xf numFmtId="0" fontId="17" fillId="0" borderId="1" xfId="18" applyFont="1" applyBorder="1" applyAlignment="1">
      <alignment horizontal="left" vertical="center" wrapText="1"/>
    </xf>
    <xf numFmtId="0" fontId="17" fillId="0" borderId="1" xfId="18" applyFont="1" applyBorder="1" applyAlignment="1">
      <alignment horizontal="center" vertical="center" wrapText="1"/>
    </xf>
    <xf numFmtId="43" fontId="17" fillId="0" borderId="1" xfId="19" applyFont="1" applyFill="1" applyBorder="1" applyAlignment="1">
      <alignment horizontal="center" vertical="center" wrapText="1"/>
    </xf>
    <xf numFmtId="0" fontId="17" fillId="0" borderId="6" xfId="18" applyFont="1" applyBorder="1" applyAlignment="1">
      <alignment horizontal="left" vertical="center" wrapText="1"/>
    </xf>
    <xf numFmtId="0" fontId="17" fillId="0" borderId="3" xfId="18" applyFont="1" applyBorder="1" applyAlignment="1">
      <alignment horizontal="center" vertical="center"/>
    </xf>
    <xf numFmtId="0" fontId="17" fillId="0" borderId="1" xfId="18" applyFont="1" applyBorder="1" applyAlignment="1">
      <alignment horizontal="center" vertical="center"/>
    </xf>
    <xf numFmtId="196" fontId="17" fillId="0" borderId="1" xfId="18" applyNumberFormat="1" applyFont="1" applyBorder="1" applyAlignment="1">
      <alignment horizontal="center" vertical="center"/>
    </xf>
    <xf numFmtId="43" fontId="17" fillId="0" borderId="19" xfId="19" applyFont="1" applyFill="1" applyBorder="1" applyAlignment="1">
      <alignment horizontal="center" vertical="center" wrapText="1"/>
    </xf>
    <xf numFmtId="43" fontId="17" fillId="26" borderId="1" xfId="19" applyFont="1" applyFill="1" applyBorder="1" applyAlignment="1">
      <alignment horizontal="center" vertical="center" wrapText="1"/>
    </xf>
    <xf numFmtId="43" fontId="17" fillId="0" borderId="3" xfId="19" applyFont="1" applyFill="1" applyBorder="1" applyAlignment="1">
      <alignment horizontal="center" vertical="center" wrapText="1"/>
    </xf>
    <xf numFmtId="43" fontId="17" fillId="27" borderId="1" xfId="19" applyFont="1" applyFill="1" applyBorder="1" applyAlignment="1">
      <alignment horizontal="center" vertical="center" wrapText="1"/>
    </xf>
    <xf numFmtId="43" fontId="17" fillId="27" borderId="2" xfId="19" applyFont="1" applyFill="1" applyBorder="1" applyAlignment="1">
      <alignment horizontal="center" vertical="center" wrapText="1"/>
    </xf>
    <xf numFmtId="43" fontId="17" fillId="26" borderId="2" xfId="19" applyFont="1" applyFill="1" applyBorder="1" applyAlignment="1">
      <alignment horizontal="center" vertical="center" wrapText="1"/>
    </xf>
    <xf numFmtId="43" fontId="17" fillId="0" borderId="7" xfId="19" applyFont="1" applyFill="1" applyBorder="1" applyAlignment="1">
      <alignment horizontal="center" vertical="center" wrapText="1"/>
    </xf>
    <xf numFmtId="0" fontId="17" fillId="28" borderId="0" xfId="18" applyFont="1" applyFill="1" applyAlignment="1">
      <alignment horizontal="center" vertical="center"/>
    </xf>
    <xf numFmtId="0" fontId="17" fillId="0" borderId="18" xfId="18" applyFont="1" applyBorder="1" applyAlignment="1">
      <alignment horizontal="center" vertical="center"/>
    </xf>
    <xf numFmtId="0" fontId="17" fillId="0" borderId="18" xfId="18" applyFont="1" applyBorder="1" applyAlignment="1">
      <alignment horizontal="center" vertical="center" wrapText="1"/>
    </xf>
    <xf numFmtId="43" fontId="17" fillId="0" borderId="16" xfId="19" applyFont="1" applyFill="1" applyBorder="1" applyAlignment="1">
      <alignment horizontal="center" vertical="center" wrapText="1"/>
    </xf>
    <xf numFmtId="43" fontId="17" fillId="0" borderId="18" xfId="19" applyFont="1" applyFill="1" applyBorder="1" applyAlignment="1">
      <alignment horizontal="center" vertical="center" wrapText="1"/>
    </xf>
    <xf numFmtId="43" fontId="17" fillId="29" borderId="18" xfId="19" applyFont="1" applyFill="1" applyBorder="1" applyAlignment="1">
      <alignment horizontal="center" vertical="center" wrapText="1"/>
    </xf>
    <xf numFmtId="0" fontId="17" fillId="0" borderId="16" xfId="18" applyFont="1" applyBorder="1" applyAlignment="1">
      <alignment horizontal="center" vertical="center" wrapText="1"/>
    </xf>
    <xf numFmtId="0" fontId="17" fillId="0" borderId="27" xfId="18" applyFont="1" applyBorder="1" applyAlignment="1">
      <alignment horizontal="center" vertical="center"/>
    </xf>
    <xf numFmtId="196" fontId="17" fillId="0" borderId="18" xfId="18" applyNumberFormat="1" applyFont="1" applyBorder="1" applyAlignment="1">
      <alignment horizontal="center" vertical="center"/>
    </xf>
    <xf numFmtId="43" fontId="17" fillId="26" borderId="18" xfId="19" applyFont="1" applyFill="1" applyBorder="1" applyAlignment="1">
      <alignment horizontal="center" vertical="center" wrapText="1"/>
    </xf>
    <xf numFmtId="43" fontId="17" fillId="26" borderId="35" xfId="19" applyFont="1" applyFill="1" applyBorder="1" applyAlignment="1">
      <alignment horizontal="center" vertical="center" wrapText="1"/>
    </xf>
    <xf numFmtId="0" fontId="137" fillId="30" borderId="8" xfId="18" applyFont="1" applyFill="1" applyBorder="1" applyAlignment="1">
      <alignment horizontal="center" vertical="center"/>
    </xf>
    <xf numFmtId="0" fontId="137" fillId="30" borderId="61" xfId="18" applyFont="1" applyFill="1" applyBorder="1" applyAlignment="1">
      <alignment horizontal="center" vertical="center"/>
    </xf>
    <xf numFmtId="43" fontId="137" fillId="30" borderId="61" xfId="18" applyNumberFormat="1" applyFont="1" applyFill="1" applyBorder="1" applyAlignment="1">
      <alignment horizontal="center" vertical="center"/>
    </xf>
    <xf numFmtId="43" fontId="137" fillId="30" borderId="61" xfId="19" applyFont="1" applyFill="1" applyBorder="1" applyAlignment="1">
      <alignment horizontal="center" vertical="center"/>
    </xf>
    <xf numFmtId="0" fontId="137" fillId="30" borderId="43" xfId="18" applyFont="1" applyFill="1" applyBorder="1" applyAlignment="1">
      <alignment horizontal="center" vertical="center"/>
    </xf>
    <xf numFmtId="0" fontId="17" fillId="30" borderId="56" xfId="18" applyFont="1" applyFill="1" applyBorder="1" applyAlignment="1">
      <alignment horizontal="center" vertical="center"/>
    </xf>
    <xf numFmtId="0" fontId="17" fillId="30" borderId="61" xfId="18" applyFont="1" applyFill="1" applyBorder="1" applyAlignment="1">
      <alignment horizontal="center" vertical="center"/>
    </xf>
    <xf numFmtId="0" fontId="17" fillId="30" borderId="61" xfId="18" applyFont="1" applyFill="1" applyBorder="1" applyAlignment="1">
      <alignment horizontal="center" vertical="center" wrapText="1"/>
    </xf>
    <xf numFmtId="196" fontId="17" fillId="30" borderId="61" xfId="18" applyNumberFormat="1" applyFont="1" applyFill="1" applyBorder="1" applyAlignment="1">
      <alignment horizontal="center" vertical="center"/>
    </xf>
    <xf numFmtId="43" fontId="137" fillId="30" borderId="8" xfId="19" applyFont="1" applyFill="1" applyBorder="1" applyAlignment="1">
      <alignment horizontal="center" vertical="center"/>
    </xf>
    <xf numFmtId="43" fontId="137" fillId="30" borderId="44" xfId="19" applyFont="1" applyFill="1" applyBorder="1" applyAlignment="1">
      <alignment horizontal="center" vertical="center"/>
    </xf>
    <xf numFmtId="0" fontId="1" fillId="0" borderId="0" xfId="18"/>
    <xf numFmtId="0" fontId="17" fillId="6" borderId="7" xfId="18" applyFont="1" applyFill="1" applyBorder="1" applyAlignment="1">
      <alignment horizontal="center" vertical="center" wrapText="1"/>
    </xf>
    <xf numFmtId="0" fontId="17" fillId="6" borderId="1" xfId="18" applyFont="1" applyFill="1" applyBorder="1" applyAlignment="1">
      <alignment horizontal="left" vertical="center" wrapText="1"/>
    </xf>
    <xf numFmtId="0" fontId="17" fillId="6" borderId="1" xfId="18" applyFont="1" applyFill="1" applyBorder="1" applyAlignment="1">
      <alignment horizontal="center" vertical="center" wrapText="1"/>
    </xf>
    <xf numFmtId="43" fontId="17" fillId="6" borderId="1" xfId="19" applyFont="1" applyFill="1" applyBorder="1" applyAlignment="1">
      <alignment horizontal="center" vertical="center" wrapText="1"/>
    </xf>
    <xf numFmtId="0" fontId="144" fillId="0" borderId="7" xfId="18" applyFont="1" applyBorder="1" applyAlignment="1">
      <alignment horizontal="center" vertical="center" wrapText="1"/>
    </xf>
    <xf numFmtId="0" fontId="144" fillId="0" borderId="1" xfId="18" applyFont="1" applyBorder="1" applyAlignment="1">
      <alignment horizontal="left" vertical="center" wrapText="1"/>
    </xf>
    <xf numFmtId="0" fontId="144" fillId="0" borderId="1" xfId="18" applyFont="1" applyBorder="1" applyAlignment="1">
      <alignment horizontal="center" vertical="center" wrapText="1"/>
    </xf>
    <xf numFmtId="43" fontId="144" fillId="0" borderId="1" xfId="19" applyFont="1" applyFill="1" applyBorder="1" applyAlignment="1">
      <alignment horizontal="center" vertical="center" wrapText="1"/>
    </xf>
    <xf numFmtId="0" fontId="94" fillId="0" borderId="0" xfId="8" applyAlignment="1">
      <alignment horizontal="center" vertical="center"/>
    </xf>
    <xf numFmtId="10" fontId="94" fillId="0" borderId="0" xfId="8" applyNumberFormat="1" applyAlignment="1">
      <alignment horizontal="center" vertical="center"/>
    </xf>
    <xf numFmtId="0" fontId="94" fillId="0" borderId="0" xfId="8" applyAlignment="1">
      <alignment horizontal="center" vertical="center" wrapText="1"/>
    </xf>
    <xf numFmtId="0" fontId="5" fillId="0" borderId="1" xfId="4" applyFont="1" applyFill="1" applyBorder="1" applyAlignment="1">
      <alignment horizontal="center"/>
    </xf>
    <xf numFmtId="176" fontId="5" fillId="0" borderId="1" xfId="4" applyNumberFormat="1" applyFont="1" applyFill="1" applyBorder="1" applyAlignment="1">
      <alignment horizontal="center" vertical="center"/>
    </xf>
    <xf numFmtId="176" fontId="5" fillId="0" borderId="1" xfId="4" applyNumberFormat="1" applyFont="1" applyFill="1" applyBorder="1" applyAlignment="1">
      <alignment horizontal="center"/>
    </xf>
    <xf numFmtId="40" fontId="5" fillId="0" borderId="1" xfId="4" applyNumberFormat="1" applyFont="1" applyFill="1" applyBorder="1" applyAlignment="1">
      <alignment horizontal="center" vertical="center"/>
    </xf>
    <xf numFmtId="0" fontId="31" fillId="0" borderId="0" xfId="4" applyFill="1"/>
    <xf numFmtId="0" fontId="282" fillId="0" borderId="1" xfId="4" applyFont="1" applyFill="1" applyBorder="1" applyAlignment="1">
      <alignment horizontal="center"/>
    </xf>
    <xf numFmtId="176" fontId="282" fillId="0" borderId="1" xfId="4" applyNumberFormat="1" applyFont="1" applyFill="1" applyBorder="1" applyAlignment="1">
      <alignment horizontal="center" vertical="center"/>
    </xf>
    <xf numFmtId="176" fontId="282" fillId="0" borderId="1" xfId="4" applyNumberFormat="1" applyFont="1" applyFill="1" applyBorder="1" applyAlignment="1">
      <alignment horizontal="center"/>
    </xf>
    <xf numFmtId="40" fontId="282" fillId="0" borderId="1" xfId="4" applyNumberFormat="1" applyFont="1" applyFill="1" applyBorder="1" applyAlignment="1">
      <alignment horizontal="center" vertical="center"/>
    </xf>
    <xf numFmtId="0" fontId="5" fillId="0" borderId="3" xfId="4" applyFont="1" applyFill="1" applyBorder="1" applyAlignment="1">
      <alignment horizontal="center"/>
    </xf>
    <xf numFmtId="0" fontId="283" fillId="0" borderId="1" xfId="14" applyNumberFormat="1" applyFont="1" applyFill="1" applyAlignment="1">
      <alignment horizontal="left" vertical="center"/>
    </xf>
    <xf numFmtId="0" fontId="283" fillId="0" borderId="1" xfId="14" applyNumberFormat="1" applyFont="1" applyFill="1" applyAlignment="1">
      <alignment vertical="center" wrapText="1"/>
    </xf>
    <xf numFmtId="0" fontId="284" fillId="0" borderId="1" xfId="14" applyNumberFormat="1" applyFont="1" applyFill="1" applyAlignment="1">
      <alignment horizontal="center" vertical="center"/>
    </xf>
    <xf numFmtId="196" fontId="283" fillId="0" borderId="1" xfId="4" applyNumberFormat="1" applyFont="1" applyFill="1" applyBorder="1" applyAlignment="1">
      <alignment horizontal="center" vertical="center"/>
    </xf>
    <xf numFmtId="0" fontId="286" fillId="0" borderId="1" xfId="14" applyNumberFormat="1" applyFont="1" applyFill="1" applyAlignment="1">
      <alignment horizontal="center" vertical="center" wrapText="1"/>
    </xf>
    <xf numFmtId="10" fontId="286" fillId="0" borderId="1" xfId="14" applyNumberFormat="1" applyFont="1" applyFill="1" applyAlignment="1">
      <alignment horizontal="center" vertical="center" wrapText="1"/>
    </xf>
    <xf numFmtId="0" fontId="284" fillId="0" borderId="1" xfId="15" applyNumberFormat="1" applyFont="1" applyFill="1" applyAlignment="1">
      <alignment horizontal="center" vertical="center"/>
    </xf>
    <xf numFmtId="43" fontId="284" fillId="6" borderId="1" xfId="14" applyNumberFormat="1" applyFont="1" applyFill="1" applyAlignment="1">
      <alignment horizontal="center" vertical="center" wrapText="1"/>
    </xf>
    <xf numFmtId="43" fontId="284" fillId="6" borderId="1" xfId="14" applyNumberFormat="1" applyFont="1" applyFill="1" applyAlignment="1">
      <alignment vertical="center"/>
    </xf>
    <xf numFmtId="0" fontId="136" fillId="0" borderId="46" xfId="0" applyNumberFormat="1" applyFont="1" applyFill="1" applyBorder="1" applyAlignment="1" applyProtection="1">
      <alignment horizontal="left" vertical="center" wrapText="1"/>
      <protection locked="0"/>
    </xf>
    <xf numFmtId="0" fontId="93" fillId="0" borderId="11" xfId="0" applyNumberFormat="1" applyFont="1" applyFill="1" applyBorder="1" applyAlignment="1" applyProtection="1">
      <alignment horizontal="left" vertical="center" wrapText="1"/>
      <protection locked="0"/>
    </xf>
    <xf numFmtId="0" fontId="289" fillId="0" borderId="32" xfId="0" applyNumberFormat="1" applyFont="1" applyFill="1" applyBorder="1" applyAlignment="1" applyProtection="1">
      <alignment horizontal="left" vertical="center" wrapText="1"/>
      <protection locked="0"/>
    </xf>
    <xf numFmtId="0" fontId="292" fillId="31" borderId="1" xfId="8" applyFont="1" applyFill="1" applyBorder="1" applyAlignment="1">
      <alignment horizontal="center" vertical="center" wrapText="1"/>
    </xf>
    <xf numFmtId="0" fontId="293" fillId="13" borderId="1" xfId="8" applyFont="1" applyFill="1" applyBorder="1" applyAlignment="1">
      <alignment horizontal="center" vertical="center" wrapText="1"/>
    </xf>
    <xf numFmtId="0" fontId="290" fillId="13" borderId="1" xfId="21" applyFill="1" applyBorder="1" applyAlignment="1">
      <alignment horizontal="center" vertical="center" wrapText="1"/>
    </xf>
    <xf numFmtId="10" fontId="294" fillId="13" borderId="1" xfId="8" applyNumberFormat="1" applyFont="1" applyFill="1" applyBorder="1" applyAlignment="1">
      <alignment horizontal="center" vertical="center" wrapText="1"/>
    </xf>
    <xf numFmtId="10" fontId="295" fillId="13" borderId="1" xfId="8" applyNumberFormat="1" applyFont="1" applyFill="1" applyBorder="1" applyAlignment="1">
      <alignment horizontal="center" vertical="center" wrapText="1"/>
    </xf>
    <xf numFmtId="0" fontId="94" fillId="32" borderId="0" xfId="8" applyFill="1" applyAlignment="1">
      <alignment horizontal="center" vertical="center"/>
    </xf>
    <xf numFmtId="10" fontId="94" fillId="32" borderId="0" xfId="8" applyNumberFormat="1" applyFill="1" applyAlignment="1">
      <alignment horizontal="center" vertical="center"/>
    </xf>
    <xf numFmtId="10" fontId="94" fillId="32" borderId="0" xfId="8" applyNumberFormat="1" applyFill="1">
      <alignment vertical="center"/>
    </xf>
    <xf numFmtId="0" fontId="94" fillId="32" borderId="0" xfId="8" applyFill="1">
      <alignment vertical="center"/>
    </xf>
    <xf numFmtId="0" fontId="94" fillId="32" borderId="0" xfId="8" applyFill="1" applyAlignment="1">
      <alignment vertical="center" wrapText="1"/>
    </xf>
    <xf numFmtId="9" fontId="94" fillId="32" borderId="0" xfId="8" applyNumberFormat="1" applyFill="1" applyAlignment="1">
      <alignment horizontal="center" vertical="center"/>
    </xf>
    <xf numFmtId="0" fontId="94" fillId="33" borderId="0" xfId="8" applyFill="1" applyAlignment="1">
      <alignment horizontal="center" vertical="center"/>
    </xf>
    <xf numFmtId="0" fontId="94" fillId="33" borderId="0" xfId="8" applyFill="1">
      <alignment vertical="center"/>
    </xf>
    <xf numFmtId="0" fontId="94" fillId="21" borderId="0" xfId="8" applyFill="1">
      <alignment vertical="center"/>
    </xf>
    <xf numFmtId="0" fontId="94" fillId="21" borderId="0" xfId="8" applyFill="1" applyAlignment="1">
      <alignment horizontal="center" vertical="center"/>
    </xf>
    <xf numFmtId="10" fontId="94" fillId="33" borderId="0" xfId="8" applyNumberFormat="1" applyFill="1" applyAlignment="1">
      <alignment horizontal="center" vertical="center"/>
    </xf>
    <xf numFmtId="0" fontId="94" fillId="21" borderId="0" xfId="8" applyFill="1" applyAlignment="1">
      <alignment vertical="center" wrapText="1"/>
    </xf>
    <xf numFmtId="10" fontId="94" fillId="33" borderId="0" xfId="8" applyNumberFormat="1" applyFill="1">
      <alignment vertical="center"/>
    </xf>
    <xf numFmtId="10" fontId="94" fillId="21" borderId="0" xfId="8" applyNumberFormat="1" applyFill="1" applyAlignment="1">
      <alignment horizontal="center" vertical="center"/>
    </xf>
    <xf numFmtId="0" fontId="94" fillId="34" borderId="0" xfId="8" applyFill="1">
      <alignment vertical="center"/>
    </xf>
    <xf numFmtId="0" fontId="94" fillId="35" borderId="0" xfId="8" applyFill="1">
      <alignment vertical="center"/>
    </xf>
    <xf numFmtId="0" fontId="94" fillId="35" borderId="0" xfId="8" applyFill="1" applyAlignment="1">
      <alignment horizontal="center" vertical="center"/>
    </xf>
    <xf numFmtId="10" fontId="94" fillId="35" borderId="0" xfId="8" applyNumberFormat="1" applyFill="1" applyAlignment="1">
      <alignment horizontal="center" vertical="center"/>
    </xf>
    <xf numFmtId="0" fontId="94" fillId="34" borderId="0" xfId="8" applyFill="1" applyAlignment="1">
      <alignment horizontal="center" vertical="center"/>
    </xf>
    <xf numFmtId="10" fontId="94" fillId="34" borderId="0" xfId="8" applyNumberFormat="1" applyFill="1" applyAlignment="1">
      <alignment horizontal="center" vertical="center"/>
    </xf>
    <xf numFmtId="0" fontId="94" fillId="37" borderId="180" xfId="8" applyFill="1" applyBorder="1" applyAlignment="1">
      <alignment horizontal="center" vertical="center"/>
    </xf>
    <xf numFmtId="0" fontId="94" fillId="37" borderId="180" xfId="8" applyFill="1" applyBorder="1" applyAlignment="1">
      <alignment horizontal="center" vertical="center" wrapText="1"/>
    </xf>
    <xf numFmtId="0" fontId="94" fillId="38" borderId="180" xfId="8" applyFill="1" applyBorder="1" applyAlignment="1">
      <alignment horizontal="center" vertical="center"/>
    </xf>
    <xf numFmtId="0" fontId="94" fillId="38" borderId="180" xfId="8" applyFill="1" applyBorder="1" applyAlignment="1">
      <alignment horizontal="center" vertical="center" wrapText="1"/>
    </xf>
    <xf numFmtId="10" fontId="94" fillId="0" borderId="180" xfId="8" applyNumberFormat="1" applyBorder="1" applyAlignment="1">
      <alignment horizontal="center" vertical="center"/>
    </xf>
    <xf numFmtId="0" fontId="94" fillId="0" borderId="180" xfId="8" applyBorder="1" applyAlignment="1">
      <alignment horizontal="center" vertical="center"/>
    </xf>
    <xf numFmtId="9" fontId="0" fillId="0" borderId="0" xfId="22" applyFont="1" applyAlignment="1">
      <alignment horizontal="center" vertical="center"/>
    </xf>
    <xf numFmtId="10" fontId="94" fillId="32" borderId="180" xfId="8" applyNumberFormat="1" applyFill="1" applyBorder="1" applyAlignment="1">
      <alignment horizontal="center" vertical="center"/>
    </xf>
    <xf numFmtId="0" fontId="94" fillId="32" borderId="180" xfId="8" applyFill="1" applyBorder="1" applyAlignment="1">
      <alignment horizontal="center" vertical="center"/>
    </xf>
    <xf numFmtId="10" fontId="94" fillId="21" borderId="180" xfId="8" applyNumberFormat="1" applyFill="1" applyBorder="1" applyAlignment="1">
      <alignment horizontal="center" vertical="center"/>
    </xf>
    <xf numFmtId="9" fontId="94" fillId="21" borderId="180" xfId="8" applyNumberFormat="1" applyFill="1" applyBorder="1" applyAlignment="1">
      <alignment horizontal="center" vertical="center"/>
    </xf>
    <xf numFmtId="0" fontId="94" fillId="21" borderId="180" xfId="8" applyFill="1" applyBorder="1" applyAlignment="1">
      <alignment horizontal="center" vertical="center"/>
    </xf>
    <xf numFmtId="181" fontId="94" fillId="21" borderId="180" xfId="8" applyNumberFormat="1" applyFill="1" applyBorder="1" applyAlignment="1">
      <alignment horizontal="center" vertical="center"/>
    </xf>
    <xf numFmtId="10" fontId="0" fillId="0" borderId="0" xfId="22" applyNumberFormat="1" applyFont="1" applyAlignment="1">
      <alignment horizontal="center" vertical="center"/>
    </xf>
    <xf numFmtId="9" fontId="94" fillId="32" borderId="180" xfId="8" applyNumberFormat="1" applyFill="1" applyBorder="1" applyAlignment="1">
      <alignment horizontal="center" vertical="center"/>
    </xf>
    <xf numFmtId="10" fontId="94" fillId="39" borderId="180" xfId="8" applyNumberFormat="1" applyFill="1" applyBorder="1" applyAlignment="1">
      <alignment horizontal="center" vertical="center"/>
    </xf>
    <xf numFmtId="0" fontId="94" fillId="39" borderId="180" xfId="8" applyFill="1" applyBorder="1" applyAlignment="1">
      <alignment horizontal="center" vertical="center"/>
    </xf>
    <xf numFmtId="0" fontId="94" fillId="6" borderId="180" xfId="8" applyFill="1" applyBorder="1" applyAlignment="1">
      <alignment horizontal="center" vertical="center"/>
    </xf>
    <xf numFmtId="10" fontId="94" fillId="6" borderId="180" xfId="8" applyNumberFormat="1" applyFill="1" applyBorder="1" applyAlignment="1">
      <alignment horizontal="center" vertical="center"/>
    </xf>
    <xf numFmtId="10" fontId="94" fillId="40" borderId="180" xfId="8" applyNumberFormat="1" applyFill="1" applyBorder="1" applyAlignment="1">
      <alignment horizontal="center" vertical="center"/>
    </xf>
    <xf numFmtId="0" fontId="110" fillId="40" borderId="180" xfId="8" applyFont="1" applyFill="1" applyBorder="1" applyAlignment="1">
      <alignment horizontal="center" vertical="center"/>
    </xf>
    <xf numFmtId="0" fontId="94" fillId="39" borderId="0" xfId="8" applyFill="1" applyAlignment="1">
      <alignment horizontal="center" vertical="center"/>
    </xf>
    <xf numFmtId="0" fontId="94" fillId="41" borderId="0" xfId="8" applyFill="1" applyAlignment="1">
      <alignment horizontal="center" vertical="center"/>
    </xf>
    <xf numFmtId="0" fontId="94" fillId="40" borderId="0" xfId="8" applyFill="1" applyAlignment="1">
      <alignment horizontal="center" vertical="center"/>
    </xf>
    <xf numFmtId="189" fontId="94" fillId="21" borderId="0" xfId="8" applyNumberFormat="1" applyFill="1" applyAlignment="1">
      <alignment horizontal="center" vertical="center"/>
    </xf>
    <xf numFmtId="189" fontId="94" fillId="0" borderId="0" xfId="8" applyNumberFormat="1" applyAlignment="1">
      <alignment vertical="center" wrapText="1"/>
    </xf>
    <xf numFmtId="179" fontId="96" fillId="0" borderId="0" xfId="8" applyNumberFormat="1" applyFont="1">
      <alignment vertical="center"/>
    </xf>
    <xf numFmtId="179" fontId="94" fillId="0" borderId="1" xfId="8" applyNumberFormat="1" applyBorder="1" applyAlignment="1">
      <alignment horizontal="center" vertical="center" wrapText="1" shrinkToFit="1"/>
    </xf>
    <xf numFmtId="10" fontId="94" fillId="0" borderId="1" xfId="8" applyNumberFormat="1" applyBorder="1" applyAlignment="1">
      <alignment horizontal="center" vertical="center" wrapText="1" shrinkToFit="1"/>
    </xf>
    <xf numFmtId="10" fontId="94" fillId="0" borderId="1" xfId="8" applyNumberFormat="1" applyBorder="1" applyAlignment="1">
      <alignment horizontal="center" vertical="center" wrapText="1"/>
    </xf>
    <xf numFmtId="0" fontId="104" fillId="5" borderId="0" xfId="8" applyFont="1" applyFill="1" applyAlignment="1">
      <alignment vertical="center" wrapText="1"/>
    </xf>
    <xf numFmtId="0" fontId="43" fillId="5" borderId="0" xfId="8" applyFont="1" applyFill="1">
      <alignment vertical="center"/>
    </xf>
    <xf numFmtId="0" fontId="43" fillId="5" borderId="0" xfId="8" applyFont="1" applyFill="1" applyProtection="1">
      <alignment vertical="center"/>
      <protection locked="0"/>
    </xf>
    <xf numFmtId="179" fontId="43" fillId="5" borderId="0" xfId="8" applyNumberFormat="1" applyFont="1" applyFill="1" applyProtection="1">
      <alignment vertical="center"/>
      <protection locked="0"/>
    </xf>
    <xf numFmtId="0" fontId="43" fillId="5" borderId="0" xfId="8" applyFont="1" applyFill="1" applyAlignment="1" applyProtection="1">
      <alignment horizontal="center" vertical="center"/>
      <protection locked="0"/>
    </xf>
    <xf numFmtId="0" fontId="43" fillId="13" borderId="0" xfId="8" applyFont="1" applyFill="1" applyProtection="1">
      <alignment vertical="center"/>
      <protection locked="0"/>
    </xf>
    <xf numFmtId="0" fontId="43" fillId="0" borderId="0" xfId="8" applyFont="1" applyProtection="1">
      <alignment vertical="center"/>
      <protection locked="0"/>
    </xf>
    <xf numFmtId="0" fontId="43" fillId="0" borderId="0" xfId="8" applyFont="1">
      <alignment vertical="center"/>
    </xf>
    <xf numFmtId="0" fontId="42" fillId="5" borderId="9" xfId="8" applyFont="1" applyFill="1" applyBorder="1" applyAlignment="1">
      <alignment vertical="center" wrapText="1"/>
    </xf>
    <xf numFmtId="14" fontId="40" fillId="5" borderId="15" xfId="8" applyNumberFormat="1" applyFont="1" applyFill="1" applyBorder="1" applyAlignment="1">
      <alignment horizontal="center" vertical="center"/>
    </xf>
    <xf numFmtId="0" fontId="40" fillId="5" borderId="0" xfId="8" applyFont="1" applyFill="1" applyProtection="1">
      <alignment vertical="center"/>
      <protection locked="0"/>
    </xf>
    <xf numFmtId="179" fontId="40" fillId="5" borderId="0" xfId="8" applyNumberFormat="1" applyFont="1" applyFill="1" applyProtection="1">
      <alignment vertical="center"/>
      <protection locked="0"/>
    </xf>
    <xf numFmtId="0" fontId="40" fillId="5" borderId="0" xfId="8" applyFont="1" applyFill="1" applyAlignment="1" applyProtection="1">
      <alignment horizontal="center" vertical="center"/>
      <protection locked="0"/>
    </xf>
    <xf numFmtId="0" fontId="40" fillId="13" borderId="0" xfId="8" applyFont="1" applyFill="1" applyProtection="1">
      <alignment vertical="center"/>
      <protection locked="0"/>
    </xf>
    <xf numFmtId="0" fontId="40" fillId="0" borderId="0" xfId="8" applyFont="1" applyProtection="1">
      <alignment vertical="center"/>
      <protection locked="0"/>
    </xf>
    <xf numFmtId="0" fontId="40" fillId="0" borderId="0" xfId="8" applyFont="1">
      <alignment vertical="center"/>
    </xf>
    <xf numFmtId="0" fontId="40" fillId="5" borderId="0" xfId="8" applyFont="1" applyFill="1" applyAlignment="1">
      <alignment vertical="center" wrapText="1"/>
    </xf>
    <xf numFmtId="0" fontId="40" fillId="5" borderId="0" xfId="8" applyFont="1" applyFill="1">
      <alignment vertical="center"/>
    </xf>
    <xf numFmtId="0" fontId="42" fillId="5" borderId="10" xfId="8" applyFont="1" applyFill="1" applyBorder="1" applyAlignment="1">
      <alignment vertical="center" wrapText="1"/>
    </xf>
    <xf numFmtId="0" fontId="40" fillId="5" borderId="55" xfId="8" applyFont="1" applyFill="1" applyBorder="1">
      <alignment vertical="center"/>
    </xf>
    <xf numFmtId="0" fontId="40" fillId="5" borderId="66" xfId="8" applyFont="1" applyFill="1" applyBorder="1">
      <alignment vertical="center"/>
    </xf>
    <xf numFmtId="179" fontId="40" fillId="5" borderId="66" xfId="8" applyNumberFormat="1" applyFont="1" applyFill="1" applyBorder="1">
      <alignment vertical="center"/>
    </xf>
    <xf numFmtId="0" fontId="40" fillId="5" borderId="81" xfId="8" applyFont="1" applyFill="1" applyBorder="1">
      <alignment vertical="center"/>
    </xf>
    <xf numFmtId="0" fontId="40" fillId="5" borderId="55" xfId="8" applyFont="1" applyFill="1" applyBorder="1" applyAlignment="1">
      <alignment horizontal="center" vertical="center"/>
    </xf>
    <xf numFmtId="0" fontId="40" fillId="5" borderId="66" xfId="8" applyFont="1" applyFill="1" applyBorder="1" applyAlignment="1">
      <alignment horizontal="center" vertical="center"/>
    </xf>
    <xf numFmtId="0" fontId="43" fillId="5" borderId="82" xfId="8" applyFont="1" applyFill="1" applyBorder="1" applyAlignment="1">
      <alignment horizontal="center" vertical="center"/>
    </xf>
    <xf numFmtId="0" fontId="40" fillId="5" borderId="37" xfId="8" applyFont="1" applyFill="1" applyBorder="1">
      <alignment vertical="center"/>
    </xf>
    <xf numFmtId="0" fontId="40" fillId="5" borderId="5" xfId="8" applyFont="1" applyFill="1" applyBorder="1">
      <alignment vertical="center"/>
    </xf>
    <xf numFmtId="0" fontId="40" fillId="5" borderId="79" xfId="8" applyFont="1" applyFill="1" applyBorder="1">
      <alignment vertical="center"/>
    </xf>
    <xf numFmtId="0" fontId="40" fillId="5" borderId="4" xfId="1" applyFont="1" applyFill="1" applyBorder="1" applyAlignment="1">
      <alignment vertical="center" wrapText="1"/>
    </xf>
    <xf numFmtId="0" fontId="40" fillId="5" borderId="11" xfId="1" applyFont="1" applyFill="1" applyBorder="1" applyAlignment="1">
      <alignment vertical="center" wrapText="1"/>
    </xf>
    <xf numFmtId="0" fontId="40" fillId="5" borderId="13" xfId="1" applyFont="1" applyFill="1" applyBorder="1" applyAlignment="1">
      <alignment vertical="center" wrapText="1"/>
    </xf>
    <xf numFmtId="180" fontId="47" fillId="5" borderId="4" xfId="1" applyNumberFormat="1" applyFont="1" applyFill="1" applyBorder="1" applyAlignment="1">
      <alignment horizontal="center" vertical="center" wrapText="1"/>
    </xf>
    <xf numFmtId="0" fontId="40" fillId="5" borderId="11" xfId="8" applyFont="1" applyFill="1" applyBorder="1" applyAlignment="1">
      <alignment horizontal="center" vertical="center" wrapText="1"/>
    </xf>
    <xf numFmtId="179" fontId="40" fillId="5" borderId="11" xfId="8" applyNumberFormat="1" applyFont="1" applyFill="1" applyBorder="1" applyAlignment="1">
      <alignment horizontal="center" vertical="center" wrapText="1"/>
    </xf>
    <xf numFmtId="0" fontId="99" fillId="5" borderId="31" xfId="8" applyFont="1" applyFill="1" applyBorder="1" applyAlignment="1">
      <alignment horizontal="center" vertical="center" wrapText="1"/>
    </xf>
    <xf numFmtId="177" fontId="40" fillId="5" borderId="4" xfId="1" applyNumberFormat="1" applyFont="1" applyFill="1" applyBorder="1" applyAlignment="1">
      <alignment horizontal="center" vertical="center" wrapText="1"/>
    </xf>
    <xf numFmtId="0" fontId="40" fillId="5" borderId="11" xfId="1" applyFont="1" applyFill="1" applyBorder="1" applyAlignment="1">
      <alignment horizontal="center" vertical="center" wrapText="1"/>
    </xf>
    <xf numFmtId="179" fontId="40" fillId="5" borderId="11" xfId="1" applyNumberFormat="1" applyFont="1" applyFill="1" applyBorder="1" applyAlignment="1">
      <alignment horizontal="center" vertical="center" wrapText="1"/>
    </xf>
    <xf numFmtId="0" fontId="40" fillId="6" borderId="11" xfId="1" applyFont="1" applyFill="1" applyBorder="1" applyAlignment="1" applyProtection="1">
      <alignment horizontal="center" vertical="center" wrapText="1"/>
      <protection locked="0"/>
    </xf>
    <xf numFmtId="0" fontId="40" fillId="5" borderId="13" xfId="1" applyFont="1" applyFill="1" applyBorder="1" applyAlignment="1">
      <alignment horizontal="center" vertical="center" wrapText="1"/>
    </xf>
    <xf numFmtId="0" fontId="40" fillId="5" borderId="12" xfId="8" applyFont="1" applyFill="1" applyBorder="1" applyAlignment="1">
      <alignment horizontal="center" vertical="center" wrapText="1"/>
    </xf>
    <xf numFmtId="0" fontId="40" fillId="5" borderId="4" xfId="1" applyFont="1" applyFill="1" applyBorder="1" applyAlignment="1">
      <alignment horizontal="center" vertical="center" wrapText="1"/>
    </xf>
    <xf numFmtId="0" fontId="40" fillId="5" borderId="37" xfId="1" applyFont="1" applyFill="1" applyBorder="1" applyAlignment="1">
      <alignment horizontal="center" vertical="center" wrapText="1"/>
    </xf>
    <xf numFmtId="0" fontId="40" fillId="5" borderId="59" xfId="1" applyFont="1" applyFill="1" applyBorder="1" applyAlignment="1">
      <alignment horizontal="center" vertical="center" wrapText="1"/>
    </xf>
    <xf numFmtId="0" fontId="40" fillId="5" borderId="4" xfId="8" applyFont="1" applyFill="1" applyBorder="1" applyAlignment="1">
      <alignment horizontal="center" vertical="center" wrapText="1"/>
    </xf>
    <xf numFmtId="0" fontId="40" fillId="5" borderId="13" xfId="8" applyFont="1" applyFill="1" applyBorder="1" applyAlignment="1">
      <alignment horizontal="center" vertical="center" wrapText="1"/>
    </xf>
    <xf numFmtId="0" fontId="40" fillId="5" borderId="31" xfId="8" applyFont="1" applyFill="1" applyBorder="1" applyAlignment="1">
      <alignment horizontal="center" vertical="center" wrapText="1"/>
    </xf>
    <xf numFmtId="0" fontId="40" fillId="5" borderId="28" xfId="8" applyFont="1" applyFill="1" applyBorder="1" applyAlignment="1">
      <alignment horizontal="center" vertical="center" wrapText="1"/>
    </xf>
    <xf numFmtId="0" fontId="40" fillId="5" borderId="3" xfId="8" applyFont="1" applyFill="1" applyBorder="1" applyAlignment="1" applyProtection="1">
      <alignment horizontal="center" vertical="center" wrapText="1"/>
      <protection locked="0"/>
    </xf>
    <xf numFmtId="0" fontId="40" fillId="5" borderId="1" xfId="8" applyFont="1" applyFill="1" applyBorder="1" applyAlignment="1">
      <alignment vertical="center" wrapText="1"/>
    </xf>
    <xf numFmtId="0" fontId="40" fillId="5" borderId="1" xfId="8" applyFont="1" applyFill="1" applyBorder="1" applyAlignment="1">
      <alignment horizontal="right" vertical="center" wrapText="1"/>
    </xf>
    <xf numFmtId="0" fontId="40" fillId="5" borderId="1" xfId="1" applyFont="1" applyFill="1" applyBorder="1" applyAlignment="1">
      <alignment horizontal="center" vertical="center" wrapText="1"/>
    </xf>
    <xf numFmtId="0" fontId="40" fillId="0" borderId="0" xfId="8" applyFont="1" applyAlignment="1" applyProtection="1">
      <alignment vertical="center" wrapText="1"/>
      <protection locked="0"/>
    </xf>
    <xf numFmtId="0" fontId="40" fillId="0" borderId="0" xfId="8" applyFont="1" applyAlignment="1">
      <alignment vertical="center" wrapText="1"/>
    </xf>
    <xf numFmtId="177" fontId="43" fillId="5" borderId="7" xfId="1" applyNumberFormat="1" applyFont="1" applyFill="1" applyBorder="1" applyAlignment="1">
      <alignment horizontal="left" vertical="center"/>
    </xf>
    <xf numFmtId="177" fontId="40" fillId="5" borderId="1" xfId="1" applyNumberFormat="1" applyFont="1" applyFill="1" applyBorder="1">
      <alignment vertical="center"/>
    </xf>
    <xf numFmtId="177" fontId="40" fillId="2" borderId="2" xfId="1" applyNumberFormat="1" applyFont="1" applyFill="1" applyBorder="1" applyProtection="1">
      <alignment vertical="center"/>
      <protection locked="0"/>
    </xf>
    <xf numFmtId="177" fontId="43" fillId="5" borderId="7" xfId="1" applyNumberFormat="1" applyFont="1" applyFill="1" applyBorder="1" applyAlignment="1">
      <alignment horizontal="center" vertical="center"/>
    </xf>
    <xf numFmtId="184" fontId="43" fillId="5" borderId="1" xfId="8" applyNumberFormat="1" applyFont="1" applyFill="1" applyBorder="1" applyAlignment="1">
      <alignment horizontal="center" vertical="center"/>
    </xf>
    <xf numFmtId="179" fontId="47" fillId="5" borderId="1" xfId="1" applyNumberFormat="1" applyFont="1" applyFill="1" applyBorder="1" applyAlignment="1">
      <alignment horizontal="center" vertical="center"/>
    </xf>
    <xf numFmtId="180" fontId="47" fillId="5" borderId="1" xfId="1" applyNumberFormat="1" applyFont="1" applyFill="1" applyBorder="1" applyAlignment="1">
      <alignment horizontal="center" vertical="center"/>
    </xf>
    <xf numFmtId="181" fontId="102" fillId="0" borderId="1" xfId="8" applyNumberFormat="1" applyFont="1" applyBorder="1" applyAlignment="1" applyProtection="1">
      <alignment horizontal="center" vertical="center"/>
      <protection locked="0"/>
    </xf>
    <xf numFmtId="181" fontId="40" fillId="0" borderId="1" xfId="8" applyNumberFormat="1" applyFont="1" applyBorder="1" applyAlignment="1" applyProtection="1">
      <alignment horizontal="center" vertical="center"/>
      <protection locked="0"/>
    </xf>
    <xf numFmtId="179" fontId="43" fillId="5" borderId="7" xfId="1" applyNumberFormat="1" applyFont="1" applyFill="1" applyBorder="1" applyAlignment="1">
      <alignment horizontal="center" vertical="center"/>
    </xf>
    <xf numFmtId="177" fontId="43" fillId="0" borderId="1" xfId="1" applyNumberFormat="1" applyFont="1" applyBorder="1" applyAlignment="1" applyProtection="1">
      <alignment horizontal="center" vertical="center"/>
      <protection locked="0"/>
    </xf>
    <xf numFmtId="0" fontId="40" fillId="5" borderId="1" xfId="1" applyFont="1" applyFill="1" applyBorder="1" applyAlignment="1">
      <alignment horizontal="center" vertical="center"/>
    </xf>
    <xf numFmtId="10" fontId="43" fillId="0" borderId="1" xfId="1" applyNumberFormat="1" applyFont="1" applyBorder="1" applyAlignment="1" applyProtection="1">
      <alignment horizontal="center" vertical="center"/>
      <protection locked="0"/>
    </xf>
    <xf numFmtId="0" fontId="40" fillId="5" borderId="2" xfId="8" applyFont="1" applyFill="1" applyBorder="1" applyAlignment="1">
      <alignment horizontal="center" vertical="center"/>
    </xf>
    <xf numFmtId="9" fontId="43" fillId="0" borderId="2" xfId="8" applyNumberFormat="1" applyFont="1" applyBorder="1" applyAlignment="1" applyProtection="1">
      <alignment horizontal="center" vertical="center"/>
      <protection locked="0"/>
    </xf>
    <xf numFmtId="179" fontId="40" fillId="5" borderId="7" xfId="1" applyNumberFormat="1" applyFont="1" applyFill="1" applyBorder="1" applyAlignment="1">
      <alignment horizontal="center" vertical="center"/>
    </xf>
    <xf numFmtId="179" fontId="40" fillId="5" borderId="1" xfId="8" applyNumberFormat="1" applyFont="1" applyFill="1" applyBorder="1" applyAlignment="1">
      <alignment horizontal="center" vertical="center"/>
    </xf>
    <xf numFmtId="0" fontId="40" fillId="5" borderId="6" xfId="1" applyFont="1" applyFill="1" applyBorder="1" applyAlignment="1">
      <alignment horizontal="center" vertical="center"/>
    </xf>
    <xf numFmtId="179" fontId="40" fillId="0" borderId="7" xfId="8" applyNumberFormat="1" applyFont="1" applyBorder="1" applyAlignment="1" applyProtection="1">
      <alignment horizontal="center" vertical="center"/>
      <protection locked="0"/>
    </xf>
    <xf numFmtId="181" fontId="40" fillId="0" borderId="1" xfId="8" applyNumberFormat="1" applyFont="1" applyBorder="1" applyProtection="1">
      <alignment vertical="center"/>
      <protection locked="0"/>
    </xf>
    <xf numFmtId="181" fontId="40" fillId="5" borderId="2" xfId="8" applyNumberFormat="1" applyFont="1" applyFill="1" applyBorder="1" applyAlignment="1">
      <alignment horizontal="center" vertical="center"/>
    </xf>
    <xf numFmtId="181" fontId="40" fillId="0" borderId="6" xfId="8" applyNumberFormat="1" applyFont="1" applyBorder="1" applyProtection="1">
      <alignment vertical="center"/>
      <protection locked="0"/>
    </xf>
    <xf numFmtId="0" fontId="40" fillId="0" borderId="3" xfId="8" applyFont="1" applyBorder="1" applyProtection="1">
      <alignment vertical="center"/>
      <protection locked="0"/>
    </xf>
    <xf numFmtId="181" fontId="40" fillId="0" borderId="2" xfId="8" applyNumberFormat="1" applyFont="1" applyBorder="1" applyProtection="1">
      <alignment vertical="center"/>
      <protection locked="0"/>
    </xf>
    <xf numFmtId="0" fontId="40" fillId="5" borderId="7" xfId="8" applyFont="1" applyFill="1" applyBorder="1" applyAlignment="1">
      <alignment horizontal="center" vertical="center"/>
    </xf>
    <xf numFmtId="0" fontId="40" fillId="0" borderId="1" xfId="8" applyFont="1" applyBorder="1" applyAlignment="1" applyProtection="1">
      <alignment horizontal="center" vertical="center"/>
      <protection locked="0"/>
    </xf>
    <xf numFmtId="0" fontId="99" fillId="5" borderId="6" xfId="8" applyFont="1" applyFill="1" applyBorder="1" applyAlignment="1">
      <alignment horizontal="center" vertical="center"/>
    </xf>
    <xf numFmtId="0" fontId="40" fillId="0" borderId="7" xfId="8" applyFont="1" applyBorder="1" applyAlignment="1" applyProtection="1">
      <alignment horizontal="center" vertical="center"/>
      <protection locked="0"/>
    </xf>
    <xf numFmtId="0" fontId="40" fillId="6" borderId="3" xfId="8" applyFont="1" applyFill="1" applyBorder="1" applyAlignment="1" applyProtection="1">
      <alignment horizontal="center" vertical="center"/>
      <protection locked="0"/>
    </xf>
    <xf numFmtId="10" fontId="40" fillId="0" borderId="1" xfId="8" applyNumberFormat="1" applyFont="1" applyBorder="1" applyAlignment="1" applyProtection="1">
      <alignment horizontal="center" vertical="center"/>
      <protection locked="0"/>
    </xf>
    <xf numFmtId="183" fontId="40" fillId="0" borderId="1" xfId="8" applyNumberFormat="1" applyFont="1" applyBorder="1" applyAlignment="1" applyProtection="1">
      <alignment horizontal="center" vertical="center"/>
      <protection locked="0"/>
    </xf>
    <xf numFmtId="181" fontId="40" fillId="0" borderId="6" xfId="8" applyNumberFormat="1" applyFont="1" applyBorder="1" applyAlignment="1" applyProtection="1">
      <alignment horizontal="center" vertical="center"/>
      <protection locked="0"/>
    </xf>
    <xf numFmtId="0" fontId="99" fillId="2" borderId="3" xfId="8" applyFont="1" applyFill="1" applyBorder="1" applyAlignment="1" applyProtection="1">
      <alignment horizontal="center" vertical="center"/>
      <protection locked="0"/>
    </xf>
    <xf numFmtId="0" fontId="40" fillId="5" borderId="1" xfId="8" applyFont="1" applyFill="1" applyBorder="1" applyAlignment="1">
      <alignment horizontal="center" vertical="center"/>
    </xf>
    <xf numFmtId="0" fontId="40" fillId="5" borderId="1" xfId="8" applyFont="1" applyFill="1" applyBorder="1" applyAlignment="1">
      <alignment horizontal="right" vertical="center"/>
    </xf>
    <xf numFmtId="179" fontId="43" fillId="0" borderId="7" xfId="8" applyNumberFormat="1" applyFont="1" applyBorder="1" applyAlignment="1" applyProtection="1">
      <alignment horizontal="center" vertical="center"/>
      <protection locked="0"/>
    </xf>
    <xf numFmtId="181" fontId="43" fillId="0" borderId="1" xfId="8" applyNumberFormat="1" applyFont="1" applyBorder="1" applyProtection="1">
      <alignment vertical="center"/>
      <protection locked="0"/>
    </xf>
    <xf numFmtId="0" fontId="43" fillId="0" borderId="7" xfId="8" applyFont="1" applyBorder="1" applyAlignment="1" applyProtection="1">
      <alignment horizontal="center" vertical="center"/>
      <protection locked="0"/>
    </xf>
    <xf numFmtId="10" fontId="43" fillId="0" borderId="1" xfId="8" applyNumberFormat="1" applyFont="1" applyBorder="1" applyAlignment="1" applyProtection="1">
      <alignment horizontal="center" vertical="center"/>
      <protection locked="0"/>
    </xf>
    <xf numFmtId="183" fontId="43" fillId="0" borderId="1" xfId="8" applyNumberFormat="1" applyFont="1" applyBorder="1" applyAlignment="1" applyProtection="1">
      <alignment horizontal="center" vertical="center"/>
      <protection locked="0"/>
    </xf>
    <xf numFmtId="181" fontId="43" fillId="0" borderId="6" xfId="8" applyNumberFormat="1" applyFont="1" applyBorder="1" applyAlignment="1" applyProtection="1">
      <alignment horizontal="center" vertical="center"/>
      <protection locked="0"/>
    </xf>
    <xf numFmtId="9" fontId="40" fillId="0" borderId="2" xfId="8" applyNumberFormat="1" applyFont="1" applyBorder="1" applyAlignment="1" applyProtection="1">
      <alignment horizontal="center" vertical="center"/>
      <protection locked="0"/>
    </xf>
    <xf numFmtId="177" fontId="40" fillId="0" borderId="1" xfId="1" applyNumberFormat="1" applyFont="1" applyBorder="1" applyAlignment="1" applyProtection="1">
      <alignment horizontal="center" vertical="center"/>
      <protection locked="0"/>
    </xf>
    <xf numFmtId="0" fontId="40" fillId="0" borderId="3" xfId="8" applyFont="1" applyBorder="1" applyAlignment="1" applyProtection="1">
      <alignment horizontal="center" vertical="center"/>
      <protection locked="0"/>
    </xf>
    <xf numFmtId="10" fontId="40" fillId="0" borderId="1" xfId="1" applyNumberFormat="1" applyFont="1" applyBorder="1" applyAlignment="1" applyProtection="1">
      <alignment horizontal="center" vertical="center"/>
      <protection locked="0"/>
    </xf>
    <xf numFmtId="179" fontId="40" fillId="0" borderId="7" xfId="8" applyNumberFormat="1" applyFont="1" applyBorder="1" applyProtection="1">
      <alignment vertical="center"/>
      <protection locked="0"/>
    </xf>
    <xf numFmtId="177" fontId="40" fillId="5" borderId="7" xfId="1" applyNumberFormat="1" applyFont="1" applyFill="1" applyBorder="1" applyAlignment="1" applyProtection="1">
      <alignment horizontal="left" vertical="center" wrapText="1"/>
      <protection locked="0"/>
    </xf>
    <xf numFmtId="177" fontId="40" fillId="5" borderId="2" xfId="1" applyNumberFormat="1" applyFont="1" applyFill="1" applyBorder="1">
      <alignment vertical="center"/>
    </xf>
    <xf numFmtId="181" fontId="45" fillId="5" borderId="1" xfId="8" applyNumberFormat="1" applyFont="1" applyFill="1" applyBorder="1" applyAlignment="1" applyProtection="1">
      <alignment horizontal="center" vertical="center"/>
      <protection locked="0"/>
    </xf>
    <xf numFmtId="9" fontId="40" fillId="5" borderId="2" xfId="8" applyNumberFormat="1" applyFont="1" applyFill="1" applyBorder="1" applyAlignment="1">
      <alignment horizontal="center" vertical="center"/>
    </xf>
    <xf numFmtId="0" fontId="40" fillId="5" borderId="7" xfId="8" applyFont="1" applyFill="1" applyBorder="1">
      <alignment vertical="center"/>
    </xf>
    <xf numFmtId="181" fontId="40" fillId="5" borderId="1" xfId="8" applyNumberFormat="1" applyFont="1" applyFill="1" applyBorder="1">
      <alignment vertical="center"/>
    </xf>
    <xf numFmtId="181" fontId="40" fillId="5" borderId="2" xfId="8" applyNumberFormat="1" applyFont="1" applyFill="1" applyBorder="1">
      <alignment vertical="center"/>
    </xf>
    <xf numFmtId="181" fontId="40" fillId="5" borderId="6" xfId="8" applyNumberFormat="1" applyFont="1" applyFill="1" applyBorder="1">
      <alignment vertical="center"/>
    </xf>
    <xf numFmtId="0" fontId="40" fillId="5" borderId="3" xfId="8" applyFont="1" applyFill="1" applyBorder="1">
      <alignment vertical="center"/>
    </xf>
    <xf numFmtId="181" fontId="40" fillId="5" borderId="1" xfId="8" applyNumberFormat="1" applyFont="1" applyFill="1" applyBorder="1" applyAlignment="1">
      <alignment horizontal="center" vertical="center"/>
    </xf>
    <xf numFmtId="0" fontId="40" fillId="5" borderId="3" xfId="8" applyFont="1" applyFill="1" applyBorder="1" applyAlignment="1">
      <alignment horizontal="center" vertical="center"/>
    </xf>
    <xf numFmtId="10" fontId="40" fillId="5" borderId="1" xfId="8" applyNumberFormat="1" applyFont="1" applyFill="1" applyBorder="1" applyAlignment="1">
      <alignment horizontal="center" vertical="center"/>
    </xf>
    <xf numFmtId="183" fontId="40" fillId="5" borderId="1" xfId="8" applyNumberFormat="1" applyFont="1" applyFill="1" applyBorder="1" applyAlignment="1">
      <alignment horizontal="center" vertical="center"/>
    </xf>
    <xf numFmtId="181" fontId="40" fillId="5" borderId="6" xfId="8" applyNumberFormat="1" applyFont="1" applyFill="1" applyBorder="1" applyAlignment="1">
      <alignment horizontal="center" vertical="center"/>
    </xf>
    <xf numFmtId="177" fontId="40" fillId="5" borderId="1" xfId="1" applyNumberFormat="1" applyFont="1" applyFill="1" applyBorder="1" applyAlignment="1">
      <alignment horizontal="center" vertical="center"/>
    </xf>
    <xf numFmtId="10" fontId="40" fillId="5" borderId="1" xfId="1" applyNumberFormat="1" applyFont="1" applyFill="1" applyBorder="1" applyAlignment="1">
      <alignment horizontal="center" vertical="center"/>
    </xf>
    <xf numFmtId="0" fontId="42" fillId="5" borderId="8" xfId="1" applyFont="1" applyFill="1" applyBorder="1" applyAlignment="1">
      <alignment vertical="center" wrapText="1"/>
    </xf>
    <xf numFmtId="0" fontId="42" fillId="5" borderId="61" xfId="1" applyFont="1" applyFill="1" applyBorder="1">
      <alignment vertical="center"/>
    </xf>
    <xf numFmtId="0" fontId="42" fillId="5" borderId="44" xfId="1" applyFont="1" applyFill="1" applyBorder="1">
      <alignment vertical="center"/>
    </xf>
    <xf numFmtId="0" fontId="42" fillId="5" borderId="8" xfId="1" applyFont="1" applyFill="1" applyBorder="1">
      <alignment vertical="center"/>
    </xf>
    <xf numFmtId="0" fontId="42" fillId="5" borderId="61" xfId="1" applyFont="1" applyFill="1" applyBorder="1" applyAlignment="1">
      <alignment horizontal="center" vertical="center"/>
    </xf>
    <xf numFmtId="181" fontId="42" fillId="5" borderId="61" xfId="1" applyNumberFormat="1" applyFont="1" applyFill="1" applyBorder="1">
      <alignment vertical="center"/>
    </xf>
    <xf numFmtId="0" fontId="42" fillId="5" borderId="43" xfId="1" applyFont="1" applyFill="1" applyBorder="1">
      <alignment vertical="center"/>
    </xf>
    <xf numFmtId="176" fontId="40" fillId="5" borderId="8" xfId="8" applyNumberFormat="1" applyFont="1" applyFill="1" applyBorder="1" applyAlignment="1">
      <alignment horizontal="center" vertical="center"/>
    </xf>
    <xf numFmtId="0" fontId="40" fillId="5" borderId="61" xfId="1" applyFont="1" applyFill="1" applyBorder="1" applyAlignment="1">
      <alignment horizontal="center" vertical="center"/>
    </xf>
    <xf numFmtId="10" fontId="40" fillId="5" borderId="61" xfId="1" applyNumberFormat="1" applyFont="1" applyFill="1" applyBorder="1" applyAlignment="1">
      <alignment horizontal="center" vertical="center"/>
    </xf>
    <xf numFmtId="9" fontId="40" fillId="5" borderId="44" xfId="8" applyNumberFormat="1" applyFont="1" applyFill="1" applyBorder="1" applyAlignment="1">
      <alignment horizontal="center" vertical="center"/>
    </xf>
    <xf numFmtId="179" fontId="40" fillId="5" borderId="8" xfId="1" applyNumberFormat="1" applyFont="1" applyFill="1" applyBorder="1" applyAlignment="1">
      <alignment horizontal="center" vertical="center"/>
    </xf>
    <xf numFmtId="179" fontId="40" fillId="5" borderId="56" xfId="1" applyNumberFormat="1" applyFont="1" applyFill="1" applyBorder="1" applyAlignment="1">
      <alignment horizontal="center" vertical="center"/>
    </xf>
    <xf numFmtId="0" fontId="40" fillId="5" borderId="62" xfId="1" applyFont="1" applyFill="1" applyBorder="1" applyAlignment="1">
      <alignment horizontal="center" vertical="center"/>
    </xf>
    <xf numFmtId="0" fontId="40" fillId="5" borderId="8" xfId="8" applyFont="1" applyFill="1" applyBorder="1">
      <alignment vertical="center"/>
    </xf>
    <xf numFmtId="0" fontId="40" fillId="5" borderId="61" xfId="8" applyFont="1" applyFill="1" applyBorder="1">
      <alignment vertical="center"/>
    </xf>
    <xf numFmtId="0" fontId="40" fillId="5" borderId="44" xfId="8" applyFont="1" applyFill="1" applyBorder="1">
      <alignment vertical="center"/>
    </xf>
    <xf numFmtId="0" fontId="40" fillId="5" borderId="43" xfId="8" applyFont="1" applyFill="1" applyBorder="1">
      <alignment vertical="center"/>
    </xf>
    <xf numFmtId="0" fontId="40" fillId="5" borderId="56" xfId="8" applyFont="1" applyFill="1" applyBorder="1">
      <alignment vertical="center"/>
    </xf>
    <xf numFmtId="0" fontId="48" fillId="5" borderId="0" xfId="8" applyFont="1" applyFill="1" applyAlignment="1">
      <alignment vertical="center" wrapText="1"/>
    </xf>
    <xf numFmtId="0" fontId="43" fillId="13" borderId="0" xfId="8" applyFont="1" applyFill="1">
      <alignment vertical="center"/>
    </xf>
    <xf numFmtId="179" fontId="43" fillId="13" borderId="0" xfId="8" applyNumberFormat="1" applyFont="1" applyFill="1" applyProtection="1">
      <alignment vertical="center"/>
      <protection locked="0"/>
    </xf>
    <xf numFmtId="0" fontId="43" fillId="13" borderId="0" xfId="8" applyFont="1" applyFill="1" applyAlignment="1" applyProtection="1">
      <alignment horizontal="center" vertical="center"/>
      <protection locked="0"/>
    </xf>
    <xf numFmtId="0" fontId="40" fillId="13" borderId="0" xfId="8" applyFont="1" applyFill="1">
      <alignment vertical="center"/>
    </xf>
    <xf numFmtId="179" fontId="40" fillId="13" borderId="0" xfId="8" applyNumberFormat="1" applyFont="1" applyFill="1" applyProtection="1">
      <alignment vertical="center"/>
      <protection locked="0"/>
    </xf>
    <xf numFmtId="176" fontId="47" fillId="5" borderId="4" xfId="1" applyNumberFormat="1" applyFont="1" applyFill="1" applyBorder="1" applyAlignment="1">
      <alignment vertical="center" wrapText="1"/>
    </xf>
    <xf numFmtId="176" fontId="47" fillId="0" borderId="31" xfId="1" applyNumberFormat="1" applyFont="1" applyBorder="1" applyAlignment="1" applyProtection="1">
      <alignment horizontal="center" vertical="center"/>
      <protection locked="0"/>
    </xf>
    <xf numFmtId="0" fontId="120" fillId="13" borderId="0" xfId="8" applyFont="1" applyFill="1">
      <alignment vertical="center"/>
    </xf>
    <xf numFmtId="176" fontId="47" fillId="5" borderId="7" xfId="1" applyNumberFormat="1" applyFont="1" applyFill="1" applyBorder="1" applyAlignment="1">
      <alignment vertical="center" wrapText="1"/>
    </xf>
    <xf numFmtId="176" fontId="40" fillId="0" borderId="6" xfId="1" applyNumberFormat="1" applyFont="1" applyBorder="1" applyAlignment="1" applyProtection="1">
      <alignment horizontal="center" vertical="center"/>
      <protection locked="0"/>
    </xf>
    <xf numFmtId="0" fontId="100" fillId="13" borderId="0" xfId="8" applyFont="1" applyFill="1">
      <alignment vertical="center"/>
    </xf>
    <xf numFmtId="176" fontId="40" fillId="5" borderId="7" xfId="1" applyNumberFormat="1" applyFont="1" applyFill="1" applyBorder="1" applyAlignment="1">
      <alignment vertical="center" wrapText="1"/>
    </xf>
    <xf numFmtId="176" fontId="47" fillId="5" borderId="6" xfId="1" applyNumberFormat="1" applyFont="1" applyFill="1" applyBorder="1" applyAlignment="1">
      <alignment horizontal="center" vertical="center"/>
    </xf>
    <xf numFmtId="176" fontId="47" fillId="5" borderId="8" xfId="1" applyNumberFormat="1" applyFont="1" applyFill="1" applyBorder="1" applyAlignment="1">
      <alignment vertical="center" wrapText="1"/>
    </xf>
    <xf numFmtId="176" fontId="47" fillId="5" borderId="43" xfId="1" applyNumberFormat="1" applyFont="1" applyFill="1" applyBorder="1" applyAlignment="1">
      <alignment horizontal="center" vertical="center"/>
    </xf>
    <xf numFmtId="0" fontId="40" fillId="5" borderId="14" xfId="8" applyFont="1" applyFill="1" applyBorder="1" applyAlignment="1">
      <alignment horizontal="center" vertical="center"/>
    </xf>
    <xf numFmtId="0" fontId="40" fillId="13" borderId="15" xfId="8" applyFont="1" applyFill="1" applyBorder="1" applyAlignment="1" applyProtection="1">
      <alignment horizontal="center" vertical="center"/>
      <protection locked="0"/>
    </xf>
    <xf numFmtId="0" fontId="40" fillId="5" borderId="4" xfId="8" applyFont="1" applyFill="1" applyBorder="1" applyAlignment="1">
      <alignment vertical="center" wrapText="1"/>
    </xf>
    <xf numFmtId="0" fontId="49" fillId="0" borderId="31" xfId="1" applyFont="1" applyBorder="1" applyAlignment="1" applyProtection="1">
      <alignment horizontal="center" vertical="center"/>
      <protection locked="0"/>
    </xf>
    <xf numFmtId="0" fontId="296" fillId="13" borderId="0" xfId="8" applyFont="1" applyFill="1" applyAlignment="1">
      <alignment horizontal="left" vertical="center"/>
    </xf>
    <xf numFmtId="179" fontId="40" fillId="13" borderId="0" xfId="8" applyNumberFormat="1" applyFont="1" applyFill="1" applyAlignment="1" applyProtection="1">
      <alignment horizontal="center" vertical="center"/>
      <protection locked="0"/>
    </xf>
    <xf numFmtId="0" fontId="40" fillId="13" borderId="0" xfId="8" applyFont="1" applyFill="1" applyAlignment="1" applyProtection="1">
      <alignment horizontal="center" vertical="center"/>
      <protection locked="0"/>
    </xf>
    <xf numFmtId="0" fontId="40" fillId="5" borderId="7" xfId="8" applyFont="1" applyFill="1" applyBorder="1" applyAlignment="1">
      <alignment vertical="center" wrapText="1"/>
    </xf>
    <xf numFmtId="0" fontId="49" fillId="0" borderId="6" xfId="1" applyFont="1" applyBorder="1" applyAlignment="1" applyProtection="1">
      <alignment horizontal="center" vertical="center"/>
      <protection locked="0"/>
    </xf>
    <xf numFmtId="0" fontId="100" fillId="13" borderId="0" xfId="8" applyFont="1" applyFill="1" applyAlignment="1" applyProtection="1">
      <alignment horizontal="center" vertical="center"/>
      <protection locked="0"/>
    </xf>
    <xf numFmtId="0" fontId="40" fillId="5" borderId="8" xfId="8" applyFont="1" applyFill="1" applyBorder="1" applyAlignment="1">
      <alignment vertical="center" wrapText="1"/>
    </xf>
    <xf numFmtId="0" fontId="49" fillId="0" borderId="43" xfId="1" applyFont="1" applyBorder="1" applyAlignment="1" applyProtection="1">
      <alignment horizontal="center" vertical="center"/>
      <protection locked="0"/>
    </xf>
    <xf numFmtId="0" fontId="100" fillId="13" borderId="0" xfId="8" applyFont="1" applyFill="1" applyAlignment="1">
      <alignment horizontal="left" vertical="center"/>
    </xf>
    <xf numFmtId="0" fontId="40" fillId="5" borderId="23" xfId="8" applyFont="1" applyFill="1" applyBorder="1" applyAlignment="1">
      <alignment vertical="center" wrapText="1"/>
    </xf>
    <xf numFmtId="0" fontId="49" fillId="0" borderId="34" xfId="1" applyFont="1" applyBorder="1" applyAlignment="1" applyProtection="1">
      <alignment horizontal="center" vertical="center"/>
      <protection locked="0"/>
    </xf>
    <xf numFmtId="0" fontId="47" fillId="5" borderId="6" xfId="1" applyFont="1" applyFill="1" applyBorder="1" applyAlignment="1">
      <alignment horizontal="center" vertical="center"/>
    </xf>
    <xf numFmtId="0" fontId="100" fillId="13" borderId="0" xfId="8" applyFont="1" applyFill="1" applyAlignment="1" applyProtection="1">
      <alignment horizontal="left" vertical="center"/>
      <protection locked="0"/>
    </xf>
    <xf numFmtId="0" fontId="40" fillId="5" borderId="16" xfId="8" applyFont="1" applyFill="1" applyBorder="1" applyAlignment="1">
      <alignment vertical="center" wrapText="1"/>
    </xf>
    <xf numFmtId="0" fontId="49" fillId="0" borderId="58" xfId="1" applyFont="1" applyBorder="1" applyAlignment="1" applyProtection="1">
      <alignment horizontal="center" vertical="center"/>
      <protection locked="0"/>
    </xf>
    <xf numFmtId="181" fontId="43" fillId="0" borderId="31" xfId="8" applyNumberFormat="1" applyFont="1" applyBorder="1" applyAlignment="1" applyProtection="1">
      <alignment horizontal="center" vertical="center"/>
      <protection locked="0"/>
    </xf>
    <xf numFmtId="0" fontId="118" fillId="13" borderId="0" xfId="8" applyFont="1" applyFill="1">
      <alignment vertical="center"/>
    </xf>
    <xf numFmtId="179" fontId="100" fillId="13" borderId="0" xfId="8" applyNumberFormat="1" applyFont="1" applyFill="1" applyProtection="1">
      <alignment vertical="center"/>
      <protection locked="0"/>
    </xf>
    <xf numFmtId="181" fontId="43" fillId="0" borderId="43" xfId="8" applyNumberFormat="1" applyFont="1" applyBorder="1" applyAlignment="1" applyProtection="1">
      <alignment horizontal="center" vertical="center"/>
      <protection locked="0"/>
    </xf>
    <xf numFmtId="181" fontId="43" fillId="0" borderId="34" xfId="8" applyNumberFormat="1" applyFont="1" applyBorder="1" applyAlignment="1" applyProtection="1">
      <alignment horizontal="center" vertical="center"/>
      <protection locked="0"/>
    </xf>
    <xf numFmtId="181" fontId="43" fillId="5" borderId="58" xfId="8" applyNumberFormat="1" applyFont="1" applyFill="1" applyBorder="1" applyAlignment="1">
      <alignment horizontal="center" vertical="center"/>
    </xf>
    <xf numFmtId="0" fontId="118" fillId="13" borderId="0" xfId="8" applyFont="1" applyFill="1" applyProtection="1">
      <alignment vertical="center"/>
      <protection locked="0"/>
    </xf>
    <xf numFmtId="0" fontId="40" fillId="6" borderId="16" xfId="8" applyFont="1" applyFill="1" applyBorder="1" applyAlignment="1" applyProtection="1">
      <alignment vertical="center" wrapText="1"/>
      <protection locked="0"/>
    </xf>
    <xf numFmtId="10" fontId="43" fillId="5" borderId="58" xfId="8" applyNumberFormat="1" applyFont="1" applyFill="1" applyBorder="1" applyAlignment="1">
      <alignment horizontal="center" vertical="center"/>
    </xf>
    <xf numFmtId="10" fontId="118" fillId="0" borderId="7" xfId="8" applyNumberFormat="1" applyFont="1" applyBorder="1" applyProtection="1">
      <alignment vertical="center"/>
      <protection locked="0"/>
    </xf>
    <xf numFmtId="10" fontId="40" fillId="5" borderId="31" xfId="8" applyNumberFormat="1" applyFont="1" applyFill="1" applyBorder="1" applyAlignment="1">
      <alignment horizontal="center" vertical="center"/>
    </xf>
    <xf numFmtId="0" fontId="40" fillId="5" borderId="16" xfId="8" applyFont="1" applyFill="1" applyBorder="1" applyAlignment="1">
      <alignment horizontal="left" vertical="center" wrapText="1"/>
    </xf>
    <xf numFmtId="10" fontId="40" fillId="0" borderId="58" xfId="8" applyNumberFormat="1" applyFont="1" applyBorder="1" applyAlignment="1" applyProtection="1">
      <alignment horizontal="center" vertical="center"/>
      <protection locked="0"/>
    </xf>
    <xf numFmtId="181" fontId="99" fillId="13" borderId="0" xfId="8" applyNumberFormat="1" applyFont="1" applyFill="1" applyAlignment="1">
      <alignment horizontal="center" vertical="center"/>
    </xf>
    <xf numFmtId="183" fontId="40" fillId="5" borderId="58" xfId="8" applyNumberFormat="1" applyFont="1" applyFill="1" applyBorder="1" applyAlignment="1">
      <alignment horizontal="center" vertical="center"/>
    </xf>
    <xf numFmtId="0" fontId="40" fillId="5" borderId="16" xfId="8" applyFont="1" applyFill="1" applyBorder="1" applyAlignment="1">
      <alignment horizontal="right" vertical="center" wrapText="1"/>
    </xf>
    <xf numFmtId="10" fontId="40" fillId="2" borderId="58" xfId="8" applyNumberFormat="1" applyFont="1" applyFill="1" applyBorder="1" applyAlignment="1" applyProtection="1">
      <alignment horizontal="center" vertical="center"/>
      <protection locked="0"/>
    </xf>
    <xf numFmtId="0" fontId="40" fillId="5" borderId="8" xfId="8" applyFont="1" applyFill="1" applyBorder="1" applyAlignment="1">
      <alignment horizontal="right" vertical="center" wrapText="1"/>
    </xf>
    <xf numFmtId="10" fontId="40" fillId="0" borderId="43" xfId="8" applyNumberFormat="1" applyFont="1" applyBorder="1" applyAlignment="1" applyProtection="1">
      <alignment horizontal="center" vertical="center"/>
      <protection locked="0"/>
    </xf>
    <xf numFmtId="0" fontId="120" fillId="13" borderId="0" xfId="8" applyFont="1" applyFill="1" applyAlignment="1">
      <alignment horizontal="left" vertical="center"/>
    </xf>
    <xf numFmtId="0" fontId="40" fillId="5" borderId="26" xfId="8" applyFont="1" applyFill="1" applyBorder="1" applyAlignment="1">
      <alignment vertical="center" wrapText="1"/>
    </xf>
    <xf numFmtId="10" fontId="40" fillId="0" borderId="50" xfId="8" applyNumberFormat="1" applyFont="1" applyBorder="1" applyAlignment="1" applyProtection="1">
      <alignment horizontal="center" vertical="center"/>
      <protection locked="0"/>
    </xf>
    <xf numFmtId="0" fontId="40" fillId="5" borderId="22" xfId="8" applyFont="1" applyFill="1" applyBorder="1" applyAlignment="1">
      <alignment vertical="center" wrapText="1"/>
    </xf>
    <xf numFmtId="10" fontId="40" fillId="5" borderId="59" xfId="8" applyNumberFormat="1" applyFont="1" applyFill="1" applyBorder="1" applyAlignment="1">
      <alignment horizontal="center" vertical="center"/>
    </xf>
    <xf numFmtId="10" fontId="40" fillId="5" borderId="43" xfId="8" applyNumberFormat="1" applyFont="1" applyFill="1" applyBorder="1" applyAlignment="1">
      <alignment horizontal="center" vertical="center"/>
    </xf>
    <xf numFmtId="178" fontId="40" fillId="5" borderId="59" xfId="8" applyNumberFormat="1" applyFont="1" applyFill="1" applyBorder="1" applyAlignment="1">
      <alignment horizontal="center" vertical="center"/>
    </xf>
    <xf numFmtId="0" fontId="40" fillId="2" borderId="6" xfId="8" applyFont="1" applyFill="1" applyBorder="1" applyAlignment="1" applyProtection="1">
      <alignment horizontal="center" vertical="center"/>
      <protection locked="0"/>
    </xf>
    <xf numFmtId="0" fontId="297" fillId="13" borderId="0" xfId="8" applyFont="1" applyFill="1">
      <alignment vertical="center"/>
    </xf>
    <xf numFmtId="0" fontId="40" fillId="0" borderId="7" xfId="8" applyFont="1" applyBorder="1" applyAlignment="1" applyProtection="1">
      <alignment horizontal="right" vertical="center" wrapText="1"/>
      <protection locked="0"/>
    </xf>
    <xf numFmtId="0" fontId="40" fillId="0" borderId="6" xfId="8" applyFont="1" applyBorder="1" applyAlignment="1" applyProtection="1">
      <alignment horizontal="center" vertical="center"/>
      <protection locked="0"/>
    </xf>
    <xf numFmtId="0" fontId="40" fillId="0" borderId="8" xfId="8" applyFont="1" applyBorder="1" applyAlignment="1" applyProtection="1">
      <alignment horizontal="right" vertical="center" wrapText="1"/>
      <protection locked="0"/>
    </xf>
    <xf numFmtId="0" fontId="40" fillId="0" borderId="43" xfId="8" applyFont="1" applyBorder="1" applyProtection="1">
      <alignment vertical="center"/>
      <protection locked="0"/>
    </xf>
    <xf numFmtId="0" fontId="43" fillId="13" borderId="0" xfId="8" applyFont="1" applyFill="1" applyAlignment="1" applyProtection="1">
      <alignment vertical="center" wrapText="1"/>
      <protection locked="0"/>
    </xf>
    <xf numFmtId="0" fontId="43" fillId="8" borderId="0" xfId="8" applyFont="1" applyFill="1" applyProtection="1">
      <alignment vertical="center"/>
      <protection locked="0"/>
    </xf>
    <xf numFmtId="0" fontId="43" fillId="8" borderId="0" xfId="8" applyFont="1" applyFill="1" applyAlignment="1" applyProtection="1">
      <alignment vertical="center" wrapText="1"/>
      <protection locked="0"/>
    </xf>
    <xf numFmtId="179" fontId="43" fillId="8" borderId="0" xfId="8" applyNumberFormat="1" applyFont="1" applyFill="1" applyProtection="1">
      <alignment vertical="center"/>
      <protection locked="0"/>
    </xf>
    <xf numFmtId="0" fontId="43" fillId="8" borderId="0" xfId="8" applyFont="1" applyFill="1" applyAlignment="1" applyProtection="1">
      <alignment horizontal="center" vertical="center"/>
      <protection locked="0"/>
    </xf>
    <xf numFmtId="0" fontId="43" fillId="0" borderId="0" xfId="8" applyFont="1" applyAlignment="1" applyProtection="1">
      <alignment vertical="center" wrapText="1"/>
      <protection locked="0"/>
    </xf>
    <xf numFmtId="179" fontId="43" fillId="0" borderId="0" xfId="8" applyNumberFormat="1" applyFont="1" applyProtection="1">
      <alignment vertical="center"/>
      <protection locked="0"/>
    </xf>
    <xf numFmtId="0" fontId="43" fillId="0" borderId="0" xfId="8" applyFont="1" applyAlignment="1" applyProtection="1">
      <alignment horizontal="center" vertical="center"/>
      <protection locked="0"/>
    </xf>
    <xf numFmtId="0" fontId="43" fillId="0" borderId="0" xfId="8" applyFont="1" applyAlignment="1">
      <alignment vertical="center" wrapText="1"/>
    </xf>
    <xf numFmtId="179" fontId="43" fillId="0" borderId="0" xfId="8" applyNumberFormat="1" applyFont="1">
      <alignment vertical="center"/>
    </xf>
    <xf numFmtId="0" fontId="43" fillId="0" borderId="0" xfId="8" applyFont="1" applyAlignment="1">
      <alignment horizontal="center" vertical="center"/>
    </xf>
    <xf numFmtId="0" fontId="102" fillId="6" borderId="1" xfId="0" applyFont="1" applyFill="1" applyBorder="1" applyAlignment="1" applyProtection="1">
      <alignment horizontal="center" vertical="center" wrapText="1"/>
      <protection locked="0"/>
    </xf>
    <xf numFmtId="10" fontId="94" fillId="0" borderId="0" xfId="8" applyNumberFormat="1" applyAlignment="1">
      <alignment horizontal="center" vertical="center" wrapText="1" shrinkToFit="1"/>
    </xf>
    <xf numFmtId="0" fontId="94" fillId="0" borderId="0" xfId="8" applyAlignment="1">
      <alignment horizontal="center" vertical="center" wrapText="1" shrinkToFit="1"/>
    </xf>
    <xf numFmtId="10" fontId="94" fillId="0" borderId="0" xfId="8" applyNumberFormat="1" applyAlignment="1">
      <alignment horizontal="center" vertical="center" wrapText="1"/>
    </xf>
    <xf numFmtId="9" fontId="112" fillId="6" borderId="1" xfId="8" applyNumberFormat="1" applyFont="1" applyFill="1" applyBorder="1" applyAlignment="1">
      <alignment horizontal="center" vertical="center" wrapText="1" shrinkToFit="1"/>
    </xf>
    <xf numFmtId="0" fontId="93" fillId="0" borderId="19" xfId="0" applyNumberFormat="1" applyFont="1" applyFill="1" applyBorder="1" applyAlignment="1" applyProtection="1">
      <alignment horizontal="left" vertical="center" wrapText="1"/>
      <protection locked="0"/>
    </xf>
    <xf numFmtId="49" fontId="93" fillId="0" borderId="22" xfId="0" applyNumberFormat="1" applyFont="1" applyFill="1" applyBorder="1" applyAlignment="1" applyProtection="1">
      <alignment horizontal="left" vertical="center" wrapText="1"/>
      <protection locked="0"/>
    </xf>
    <xf numFmtId="49" fontId="93" fillId="0" borderId="16" xfId="0" applyNumberFormat="1" applyFont="1" applyFill="1" applyBorder="1" applyAlignment="1" applyProtection="1">
      <alignment horizontal="left" vertical="center" wrapText="1"/>
      <protection locked="0"/>
    </xf>
    <xf numFmtId="49" fontId="298" fillId="0" borderId="26" xfId="0" applyNumberFormat="1" applyFont="1" applyFill="1" applyBorder="1" applyAlignment="1" applyProtection="1">
      <alignment horizontal="left" vertical="center" wrapText="1"/>
      <protection locked="0"/>
    </xf>
    <xf numFmtId="49" fontId="298" fillId="0" borderId="16" xfId="0" applyNumberFormat="1" applyFont="1" applyFill="1" applyBorder="1" applyAlignment="1" applyProtection="1">
      <alignment horizontal="left" vertical="center" wrapText="1"/>
      <protection locked="0"/>
    </xf>
    <xf numFmtId="0" fontId="93" fillId="0" borderId="51" xfId="0" applyNumberFormat="1" applyFont="1" applyFill="1" applyBorder="1" applyAlignment="1" applyProtection="1">
      <alignment horizontal="left" vertical="center" wrapText="1"/>
      <protection locked="0"/>
    </xf>
    <xf numFmtId="186" fontId="94" fillId="0" borderId="1" xfId="8" applyNumberFormat="1" applyBorder="1" applyAlignment="1">
      <alignment horizontal="center" vertical="center" wrapText="1" shrinkToFit="1"/>
    </xf>
    <xf numFmtId="186" fontId="94" fillId="0" borderId="1" xfId="8" applyNumberFormat="1" applyBorder="1" applyAlignment="1">
      <alignment horizontal="center" vertical="center" wrapText="1"/>
    </xf>
    <xf numFmtId="186" fontId="94" fillId="6" borderId="0" xfId="8" applyNumberFormat="1" applyFill="1" applyAlignment="1">
      <alignment horizontal="center" vertical="center" wrapText="1" shrinkToFit="1"/>
    </xf>
    <xf numFmtId="10" fontId="49" fillId="0" borderId="0" xfId="0" applyNumberFormat="1" applyFont="1" applyFill="1" applyAlignment="1" applyProtection="1">
      <alignment horizontal="left" vertical="center" wrapText="1"/>
      <protection locked="0"/>
    </xf>
    <xf numFmtId="0" fontId="267" fillId="9" borderId="0" xfId="8" applyFont="1" applyFill="1" applyAlignment="1">
      <alignment horizontal="center" vertical="center" wrapText="1"/>
    </xf>
    <xf numFmtId="10" fontId="112" fillId="0" borderId="1" xfId="8" applyNumberFormat="1" applyFont="1" applyBorder="1" applyAlignment="1">
      <alignment horizontal="center" vertical="center" wrapText="1" shrinkToFit="1"/>
    </xf>
    <xf numFmtId="0" fontId="112" fillId="0" borderId="2" xfId="8" applyFont="1" applyBorder="1" applyAlignment="1">
      <alignment horizontal="center" vertical="center" wrapText="1" shrinkToFit="1"/>
    </xf>
    <xf numFmtId="0" fontId="112" fillId="0" borderId="51" xfId="8" applyFont="1" applyBorder="1" applyAlignment="1">
      <alignment horizontal="center" vertical="center" wrapText="1" shrinkToFit="1"/>
    </xf>
    <xf numFmtId="0" fontId="112" fillId="0" borderId="1" xfId="8" applyFont="1" applyBorder="1" applyAlignment="1">
      <alignment horizontal="center" vertical="center" wrapText="1" shrinkToFit="1"/>
    </xf>
    <xf numFmtId="0" fontId="147" fillId="0" borderId="1" xfId="8" applyFont="1" applyBorder="1" applyAlignment="1">
      <alignment horizontal="center" vertical="center" wrapText="1"/>
    </xf>
    <xf numFmtId="0" fontId="112" fillId="0" borderId="1" xfId="8" applyFont="1" applyBorder="1" applyAlignment="1">
      <alignment horizontal="left" vertical="center" wrapText="1" shrinkToFit="1"/>
    </xf>
    <xf numFmtId="0" fontId="112" fillId="0" borderId="2" xfId="8" applyFont="1" applyBorder="1" applyAlignment="1">
      <alignment horizontal="right" vertical="center" wrapText="1" shrinkToFit="1"/>
    </xf>
    <xf numFmtId="9" fontId="112" fillId="0" borderId="1" xfId="8" applyNumberFormat="1" applyFont="1" applyBorder="1" applyAlignment="1">
      <alignment horizontal="center" vertical="center" wrapText="1" shrinkToFit="1"/>
    </xf>
    <xf numFmtId="0" fontId="112" fillId="0" borderId="3" xfId="8" applyFont="1" applyBorder="1" applyAlignment="1">
      <alignment horizontal="left" vertical="center" wrapText="1" shrinkToFit="1"/>
    </xf>
    <xf numFmtId="0" fontId="94" fillId="0" borderId="1" xfId="8" applyBorder="1" applyAlignment="1">
      <alignment horizontal="center" vertical="center" wrapText="1"/>
    </xf>
    <xf numFmtId="0" fontId="94" fillId="0" borderId="1" xfId="8" applyBorder="1" applyAlignment="1">
      <alignment horizontal="center" vertical="center" wrapText="1" shrinkToFit="1"/>
    </xf>
    <xf numFmtId="0" fontId="94" fillId="0" borderId="0" xfId="8"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195"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01" fillId="0" borderId="1" xfId="0" applyFont="1" applyBorder="1" applyAlignment="1">
      <alignment horizontal="center" vertical="center" wrapText="1"/>
    </xf>
    <xf numFmtId="0" fontId="301" fillId="0" borderId="0" xfId="0" applyFont="1" applyAlignment="1">
      <alignment horizontal="center" vertical="center" wrapText="1"/>
    </xf>
    <xf numFmtId="0" fontId="301" fillId="0" borderId="1" xfId="0" applyFont="1" applyBorder="1" applyAlignment="1">
      <alignment vertical="center" wrapText="1"/>
    </xf>
    <xf numFmtId="0" fontId="302" fillId="0" borderId="1" xfId="0" applyFont="1" applyBorder="1" applyAlignment="1">
      <alignment vertical="center" wrapText="1"/>
    </xf>
    <xf numFmtId="0" fontId="301" fillId="0" borderId="1" xfId="0" applyFont="1" applyBorder="1" applyAlignment="1">
      <alignment horizontal="left" vertical="center" wrapText="1"/>
    </xf>
    <xf numFmtId="0" fontId="302" fillId="0" borderId="1" xfId="0" applyFont="1" applyBorder="1" applyAlignment="1">
      <alignment horizontal="left" vertical="center" wrapText="1"/>
    </xf>
    <xf numFmtId="0" fontId="112" fillId="42" borderId="2" xfId="8" applyFont="1" applyFill="1" applyBorder="1" applyAlignment="1">
      <alignment horizontal="center" vertical="center" wrapText="1" shrinkToFit="1"/>
    </xf>
    <xf numFmtId="0" fontId="112" fillId="42" borderId="51" xfId="8" applyFont="1" applyFill="1" applyBorder="1" applyAlignment="1">
      <alignment horizontal="center" vertical="center" wrapText="1" shrinkToFit="1"/>
    </xf>
    <xf numFmtId="180" fontId="112" fillId="42" borderId="51" xfId="8" applyNumberFormat="1" applyFont="1" applyFill="1" applyBorder="1" applyAlignment="1">
      <alignment horizontal="center" vertical="center" wrapText="1" shrinkToFit="1"/>
    </xf>
    <xf numFmtId="0" fontId="112" fillId="42" borderId="3" xfId="8" applyFont="1" applyFill="1" applyBorder="1" applyAlignment="1">
      <alignment horizontal="left" vertical="center" wrapText="1" shrinkToFit="1"/>
    </xf>
    <xf numFmtId="14" fontId="94" fillId="43" borderId="0" xfId="8" applyNumberFormat="1" applyFill="1">
      <alignment vertical="center"/>
    </xf>
    <xf numFmtId="0" fontId="94" fillId="43" borderId="0" xfId="8" applyFill="1">
      <alignment vertical="center"/>
    </xf>
    <xf numFmtId="14" fontId="0" fillId="0" borderId="1" xfId="8" applyNumberFormat="1" applyFont="1" applyBorder="1" applyAlignment="1">
      <alignment horizontal="center" vertical="center"/>
    </xf>
    <xf numFmtId="14" fontId="0" fillId="0" borderId="1" xfId="8" applyNumberFormat="1" applyFont="1" applyBorder="1" applyAlignment="1">
      <alignment horizontal="center" vertical="center" wrapText="1"/>
    </xf>
    <xf numFmtId="0" fontId="96" fillId="6" borderId="0" xfId="8" applyFont="1" applyFill="1" applyAlignment="1">
      <alignment horizontal="center" vertical="center" wrapText="1"/>
    </xf>
    <xf numFmtId="0" fontId="31" fillId="0" borderId="0" xfId="24"/>
    <xf numFmtId="0" fontId="31" fillId="0" borderId="0" xfId="25">
      <alignment vertical="center"/>
    </xf>
    <xf numFmtId="0" fontId="231" fillId="0" borderId="1" xfId="23" applyFont="1" applyBorder="1" applyAlignment="1">
      <alignment horizontal="center" vertical="center"/>
    </xf>
    <xf numFmtId="0" fontId="231" fillId="0" borderId="1" xfId="23" applyFont="1" applyBorder="1" applyAlignment="1">
      <alignment vertical="center"/>
    </xf>
    <xf numFmtId="0" fontId="231" fillId="0" borderId="1" xfId="26" applyFont="1" applyFill="1" applyBorder="1" applyAlignment="1">
      <alignment horizontal="center" vertical="center"/>
    </xf>
    <xf numFmtId="40" fontId="231" fillId="0" borderId="1" xfId="23" applyNumberFormat="1" applyFont="1" applyBorder="1" applyAlignment="1">
      <alignment horizontal="center" vertical="center"/>
    </xf>
    <xf numFmtId="3" fontId="231" fillId="3" borderId="1" xfId="27" applyNumberFormat="1" applyFont="1" applyFill="1" applyBorder="1" applyAlignment="1">
      <alignment horizontal="center" vertical="center"/>
    </xf>
    <xf numFmtId="0" fontId="231" fillId="0" borderId="2" xfId="23" applyFont="1" applyBorder="1" applyAlignment="1">
      <alignment horizontal="center" vertical="center"/>
    </xf>
    <xf numFmtId="0" fontId="76" fillId="0" borderId="1" xfId="24" applyFont="1" applyBorder="1" applyAlignment="1">
      <alignment horizontal="center" vertical="center"/>
    </xf>
    <xf numFmtId="178" fontId="76" fillId="0" borderId="1" xfId="24" applyNumberFormat="1" applyFont="1" applyBorder="1" applyAlignment="1">
      <alignment horizontal="center" vertical="center"/>
    </xf>
    <xf numFmtId="3" fontId="76" fillId="0" borderId="1" xfId="24" applyNumberFormat="1" applyFont="1" applyBorder="1" applyAlignment="1">
      <alignment horizontal="center" vertical="center"/>
    </xf>
    <xf numFmtId="0" fontId="76" fillId="0" borderId="1" xfId="24" applyFont="1" applyBorder="1" applyAlignment="1">
      <alignment vertical="center"/>
    </xf>
    <xf numFmtId="0" fontId="17" fillId="0" borderId="1" xfId="26" applyFont="1" applyFill="1" applyBorder="1" applyAlignment="1">
      <alignment horizontal="center" vertical="center"/>
    </xf>
    <xf numFmtId="0" fontId="76" fillId="0" borderId="2" xfId="24" applyFont="1" applyBorder="1" applyAlignment="1">
      <alignment horizontal="center" vertical="center"/>
    </xf>
    <xf numFmtId="0" fontId="76" fillId="0" borderId="1" xfId="28" applyFont="1" applyBorder="1" applyAlignment="1">
      <alignment horizontal="center" vertical="center"/>
    </xf>
    <xf numFmtId="0" fontId="17" fillId="0" borderId="0" xfId="25" applyFont="1" applyAlignment="1">
      <alignment horizontal="center" vertical="center"/>
    </xf>
    <xf numFmtId="0" fontId="76" fillId="0" borderId="18" xfId="24" applyFont="1" applyBorder="1" applyAlignment="1">
      <alignment horizontal="center" vertical="center"/>
    </xf>
    <xf numFmtId="0" fontId="17" fillId="0" borderId="18" xfId="26" applyFont="1" applyFill="1" applyBorder="1" applyAlignment="1">
      <alignment horizontal="center" vertical="center"/>
    </xf>
    <xf numFmtId="0" fontId="76" fillId="0" borderId="18" xfId="28" applyFont="1" applyBorder="1" applyAlignment="1">
      <alignment horizontal="center" vertical="center"/>
    </xf>
    <xf numFmtId="0" fontId="17" fillId="0" borderId="1" xfId="24" applyFont="1" applyBorder="1" applyAlignment="1">
      <alignment horizontal="center" vertical="center"/>
    </xf>
    <xf numFmtId="0" fontId="17" fillId="0" borderId="18" xfId="24" applyFont="1" applyBorder="1" applyAlignment="1">
      <alignment horizontal="center" vertical="center"/>
    </xf>
    <xf numFmtId="0" fontId="31" fillId="0" borderId="1" xfId="25" applyBorder="1">
      <alignment vertical="center"/>
    </xf>
    <xf numFmtId="0" fontId="91" fillId="42" borderId="49" xfId="24" applyFont="1" applyFill="1" applyBorder="1" applyAlignment="1">
      <alignment horizontal="center" vertical="center"/>
    </xf>
    <xf numFmtId="0" fontId="91" fillId="42" borderId="1" xfId="24" applyFont="1" applyFill="1" applyBorder="1" applyAlignment="1">
      <alignment horizontal="center" vertical="center"/>
    </xf>
    <xf numFmtId="0" fontId="137" fillId="42" borderId="1" xfId="26" applyFont="1" applyFill="1" applyBorder="1" applyAlignment="1">
      <alignment horizontal="center" vertical="center"/>
    </xf>
    <xf numFmtId="178" fontId="91" fillId="42" borderId="1" xfId="24" applyNumberFormat="1" applyFont="1" applyFill="1" applyBorder="1" applyAlignment="1">
      <alignment horizontal="center" vertical="center"/>
    </xf>
    <xf numFmtId="3" fontId="91" fillId="42" borderId="1" xfId="24" applyNumberFormat="1" applyFont="1" applyFill="1" applyBorder="1" applyAlignment="1">
      <alignment horizontal="center" vertical="center"/>
    </xf>
    <xf numFmtId="0" fontId="91" fillId="42" borderId="49" xfId="28" applyFont="1" applyFill="1" applyBorder="1" applyAlignment="1">
      <alignment horizontal="center" vertical="center"/>
    </xf>
    <xf numFmtId="0" fontId="90" fillId="42" borderId="0" xfId="24" applyFont="1" applyFill="1"/>
    <xf numFmtId="0" fontId="90" fillId="42" borderId="0" xfId="25" applyFont="1" applyFill="1">
      <alignment vertical="center"/>
    </xf>
    <xf numFmtId="49" fontId="17" fillId="0" borderId="1" xfId="24" applyNumberFormat="1" applyFont="1" applyBorder="1" applyAlignment="1">
      <alignment horizontal="center" vertical="center"/>
    </xf>
    <xf numFmtId="0" fontId="17" fillId="0" borderId="1" xfId="23" applyFont="1" applyBorder="1" applyAlignment="1">
      <alignment vertical="center"/>
    </xf>
    <xf numFmtId="0" fontId="17" fillId="0" borderId="1" xfId="23" applyFont="1" applyBorder="1" applyAlignment="1">
      <alignment horizontal="center" vertical="center"/>
    </xf>
    <xf numFmtId="40" fontId="17" fillId="0" borderId="1" xfId="23" applyNumberFormat="1" applyFont="1" applyBorder="1" applyAlignment="1">
      <alignment horizontal="center" vertical="center"/>
    </xf>
    <xf numFmtId="3" fontId="17" fillId="0" borderId="1" xfId="27" applyNumberFormat="1" applyFont="1" applyFill="1" applyBorder="1" applyAlignment="1">
      <alignment horizontal="center" vertical="center"/>
    </xf>
    <xf numFmtId="0" fontId="17" fillId="0" borderId="1" xfId="28" applyFont="1" applyBorder="1" applyAlignment="1">
      <alignment horizontal="center" vertical="center"/>
    </xf>
    <xf numFmtId="49" fontId="76" fillId="0" borderId="1" xfId="24" applyNumberFormat="1" applyFont="1" applyBorder="1" applyAlignment="1">
      <alignment horizontal="center" vertical="center"/>
    </xf>
    <xf numFmtId="178" fontId="17" fillId="0" borderId="1" xfId="24" applyNumberFormat="1" applyFont="1" applyBorder="1" applyAlignment="1">
      <alignment horizontal="center" vertical="center"/>
    </xf>
    <xf numFmtId="178" fontId="17" fillId="0" borderId="18" xfId="24" applyNumberFormat="1" applyFont="1" applyBorder="1" applyAlignment="1">
      <alignment horizontal="center" vertical="center"/>
    </xf>
    <xf numFmtId="0" fontId="137" fillId="42" borderId="49" xfId="24" applyFont="1" applyFill="1" applyBorder="1" applyAlignment="1">
      <alignment horizontal="center" vertical="center"/>
    </xf>
    <xf numFmtId="0" fontId="137" fillId="42" borderId="17" xfId="24" applyFont="1" applyFill="1" applyBorder="1" applyAlignment="1">
      <alignment horizontal="center" vertical="center"/>
    </xf>
    <xf numFmtId="0" fontId="137" fillId="42" borderId="1" xfId="24" applyFont="1" applyFill="1" applyBorder="1" applyAlignment="1">
      <alignment horizontal="center" vertical="center"/>
    </xf>
    <xf numFmtId="178" fontId="137" fillId="42" borderId="1" xfId="24" applyNumberFormat="1" applyFont="1" applyFill="1" applyBorder="1" applyAlignment="1">
      <alignment horizontal="center" vertical="center"/>
    </xf>
    <xf numFmtId="0" fontId="137" fillId="42" borderId="17" xfId="23" applyFont="1" applyFill="1" applyBorder="1" applyAlignment="1">
      <alignment horizontal="center" vertical="center"/>
    </xf>
    <xf numFmtId="0" fontId="91" fillId="42" borderId="2" xfId="24" applyFont="1" applyFill="1" applyBorder="1" applyAlignment="1">
      <alignment horizontal="center" vertical="center"/>
    </xf>
    <xf numFmtId="0" fontId="137" fillId="42" borderId="1" xfId="23" applyFont="1" applyFill="1" applyBorder="1" applyAlignment="1">
      <alignment horizontal="center" vertical="center"/>
    </xf>
    <xf numFmtId="0" fontId="76" fillId="0" borderId="17" xfId="24" applyFont="1" applyBorder="1" applyAlignment="1">
      <alignment horizontal="center" vertical="center"/>
    </xf>
    <xf numFmtId="0" fontId="76" fillId="0" borderId="1" xfId="26" applyFont="1" applyFill="1" applyBorder="1" applyAlignment="1">
      <alignment horizontal="center" vertical="center"/>
    </xf>
    <xf numFmtId="0" fontId="195" fillId="0" borderId="0" xfId="24" applyFont="1"/>
    <xf numFmtId="0" fontId="76" fillId="0" borderId="18" xfId="24" applyFont="1" applyBorder="1" applyAlignment="1">
      <alignment vertical="center"/>
    </xf>
    <xf numFmtId="0" fontId="76" fillId="0" borderId="35" xfId="24" applyFont="1" applyBorder="1" applyAlignment="1">
      <alignment horizontal="center" vertical="center"/>
    </xf>
    <xf numFmtId="0" fontId="76" fillId="0" borderId="49" xfId="24" applyFont="1" applyBorder="1" applyAlignment="1">
      <alignment horizontal="center" vertical="center"/>
    </xf>
    <xf numFmtId="0" fontId="91" fillId="42" borderId="18" xfId="24" applyFont="1" applyFill="1" applyBorder="1" applyAlignment="1">
      <alignment horizontal="center" vertical="center"/>
    </xf>
    <xf numFmtId="0" fontId="17" fillId="0" borderId="0" xfId="24" applyFont="1" applyAlignment="1">
      <alignment vertical="center"/>
    </xf>
    <xf numFmtId="0" fontId="91" fillId="42" borderId="17" xfId="24" applyFont="1" applyFill="1" applyBorder="1" applyAlignment="1">
      <alignment horizontal="center" vertical="center"/>
    </xf>
    <xf numFmtId="0" fontId="17" fillId="0" borderId="2" xfId="23" applyFont="1" applyBorder="1" applyAlignment="1">
      <alignment horizontal="center" vertical="center"/>
    </xf>
    <xf numFmtId="0" fontId="17" fillId="0" borderId="0" xfId="24" applyFont="1" applyAlignment="1">
      <alignment horizontal="center" vertical="center"/>
    </xf>
    <xf numFmtId="0" fontId="17" fillId="0" borderId="1" xfId="27" applyFont="1" applyFill="1" applyBorder="1" applyAlignment="1">
      <alignment vertical="center"/>
    </xf>
    <xf numFmtId="0" fontId="17" fillId="0" borderId="1" xfId="24" applyFont="1" applyBorder="1" applyAlignment="1">
      <alignment vertical="center"/>
    </xf>
    <xf numFmtId="0" fontId="17" fillId="0" borderId="2" xfId="24" applyFont="1" applyBorder="1" applyAlignment="1">
      <alignment horizontal="center" vertical="center"/>
    </xf>
    <xf numFmtId="0" fontId="137" fillId="42" borderId="18" xfId="24" applyFont="1" applyFill="1" applyBorder="1" applyAlignment="1">
      <alignment horizontal="center" vertical="center"/>
    </xf>
    <xf numFmtId="0" fontId="137" fillId="42" borderId="18" xfId="26" applyFont="1" applyFill="1" applyBorder="1" applyAlignment="1">
      <alignment horizontal="center" vertical="center"/>
    </xf>
    <xf numFmtId="3" fontId="137" fillId="42" borderId="18" xfId="27" applyNumberFormat="1" applyFont="1" applyFill="1" applyBorder="1" applyAlignment="1">
      <alignment horizontal="center" vertical="center"/>
    </xf>
    <xf numFmtId="0" fontId="137" fillId="42" borderId="35" xfId="24" applyFont="1" applyFill="1" applyBorder="1" applyAlignment="1">
      <alignment horizontal="center" vertical="center"/>
    </xf>
    <xf numFmtId="3" fontId="76" fillId="0" borderId="18" xfId="24" applyNumberFormat="1" applyFont="1" applyBorder="1" applyAlignment="1">
      <alignment horizontal="center" vertical="center"/>
    </xf>
    <xf numFmtId="0" fontId="31" fillId="0" borderId="0" xfId="24" applyAlignment="1">
      <alignment horizontal="center"/>
    </xf>
    <xf numFmtId="0" fontId="90" fillId="9" borderId="1" xfId="25" applyFont="1" applyFill="1" applyBorder="1">
      <alignment vertical="center"/>
    </xf>
    <xf numFmtId="3" fontId="90" fillId="9" borderId="1" xfId="25" applyNumberFormat="1" applyFont="1" applyFill="1" applyBorder="1">
      <alignment vertical="center"/>
    </xf>
    <xf numFmtId="0" fontId="90" fillId="9" borderId="0" xfId="25" applyFont="1" applyFill="1">
      <alignment vertical="center"/>
    </xf>
    <xf numFmtId="9" fontId="261" fillId="0" borderId="1" xfId="8" applyNumberFormat="1" applyFont="1" applyBorder="1" applyAlignment="1">
      <alignment horizontal="center" vertical="center" wrapText="1"/>
    </xf>
    <xf numFmtId="181" fontId="255" fillId="0" borderId="1" xfId="8" applyNumberFormat="1" applyFont="1" applyBorder="1" applyAlignment="1">
      <alignment horizontal="center" vertical="center" wrapText="1"/>
    </xf>
    <xf numFmtId="183" fontId="94" fillId="0" borderId="0" xfId="8" applyNumberFormat="1" applyAlignment="1">
      <alignment vertical="center" wrapText="1" shrinkToFit="1"/>
    </xf>
    <xf numFmtId="0" fontId="306" fillId="0" borderId="0" xfId="8" applyFont="1">
      <alignment vertical="center"/>
    </xf>
    <xf numFmtId="9" fontId="147" fillId="42" borderId="1" xfId="8" applyNumberFormat="1" applyFont="1" applyFill="1" applyBorder="1" applyAlignment="1">
      <alignment horizontal="center" vertical="center" wrapText="1"/>
    </xf>
    <xf numFmtId="9" fontId="262" fillId="0" borderId="0" xfId="8" applyNumberFormat="1" applyFont="1" applyAlignment="1">
      <alignment horizontal="center" vertical="center" wrapText="1"/>
    </xf>
    <xf numFmtId="9" fontId="94" fillId="0" borderId="0" xfId="8" applyNumberFormat="1" applyAlignment="1">
      <alignment horizontal="center" vertical="center" wrapText="1"/>
    </xf>
    <xf numFmtId="14" fontId="109" fillId="0" borderId="1" xfId="8" applyNumberFormat="1" applyFont="1" applyBorder="1" applyAlignment="1">
      <alignment horizontal="center" vertical="center"/>
    </xf>
    <xf numFmtId="179" fontId="109" fillId="0" borderId="1" xfId="8" applyNumberFormat="1" applyFont="1" applyBorder="1" applyAlignment="1">
      <alignment horizontal="center" vertical="center" wrapText="1" shrinkToFit="1"/>
    </xf>
    <xf numFmtId="10" fontId="109" fillId="0" borderId="1" xfId="8" applyNumberFormat="1" applyFont="1" applyBorder="1" applyAlignment="1">
      <alignment horizontal="center" vertical="center" wrapText="1" shrinkToFit="1"/>
    </xf>
    <xf numFmtId="186" fontId="109" fillId="0" borderId="1" xfId="8" applyNumberFormat="1" applyFont="1" applyBorder="1" applyAlignment="1">
      <alignment horizontal="center" vertical="center" wrapText="1" shrinkToFit="1"/>
    </xf>
    <xf numFmtId="0" fontId="109" fillId="0" borderId="1" xfId="8" applyFont="1" applyBorder="1" applyAlignment="1">
      <alignment horizontal="center" vertical="center" wrapText="1" shrinkToFit="1"/>
    </xf>
    <xf numFmtId="10" fontId="109" fillId="0" borderId="0" xfId="8" applyNumberFormat="1" applyFont="1" applyAlignment="1">
      <alignment horizontal="center" vertical="center" wrapText="1" shrinkToFit="1"/>
    </xf>
    <xf numFmtId="0" fontId="109" fillId="0" borderId="0" xfId="8" applyFont="1" applyAlignment="1">
      <alignment horizontal="center" vertical="center" wrapText="1" shrinkToFit="1"/>
    </xf>
    <xf numFmtId="14" fontId="109" fillId="0" borderId="1" xfId="8" applyNumberFormat="1" applyFont="1" applyBorder="1" applyAlignment="1">
      <alignment horizontal="center" vertical="center" wrapText="1"/>
    </xf>
    <xf numFmtId="10" fontId="109" fillId="0" borderId="0" xfId="8" applyNumberFormat="1" applyFont="1" applyAlignment="1">
      <alignment horizontal="center" vertical="center" wrapText="1"/>
    </xf>
    <xf numFmtId="179" fontId="256" fillId="0" borderId="0" xfId="8" applyNumberFormat="1" applyFont="1" applyAlignment="1">
      <alignment horizontal="center" vertical="center"/>
    </xf>
    <xf numFmtId="0" fontId="256" fillId="6" borderId="0" xfId="8" applyFont="1" applyFill="1" applyAlignment="1">
      <alignment horizontal="center" vertical="center" wrapText="1"/>
    </xf>
    <xf numFmtId="0" fontId="300" fillId="0" borderId="0" xfId="29" applyAlignment="1">
      <alignment horizontal="center" vertical="center" wrapText="1"/>
    </xf>
    <xf numFmtId="14" fontId="300" fillId="0" borderId="0" xfId="29" applyNumberFormat="1" applyAlignment="1">
      <alignment horizontal="center" vertical="center" wrapText="1"/>
    </xf>
    <xf numFmtId="0" fontId="299" fillId="0" borderId="0" xfId="29" applyFont="1" applyAlignment="1">
      <alignment horizontal="center" vertical="center" wrapText="1"/>
    </xf>
    <xf numFmtId="0" fontId="93" fillId="0" borderId="0" xfId="0" applyFont="1" applyFill="1" applyAlignment="1" applyProtection="1">
      <alignment horizontal="left" vertical="center"/>
      <protection locked="0"/>
    </xf>
    <xf numFmtId="0" fontId="242" fillId="0" borderId="43" xfId="0" applyFont="1" applyBorder="1" applyProtection="1">
      <alignment vertical="center"/>
      <protection locked="0"/>
    </xf>
    <xf numFmtId="0" fontId="96" fillId="0" borderId="0" xfId="29" applyFont="1" applyAlignment="1">
      <alignment horizontal="center" vertical="center" wrapText="1"/>
    </xf>
    <xf numFmtId="0" fontId="300" fillId="0" borderId="0" xfId="29" applyAlignment="1">
      <alignment horizontal="center" vertical="center" wrapText="1"/>
    </xf>
    <xf numFmtId="0" fontId="300" fillId="6" borderId="0" xfId="29" applyFill="1" applyAlignment="1">
      <alignment horizontal="center" vertical="center" wrapText="1"/>
    </xf>
    <xf numFmtId="0" fontId="308" fillId="8" borderId="82" xfId="0" applyFont="1" applyFill="1" applyBorder="1" applyAlignment="1">
      <alignment horizontal="center" vertical="center"/>
    </xf>
    <xf numFmtId="0" fontId="308" fillId="8" borderId="81" xfId="0" applyFont="1" applyFill="1" applyBorder="1" applyAlignment="1">
      <alignment horizontal="left" vertical="center"/>
    </xf>
    <xf numFmtId="0" fontId="308" fillId="8" borderId="81" xfId="0" applyFont="1" applyFill="1" applyBorder="1" applyAlignment="1">
      <alignment horizontal="center" vertical="center"/>
    </xf>
    <xf numFmtId="0" fontId="308" fillId="8" borderId="78" xfId="0" applyFont="1" applyFill="1" applyBorder="1" applyAlignment="1">
      <alignment horizontal="center" vertical="center"/>
    </xf>
    <xf numFmtId="0" fontId="308" fillId="8" borderId="30" xfId="0" applyFont="1" applyFill="1" applyBorder="1" applyAlignment="1">
      <alignment horizontal="left" vertical="center"/>
    </xf>
    <xf numFmtId="0" fontId="308" fillId="8" borderId="30" xfId="0" applyFont="1" applyFill="1" applyBorder="1" applyAlignment="1">
      <alignment horizontal="center" vertical="center"/>
    </xf>
    <xf numFmtId="0" fontId="309" fillId="8" borderId="30" xfId="0" applyFont="1" applyFill="1" applyBorder="1" applyAlignment="1">
      <alignment horizontal="center" vertical="center"/>
    </xf>
    <xf numFmtId="0" fontId="310" fillId="0" borderId="1" xfId="0" applyFont="1" applyBorder="1" applyAlignment="1">
      <alignment horizontal="center" vertical="center" wrapText="1"/>
    </xf>
    <xf numFmtId="0" fontId="310" fillId="0" borderId="1" xfId="0" applyFont="1" applyBorder="1" applyAlignment="1">
      <alignment horizontal="left" vertical="center" wrapText="1"/>
    </xf>
    <xf numFmtId="0" fontId="312" fillId="0" borderId="1" xfId="0" applyFont="1" applyBorder="1">
      <alignment vertical="center"/>
    </xf>
    <xf numFmtId="31" fontId="312" fillId="0" borderId="1" xfId="0" applyNumberFormat="1" applyFont="1" applyBorder="1" applyAlignment="1">
      <alignment horizontal="center" vertical="center" wrapText="1"/>
    </xf>
    <xf numFmtId="0" fontId="313" fillId="0" borderId="1" xfId="0" applyFont="1" applyBorder="1" applyAlignment="1">
      <alignment horizontal="left" vertical="center" wrapText="1"/>
    </xf>
    <xf numFmtId="31" fontId="313" fillId="0" borderId="1" xfId="0" applyNumberFormat="1" applyFont="1" applyBorder="1" applyAlignment="1">
      <alignment horizontal="center" vertical="center" wrapText="1"/>
    </xf>
    <xf numFmtId="0" fontId="313" fillId="0" borderId="1" xfId="0" applyFont="1" applyBorder="1" applyAlignment="1">
      <alignment horizontal="left" wrapText="1"/>
    </xf>
    <xf numFmtId="31" fontId="313" fillId="0" borderId="1" xfId="0" applyNumberFormat="1" applyFont="1" applyBorder="1" applyAlignment="1">
      <alignment horizontal="center" vertical="center"/>
    </xf>
    <xf numFmtId="0" fontId="312" fillId="0" borderId="1" xfId="0" applyFont="1" applyBorder="1" applyAlignment="1">
      <alignment horizontal="left" wrapText="1"/>
    </xf>
    <xf numFmtId="31" fontId="313" fillId="0" borderId="1" xfId="0" applyNumberFormat="1" applyFont="1" applyBorder="1" applyAlignment="1">
      <alignment vertical="center" wrapText="1"/>
    </xf>
    <xf numFmtId="31" fontId="314" fillId="0" borderId="1" xfId="0" applyNumberFormat="1" applyFont="1" applyBorder="1">
      <alignment vertical="center"/>
    </xf>
    <xf numFmtId="31" fontId="312" fillId="0" borderId="1" xfId="0" applyNumberFormat="1" applyFont="1" applyBorder="1" applyAlignment="1">
      <alignment horizontal="left" vertical="center" wrapText="1"/>
    </xf>
    <xf numFmtId="31" fontId="315" fillId="0" borderId="1" xfId="0" applyNumberFormat="1" applyFont="1" applyBorder="1" applyAlignment="1">
      <alignment horizontal="center" vertical="center" wrapText="1"/>
    </xf>
    <xf numFmtId="0" fontId="313" fillId="0" borderId="1" xfId="0" applyFont="1" applyBorder="1" applyAlignment="1">
      <alignment vertical="center" wrapText="1"/>
    </xf>
    <xf numFmtId="14" fontId="312" fillId="0" borderId="1" xfId="0" applyNumberFormat="1" applyFont="1" applyBorder="1">
      <alignment vertical="center"/>
    </xf>
    <xf numFmtId="0" fontId="316" fillId="46" borderId="1" xfId="0" applyFont="1" applyFill="1" applyBorder="1" applyAlignment="1">
      <alignment vertical="center" wrapText="1"/>
    </xf>
    <xf numFmtId="0" fontId="316" fillId="46" borderId="181" xfId="0" applyFont="1" applyFill="1" applyBorder="1" applyAlignment="1">
      <alignment horizontal="left" vertical="center" wrapText="1"/>
    </xf>
    <xf numFmtId="0" fontId="109" fillId="0" borderId="1" xfId="0" applyFont="1" applyBorder="1" applyAlignment="1">
      <alignment horizontal="center" vertical="center"/>
    </xf>
    <xf numFmtId="0" fontId="109" fillId="0" borderId="0" xfId="0" applyFont="1" applyAlignment="1">
      <alignment horizontal="center" vertical="center"/>
    </xf>
    <xf numFmtId="0" fontId="17" fillId="0" borderId="1" xfId="0" applyFont="1" applyBorder="1" applyAlignment="1">
      <alignment horizontal="center" vertical="center" wrapText="1"/>
    </xf>
    <xf numFmtId="184" fontId="255" fillId="0" borderId="1" xfId="0" applyNumberFormat="1" applyFont="1" applyBorder="1" applyAlignment="1">
      <alignment horizontal="center" vertical="center" wrapText="1"/>
    </xf>
    <xf numFmtId="31" fontId="255" fillId="0" borderId="1" xfId="0" applyNumberFormat="1" applyFont="1" applyBorder="1" applyAlignment="1">
      <alignment horizontal="center" vertical="center" wrapText="1"/>
    </xf>
    <xf numFmtId="179" fontId="109" fillId="0" borderId="1" xfId="0" applyNumberFormat="1" applyFont="1" applyBorder="1" applyAlignment="1">
      <alignment horizontal="center" vertical="center"/>
    </xf>
    <xf numFmtId="31" fontId="17" fillId="0" borderId="1" xfId="0" applyNumberFormat="1" applyFont="1" applyBorder="1" applyAlignment="1">
      <alignment horizontal="center" vertical="center" wrapText="1"/>
    </xf>
    <xf numFmtId="31" fontId="17" fillId="0" borderId="1" xfId="0" applyNumberFormat="1" applyFont="1" applyBorder="1" applyAlignment="1">
      <alignment horizontal="center" vertical="center"/>
    </xf>
    <xf numFmtId="31" fontId="109" fillId="0" borderId="1" xfId="0" applyNumberFormat="1" applyFont="1" applyBorder="1" applyAlignment="1">
      <alignment horizontal="center" vertical="center"/>
    </xf>
    <xf numFmtId="31" fontId="139" fillId="0" borderId="1" xfId="0" applyNumberFormat="1" applyFont="1" applyBorder="1" applyAlignment="1">
      <alignment horizontal="center" vertical="center"/>
    </xf>
    <xf numFmtId="0" fontId="139" fillId="0" borderId="1" xfId="0" applyFont="1" applyBorder="1" applyAlignment="1">
      <alignment horizontal="center" vertical="center" wrapText="1"/>
    </xf>
    <xf numFmtId="31" fontId="139" fillId="0" borderId="1" xfId="0" applyNumberFormat="1" applyFont="1" applyBorder="1" applyAlignment="1">
      <alignment horizontal="center" vertical="center" wrapText="1"/>
    </xf>
    <xf numFmtId="31" fontId="109" fillId="0" borderId="1" xfId="0" applyNumberFormat="1" applyFont="1" applyBorder="1" applyAlignment="1">
      <alignment horizontal="center" vertical="center" wrapText="1"/>
    </xf>
    <xf numFmtId="14" fontId="109" fillId="0" borderId="1" xfId="0" applyNumberFormat="1" applyFont="1" applyBorder="1" applyAlignment="1">
      <alignment horizontal="center" vertical="center"/>
    </xf>
    <xf numFmtId="0" fontId="109" fillId="0" borderId="1" xfId="0" applyFont="1" applyBorder="1">
      <alignment vertical="center"/>
    </xf>
    <xf numFmtId="0" fontId="109" fillId="0" borderId="1" xfId="0" applyFont="1" applyBorder="1" applyAlignment="1">
      <alignment horizontal="center" vertical="center" wrapText="1"/>
    </xf>
    <xf numFmtId="2" fontId="109" fillId="0" borderId="1" xfId="0" applyNumberFormat="1" applyFont="1" applyBorder="1" applyAlignment="1">
      <alignment horizontal="center" vertical="center"/>
    </xf>
    <xf numFmtId="0" fontId="262" fillId="0" borderId="0" xfId="0" applyFont="1">
      <alignment vertical="center"/>
    </xf>
    <xf numFmtId="0" fontId="318" fillId="0" borderId="24" xfId="30" applyFont="1" applyBorder="1" applyAlignment="1">
      <alignment horizontal="center" vertical="center"/>
    </xf>
    <xf numFmtId="43" fontId="318" fillId="0" borderId="1" xfId="30" applyNumberFormat="1" applyFont="1" applyBorder="1" applyAlignment="1">
      <alignment horizontal="center" vertical="center" wrapText="1"/>
    </xf>
    <xf numFmtId="0" fontId="318" fillId="0" borderId="1" xfId="30" applyFont="1" applyBorder="1" applyAlignment="1">
      <alignment horizontal="center" vertical="center"/>
    </xf>
    <xf numFmtId="0" fontId="318" fillId="0" borderId="17" xfId="30" applyFont="1" applyBorder="1" applyAlignment="1">
      <alignment horizontal="center" vertical="center"/>
    </xf>
    <xf numFmtId="14" fontId="318" fillId="0" borderId="24" xfId="30" applyNumberFormat="1" applyFont="1" applyBorder="1" applyAlignment="1" applyProtection="1">
      <alignment vertical="center" wrapText="1"/>
      <protection locked="0"/>
    </xf>
    <xf numFmtId="0" fontId="318" fillId="6" borderId="24" xfId="30" applyFont="1" applyFill="1" applyBorder="1" applyAlignment="1">
      <alignment horizontal="center" vertical="center"/>
    </xf>
    <xf numFmtId="14" fontId="318" fillId="0" borderId="1" xfId="30" applyNumberFormat="1" applyFont="1" applyBorder="1" applyAlignment="1" applyProtection="1">
      <alignment vertical="center" wrapText="1"/>
      <protection locked="0"/>
    </xf>
    <xf numFmtId="197" fontId="318" fillId="0" borderId="1" xfId="30" applyNumberFormat="1" applyFont="1" applyBorder="1" applyAlignment="1">
      <alignment horizontal="center" vertical="center"/>
    </xf>
    <xf numFmtId="43" fontId="318" fillId="0" borderId="1" xfId="30" applyNumberFormat="1" applyFont="1" applyBorder="1" applyAlignment="1">
      <alignment horizontal="center" vertical="center"/>
    </xf>
    <xf numFmtId="0" fontId="262" fillId="0" borderId="1" xfId="30" applyFont="1" applyBorder="1" applyAlignment="1">
      <alignment horizontal="center" vertical="center"/>
    </xf>
    <xf numFmtId="14" fontId="318" fillId="0" borderId="17" xfId="30" applyNumberFormat="1" applyFont="1" applyBorder="1" applyAlignment="1" applyProtection="1">
      <alignment vertical="center" wrapText="1"/>
      <protection locked="0"/>
    </xf>
    <xf numFmtId="0" fontId="317" fillId="0" borderId="24" xfId="30" applyFont="1" applyBorder="1" applyAlignment="1">
      <alignment horizontal="center" vertical="center"/>
    </xf>
    <xf numFmtId="14" fontId="318" fillId="0" borderId="24" xfId="30" applyNumberFormat="1" applyFont="1" applyBorder="1" applyProtection="1">
      <alignment vertical="center"/>
      <protection locked="0"/>
    </xf>
    <xf numFmtId="0" fontId="318" fillId="17" borderId="17" xfId="30" applyFont="1" applyFill="1" applyBorder="1" applyAlignment="1">
      <alignment horizontal="center" vertical="center"/>
    </xf>
    <xf numFmtId="0" fontId="318" fillId="17" borderId="24" xfId="30" applyFont="1" applyFill="1" applyBorder="1" applyAlignment="1">
      <alignment horizontal="center" vertical="center"/>
    </xf>
    <xf numFmtId="14" fontId="318" fillId="17" borderId="24" xfId="30" applyNumberFormat="1" applyFont="1" applyFill="1" applyBorder="1" applyAlignment="1" applyProtection="1">
      <alignment vertical="center" wrapText="1"/>
      <protection locked="0"/>
    </xf>
    <xf numFmtId="14" fontId="318" fillId="17" borderId="17" xfId="30" applyNumberFormat="1" applyFont="1" applyFill="1" applyBorder="1" applyAlignment="1" applyProtection="1">
      <alignment vertical="center" wrapText="1"/>
      <protection locked="0"/>
    </xf>
    <xf numFmtId="0" fontId="262" fillId="17" borderId="1" xfId="30" applyFont="1" applyFill="1" applyBorder="1" applyAlignment="1">
      <alignment horizontal="center" vertical="center"/>
    </xf>
    <xf numFmtId="197" fontId="318" fillId="17" borderId="1" xfId="30" applyNumberFormat="1" applyFont="1" applyFill="1" applyBorder="1" applyAlignment="1">
      <alignment horizontal="center" vertical="center"/>
    </xf>
    <xf numFmtId="43" fontId="318" fillId="17" borderId="1" xfId="30" applyNumberFormat="1" applyFont="1" applyFill="1" applyBorder="1" applyAlignment="1">
      <alignment horizontal="center" vertical="center"/>
    </xf>
    <xf numFmtId="14" fontId="318" fillId="0" borderId="17" xfId="30" applyNumberFormat="1" applyFont="1" applyBorder="1" applyProtection="1">
      <alignment vertical="center"/>
      <protection locked="0"/>
    </xf>
    <xf numFmtId="14" fontId="318" fillId="0" borderId="1" xfId="30" applyNumberFormat="1" applyFont="1" applyBorder="1" applyProtection="1">
      <alignment vertical="center"/>
      <protection locked="0"/>
    </xf>
    <xf numFmtId="0" fontId="317" fillId="0" borderId="65" xfId="30" applyFont="1" applyBorder="1" applyAlignment="1">
      <alignment horizontal="center" vertical="center"/>
    </xf>
    <xf numFmtId="14" fontId="318" fillId="0" borderId="51" xfId="30" applyNumberFormat="1" applyFont="1" applyBorder="1" applyProtection="1">
      <alignment vertical="center"/>
      <protection locked="0"/>
    </xf>
    <xf numFmtId="0" fontId="262" fillId="0" borderId="3" xfId="30" applyFont="1" applyBorder="1" applyAlignment="1">
      <alignment horizontal="center" vertical="center"/>
    </xf>
    <xf numFmtId="0" fontId="314" fillId="0" borderId="3" xfId="30" applyFont="1" applyBorder="1" applyAlignment="1">
      <alignment horizontal="center" vertical="center"/>
    </xf>
    <xf numFmtId="196" fontId="314" fillId="0" borderId="1" xfId="30" applyNumberFormat="1" applyFont="1" applyBorder="1">
      <alignment vertical="center"/>
    </xf>
    <xf numFmtId="0" fontId="262" fillId="0" borderId="0" xfId="30" applyFont="1">
      <alignment vertical="center"/>
    </xf>
    <xf numFmtId="0" fontId="262" fillId="0" borderId="0" xfId="30" applyFont="1" applyAlignment="1">
      <alignment horizontal="center" vertical="center"/>
    </xf>
    <xf numFmtId="196" fontId="262" fillId="0" borderId="0" xfId="30" applyNumberFormat="1" applyFont="1">
      <alignment vertical="center"/>
    </xf>
    <xf numFmtId="0" fontId="320" fillId="0" borderId="82" xfId="0" applyFont="1" applyBorder="1" applyAlignment="1">
      <alignment horizontal="justify" vertical="center"/>
    </xf>
    <xf numFmtId="0" fontId="320" fillId="0" borderId="81" xfId="0" applyFont="1" applyBorder="1" applyAlignment="1">
      <alignment horizontal="justify" vertical="center"/>
    </xf>
    <xf numFmtId="0" fontId="320" fillId="0" borderId="81" xfId="0" applyFont="1" applyBorder="1" applyAlignment="1">
      <alignment horizontal="justify" vertical="center" wrapText="1"/>
    </xf>
    <xf numFmtId="0" fontId="320" fillId="17" borderId="53" xfId="0" applyFont="1" applyFill="1" applyBorder="1" applyAlignment="1">
      <alignment horizontal="justify" vertical="center"/>
    </xf>
    <xf numFmtId="0" fontId="321" fillId="0" borderId="78" xfId="0" applyFont="1" applyBorder="1" applyAlignment="1">
      <alignment horizontal="justify" vertical="center"/>
    </xf>
    <xf numFmtId="0" fontId="320" fillId="0" borderId="30" xfId="0" applyFont="1" applyBorder="1">
      <alignment vertical="center"/>
    </xf>
    <xf numFmtId="0" fontId="321" fillId="0" borderId="30" xfId="0" applyFont="1" applyBorder="1" applyAlignment="1">
      <alignment horizontal="justify" vertical="center"/>
    </xf>
    <xf numFmtId="0" fontId="321" fillId="0" borderId="30" xfId="0" applyFont="1" applyBorder="1">
      <alignment vertical="center"/>
    </xf>
    <xf numFmtId="0" fontId="320" fillId="0" borderId="30" xfId="0" applyFont="1" applyBorder="1" applyAlignment="1">
      <alignment horizontal="justify" vertical="center" wrapText="1"/>
    </xf>
    <xf numFmtId="0" fontId="320" fillId="0" borderId="30" xfId="0" applyFont="1" applyBorder="1" applyAlignment="1">
      <alignment horizontal="justify" vertical="center"/>
    </xf>
    <xf numFmtId="0" fontId="321" fillId="17" borderId="78" xfId="0" applyFont="1" applyFill="1" applyBorder="1" applyAlignment="1">
      <alignment horizontal="justify" vertical="center"/>
    </xf>
    <xf numFmtId="0" fontId="320" fillId="17" borderId="30" xfId="0" applyFont="1" applyFill="1" applyBorder="1">
      <alignment vertical="center"/>
    </xf>
    <xf numFmtId="0" fontId="321" fillId="17" borderId="30" xfId="0" applyFont="1" applyFill="1" applyBorder="1" applyAlignment="1">
      <alignment horizontal="justify" vertical="center"/>
    </xf>
    <xf numFmtId="0" fontId="321" fillId="17" borderId="30" xfId="0" applyFont="1" applyFill="1" applyBorder="1">
      <alignment vertical="center"/>
    </xf>
    <xf numFmtId="0" fontId="320" fillId="17" borderId="30" xfId="0" applyFont="1" applyFill="1" applyBorder="1" applyAlignment="1">
      <alignment horizontal="justify" vertical="center" wrapText="1"/>
    </xf>
    <xf numFmtId="0" fontId="320" fillId="17" borderId="30" xfId="0" applyFont="1" applyFill="1" applyBorder="1" applyAlignment="1">
      <alignment horizontal="justify" vertical="center"/>
    </xf>
    <xf numFmtId="0" fontId="94" fillId="0" borderId="0" xfId="8" applyAlignment="1">
      <alignment horizontal="left" vertical="center"/>
    </xf>
    <xf numFmtId="14" fontId="94" fillId="0" borderId="0" xfId="8" applyNumberFormat="1" applyAlignment="1">
      <alignment horizontal="left" vertical="center"/>
    </xf>
    <xf numFmtId="0" fontId="109" fillId="0" borderId="0" xfId="0" applyFont="1">
      <alignment vertical="center"/>
    </xf>
    <xf numFmtId="9" fontId="109" fillId="0" borderId="0" xfId="0" applyNumberFormat="1" applyFont="1">
      <alignment vertical="center"/>
    </xf>
    <xf numFmtId="0" fontId="323" fillId="0" borderId="182" xfId="0" applyFont="1" applyBorder="1">
      <alignment vertical="center"/>
    </xf>
    <xf numFmtId="0" fontId="324" fillId="8" borderId="18" xfId="9" applyFont="1" applyFill="1" applyBorder="1" applyAlignment="1">
      <alignment horizontal="center" vertical="center"/>
    </xf>
    <xf numFmtId="0" fontId="325" fillId="8" borderId="18" xfId="9" applyFont="1" applyFill="1" applyBorder="1" applyAlignment="1">
      <alignment horizontal="center" vertical="center"/>
    </xf>
    <xf numFmtId="0" fontId="325" fillId="8" borderId="1" xfId="9" applyFont="1" applyFill="1" applyBorder="1" applyAlignment="1">
      <alignment horizontal="center" vertical="center"/>
    </xf>
    <xf numFmtId="0" fontId="325" fillId="8" borderId="2" xfId="9" applyFont="1" applyFill="1" applyBorder="1" applyAlignment="1">
      <alignment horizontal="center" vertical="center"/>
    </xf>
    <xf numFmtId="0" fontId="324" fillId="6" borderId="18" xfId="9" applyFont="1" applyFill="1" applyBorder="1" applyAlignment="1">
      <alignment horizontal="center" vertical="center"/>
    </xf>
    <xf numFmtId="0" fontId="325" fillId="6" borderId="18" xfId="9" applyFont="1" applyFill="1" applyBorder="1" applyAlignment="1">
      <alignment horizontal="center" vertical="center"/>
    </xf>
    <xf numFmtId="0" fontId="325" fillId="6" borderId="1" xfId="9" applyFont="1" applyFill="1" applyBorder="1" applyAlignment="1">
      <alignment horizontal="center" vertical="center"/>
    </xf>
    <xf numFmtId="0" fontId="326" fillId="6" borderId="35" xfId="9" applyFont="1" applyFill="1" applyBorder="1" applyAlignment="1">
      <alignment horizontal="center" vertical="center"/>
    </xf>
    <xf numFmtId="0" fontId="326" fillId="6" borderId="1" xfId="9" applyFont="1" applyFill="1" applyBorder="1" applyAlignment="1">
      <alignment horizontal="center" vertical="center"/>
    </xf>
    <xf numFmtId="0" fontId="326" fillId="6" borderId="18" xfId="9" applyFont="1" applyFill="1" applyBorder="1" applyAlignment="1">
      <alignment horizontal="center" vertical="center"/>
    </xf>
    <xf numFmtId="0" fontId="324" fillId="6" borderId="1" xfId="9" applyFont="1" applyFill="1" applyBorder="1" applyAlignment="1">
      <alignment horizontal="center" vertical="center"/>
    </xf>
    <xf numFmtId="0" fontId="324" fillId="8" borderId="1" xfId="9" applyFont="1" applyFill="1" applyBorder="1" applyAlignment="1">
      <alignment horizontal="center" vertical="center"/>
    </xf>
    <xf numFmtId="0" fontId="324" fillId="8" borderId="1" xfId="34" applyFont="1" applyFill="1" applyBorder="1" applyAlignment="1">
      <alignment horizontal="center" vertical="center"/>
    </xf>
    <xf numFmtId="0" fontId="327" fillId="0" borderId="1" xfId="12" applyFont="1" applyBorder="1" applyAlignment="1">
      <alignment horizontal="center" vertical="center"/>
    </xf>
    <xf numFmtId="0" fontId="327" fillId="6" borderId="1" xfId="12" applyFont="1" applyFill="1" applyBorder="1" applyAlignment="1">
      <alignment horizontal="center" vertical="center"/>
    </xf>
    <xf numFmtId="0" fontId="327" fillId="33" borderId="18" xfId="12" applyFont="1" applyFill="1" applyBorder="1" applyAlignment="1">
      <alignment horizontal="center" vertical="center"/>
    </xf>
    <xf numFmtId="0" fontId="327" fillId="0" borderId="18" xfId="12" applyFont="1" applyBorder="1" applyAlignment="1">
      <alignment horizontal="center" vertical="center"/>
    </xf>
    <xf numFmtId="0" fontId="327" fillId="0" borderId="17" xfId="12" applyFont="1" applyBorder="1" applyAlignment="1">
      <alignment horizontal="center" vertical="center"/>
    </xf>
    <xf numFmtId="0" fontId="327" fillId="33" borderId="1" xfId="12" applyFont="1" applyFill="1" applyBorder="1" applyAlignment="1">
      <alignment horizontal="center" vertical="center"/>
    </xf>
    <xf numFmtId="198" fontId="17" fillId="50" borderId="1" xfId="35" applyFont="1" applyFill="1" applyBorder="1" applyAlignment="1">
      <alignment horizontal="center" wrapText="1"/>
    </xf>
    <xf numFmtId="198" fontId="328" fillId="49" borderId="51" xfId="35" applyFont="1" applyFill="1" applyBorder="1"/>
    <xf numFmtId="198" fontId="17" fillId="49" borderId="184" xfId="35" applyFont="1" applyFill="1" applyBorder="1" applyAlignment="1">
      <alignment horizontal="center" vertical="center" wrapText="1"/>
    </xf>
    <xf numFmtId="198" fontId="17" fillId="49" borderId="185" xfId="35" applyFont="1" applyFill="1" applyBorder="1" applyAlignment="1">
      <alignment horizontal="center" vertical="center" wrapText="1"/>
    </xf>
    <xf numFmtId="0" fontId="17" fillId="49" borderId="185" xfId="35" applyNumberFormat="1" applyFont="1" applyFill="1" applyBorder="1" applyAlignment="1">
      <alignment horizontal="center" vertical="center" wrapText="1"/>
    </xf>
    <xf numFmtId="198" fontId="328" fillId="49" borderId="186" xfId="35" applyFont="1" applyFill="1" applyBorder="1" applyAlignment="1">
      <alignment horizontal="center" vertical="center" wrapText="1"/>
    </xf>
    <xf numFmtId="14" fontId="17" fillId="49" borderId="184" xfId="35" applyNumberFormat="1" applyFont="1" applyFill="1" applyBorder="1" applyAlignment="1">
      <alignment horizontal="center" vertical="center" wrapText="1"/>
    </xf>
    <xf numFmtId="14" fontId="17" fillId="49" borderId="185" xfId="35" applyNumberFormat="1" applyFont="1" applyFill="1" applyBorder="1" applyAlignment="1">
      <alignment horizontal="center" vertical="center" wrapText="1"/>
    </xf>
    <xf numFmtId="198" fontId="17" fillId="49" borderId="187" xfId="35" applyFont="1" applyFill="1" applyBorder="1" applyAlignment="1">
      <alignment horizontal="center" vertical="center" wrapText="1"/>
    </xf>
    <xf numFmtId="198" fontId="17" fillId="50" borderId="75" xfId="35" applyFont="1" applyFill="1" applyBorder="1" applyAlignment="1">
      <alignment horizontal="center" vertical="center" wrapText="1"/>
    </xf>
    <xf numFmtId="198" fontId="328" fillId="49" borderId="184" xfId="35" applyFont="1" applyFill="1" applyBorder="1" applyAlignment="1">
      <alignment horizontal="center" vertical="center" wrapText="1"/>
    </xf>
    <xf numFmtId="198" fontId="17" fillId="49" borderId="188" xfId="35" applyFont="1" applyFill="1" applyBorder="1" applyAlignment="1">
      <alignment horizontal="center" vertical="center" wrapText="1"/>
    </xf>
    <xf numFmtId="9" fontId="328" fillId="49" borderId="189" xfId="32" applyFont="1" applyFill="1" applyBorder="1" applyAlignment="1">
      <alignment horizontal="center" vertical="center" wrapText="1"/>
    </xf>
    <xf numFmtId="198" fontId="17" fillId="49" borderId="189" xfId="35" applyFont="1" applyFill="1" applyBorder="1" applyAlignment="1">
      <alignment horizontal="center" vertical="center" wrapText="1"/>
    </xf>
    <xf numFmtId="198" fontId="17" fillId="49" borderId="190" xfId="35" applyFont="1" applyFill="1" applyBorder="1" applyAlignment="1">
      <alignment horizontal="center" vertical="center" wrapText="1"/>
    </xf>
    <xf numFmtId="198" fontId="328" fillId="49" borderId="189" xfId="35" applyFont="1" applyFill="1" applyBorder="1" applyAlignment="1">
      <alignment horizontal="center" vertical="center" wrapText="1"/>
    </xf>
    <xf numFmtId="198" fontId="17" fillId="49" borderId="191" xfId="35" applyFont="1" applyFill="1" applyBorder="1" applyAlignment="1">
      <alignment horizontal="center" vertical="center" wrapText="1"/>
    </xf>
    <xf numFmtId="198" fontId="17" fillId="49" borderId="90" xfId="35" applyFont="1" applyFill="1" applyBorder="1" applyAlignment="1">
      <alignment horizontal="center" vertical="center" wrapText="1"/>
    </xf>
    <xf numFmtId="1" fontId="328" fillId="0" borderId="192" xfId="35" applyNumberFormat="1" applyFont="1" applyBorder="1" applyAlignment="1">
      <alignment horizontal="center" wrapText="1"/>
    </xf>
    <xf numFmtId="37" fontId="328" fillId="0" borderId="180" xfId="35" applyNumberFormat="1" applyFont="1" applyBorder="1" applyAlignment="1">
      <alignment horizontal="center"/>
    </xf>
    <xf numFmtId="0" fontId="328" fillId="0" borderId="180" xfId="35" applyNumberFormat="1" applyFont="1" applyBorder="1" applyAlignment="1">
      <alignment horizontal="center"/>
    </xf>
    <xf numFmtId="198" fontId="329" fillId="6" borderId="180" xfId="35" applyFont="1" applyFill="1" applyBorder="1"/>
    <xf numFmtId="198" fontId="17" fillId="6" borderId="193" xfId="35" applyFont="1" applyFill="1" applyBorder="1"/>
    <xf numFmtId="198" fontId="328" fillId="6" borderId="193" xfId="35" applyFont="1" applyFill="1" applyBorder="1" applyAlignment="1">
      <alignment horizontal="center"/>
    </xf>
    <xf numFmtId="39" fontId="328" fillId="6" borderId="180" xfId="35" applyNumberFormat="1" applyFont="1" applyFill="1" applyBorder="1" applyAlignment="1">
      <alignment horizontal="center"/>
    </xf>
    <xf numFmtId="14" fontId="328" fillId="6" borderId="192" xfId="35" applyNumberFormat="1" applyFont="1" applyFill="1" applyBorder="1"/>
    <xf numFmtId="14" fontId="328" fillId="6" borderId="180" xfId="35" applyNumberFormat="1" applyFont="1" applyFill="1" applyBorder="1"/>
    <xf numFmtId="37" fontId="328" fillId="6" borderId="194" xfId="35" applyNumberFormat="1" applyFont="1" applyFill="1" applyBorder="1" applyAlignment="1">
      <alignment horizontal="center"/>
    </xf>
    <xf numFmtId="39" fontId="328" fillId="6" borderId="195" xfId="35" applyNumberFormat="1" applyFont="1" applyFill="1" applyBorder="1" applyAlignment="1">
      <alignment horizontal="center"/>
    </xf>
    <xf numFmtId="43" fontId="328" fillId="8" borderId="196" xfId="31" applyFont="1" applyFill="1" applyBorder="1" applyAlignment="1">
      <alignment horizontal="center"/>
    </xf>
    <xf numFmtId="43" fontId="328" fillId="0" borderId="197" xfId="31" applyFont="1" applyFill="1" applyBorder="1" applyAlignment="1">
      <alignment horizontal="center"/>
    </xf>
    <xf numFmtId="39" fontId="328" fillId="0" borderId="198" xfId="35" applyNumberFormat="1" applyFont="1" applyBorder="1" applyAlignment="1">
      <alignment horizontal="center"/>
    </xf>
    <xf numFmtId="14" fontId="328" fillId="0" borderId="192" xfId="35" applyNumberFormat="1" applyFont="1" applyBorder="1"/>
    <xf numFmtId="9" fontId="328" fillId="0" borderId="199" xfId="32" applyFont="1" applyFill="1" applyBorder="1" applyAlignment="1">
      <alignment horizontal="center"/>
    </xf>
    <xf numFmtId="39" fontId="328" fillId="0" borderId="193" xfId="35" applyNumberFormat="1" applyFont="1" applyBorder="1" applyAlignment="1">
      <alignment horizontal="center"/>
    </xf>
    <xf numFmtId="39" fontId="328" fillId="0" borderId="199" xfId="35" applyNumberFormat="1" applyFont="1" applyBorder="1" applyAlignment="1">
      <alignment horizontal="center"/>
    </xf>
    <xf numFmtId="1" fontId="328" fillId="0" borderId="192" xfId="35" applyNumberFormat="1" applyFont="1" applyBorder="1" applyAlignment="1">
      <alignment horizontal="center"/>
    </xf>
    <xf numFmtId="0" fontId="328" fillId="0" borderId="180" xfId="35" applyNumberFormat="1" applyFont="1" applyBorder="1" applyAlignment="1">
      <alignment horizontal="center" wrapText="1"/>
    </xf>
    <xf numFmtId="198" fontId="328" fillId="0" borderId="192" xfId="35" applyFont="1" applyBorder="1"/>
    <xf numFmtId="199" fontId="328" fillId="0" borderId="199" xfId="35" applyNumberFormat="1" applyFont="1" applyBorder="1" applyAlignment="1">
      <alignment horizontal="center"/>
    </xf>
    <xf numFmtId="0" fontId="328" fillId="0" borderId="180" xfId="35" quotePrefix="1" applyNumberFormat="1" applyFont="1" applyBorder="1" applyAlignment="1">
      <alignment horizontal="center"/>
    </xf>
    <xf numFmtId="198" fontId="329" fillId="0" borderId="180" xfId="35" applyFont="1" applyBorder="1"/>
    <xf numFmtId="198" fontId="17" fillId="0" borderId="193" xfId="35" applyFont="1" applyBorder="1"/>
    <xf numFmtId="198" fontId="17" fillId="0" borderId="193" xfId="35" applyFont="1" applyBorder="1" applyAlignment="1">
      <alignment horizontal="center"/>
    </xf>
    <xf numFmtId="39" fontId="328" fillId="8" borderId="180" xfId="35" applyNumberFormat="1" applyFont="1" applyFill="1" applyBorder="1" applyAlignment="1">
      <alignment horizontal="center"/>
    </xf>
    <xf numFmtId="14" fontId="328" fillId="0" borderId="180" xfId="35" applyNumberFormat="1" applyFont="1" applyBorder="1"/>
    <xf numFmtId="37" fontId="328" fillId="0" borderId="194" xfId="35" applyNumberFormat="1" applyFont="1" applyBorder="1" applyAlignment="1">
      <alignment horizontal="center"/>
    </xf>
    <xf numFmtId="198" fontId="328" fillId="0" borderId="193" xfId="35" applyFont="1" applyBorder="1" applyAlignment="1">
      <alignment horizontal="center"/>
    </xf>
    <xf numFmtId="198" fontId="329" fillId="6" borderId="200" xfId="35" applyFont="1" applyFill="1" applyBorder="1" applyAlignment="1">
      <alignment vertical="center"/>
    </xf>
    <xf numFmtId="198" fontId="329" fillId="0" borderId="193" xfId="35" applyFont="1" applyBorder="1"/>
    <xf numFmtId="198" fontId="328" fillId="48" borderId="1" xfId="35" applyFont="1" applyFill="1" applyBorder="1" applyAlignment="1">
      <alignment horizontal="center" wrapText="1"/>
    </xf>
    <xf numFmtId="198" fontId="328" fillId="48" borderId="1" xfId="35" applyFont="1" applyFill="1" applyBorder="1"/>
    <xf numFmtId="198" fontId="328" fillId="48" borderId="1" xfId="35" applyFont="1" applyFill="1" applyBorder="1" applyAlignment="1">
      <alignment horizontal="center" vertical="center" wrapText="1"/>
    </xf>
    <xf numFmtId="0" fontId="328" fillId="48" borderId="1" xfId="35" applyNumberFormat="1" applyFont="1" applyFill="1" applyBorder="1" applyAlignment="1">
      <alignment horizontal="center" vertical="center" wrapText="1"/>
    </xf>
    <xf numFmtId="14" fontId="328" fillId="48" borderId="1" xfId="35" applyNumberFormat="1" applyFont="1" applyFill="1" applyBorder="1" applyAlignment="1">
      <alignment horizontal="center" vertical="center" wrapText="1"/>
    </xf>
    <xf numFmtId="9" fontId="328" fillId="48" borderId="1" xfId="32" applyFont="1" applyFill="1" applyBorder="1" applyAlignment="1">
      <alignment horizontal="center" vertical="center" wrapText="1"/>
    </xf>
    <xf numFmtId="1" fontId="328" fillId="0" borderId="1" xfId="35" applyNumberFormat="1" applyFont="1" applyBorder="1" applyAlignment="1">
      <alignment horizontal="center" wrapText="1"/>
    </xf>
    <xf numFmtId="37" fontId="328" fillId="0" borderId="1" xfId="35" applyNumberFormat="1" applyFont="1" applyBorder="1" applyAlignment="1">
      <alignment horizontal="center"/>
    </xf>
    <xf numFmtId="0" fontId="328" fillId="0" borderId="1" xfId="35" applyNumberFormat="1" applyFont="1" applyBorder="1" applyAlignment="1">
      <alignment horizontal="center"/>
    </xf>
    <xf numFmtId="198" fontId="328" fillId="6" borderId="1" xfId="35" applyFont="1" applyFill="1" applyBorder="1" applyAlignment="1">
      <alignment shrinkToFit="1"/>
    </xf>
    <xf numFmtId="198" fontId="328" fillId="6" borderId="1" xfId="35" applyFont="1" applyFill="1" applyBorder="1"/>
    <xf numFmtId="198" fontId="328" fillId="6" borderId="1" xfId="35" applyFont="1" applyFill="1" applyBorder="1" applyAlignment="1">
      <alignment horizontal="center"/>
    </xf>
    <xf numFmtId="39" fontId="328" fillId="6" borderId="1" xfId="35" applyNumberFormat="1" applyFont="1" applyFill="1" applyBorder="1" applyAlignment="1">
      <alignment horizontal="center"/>
    </xf>
    <xf numFmtId="14" fontId="328" fillId="6" borderId="1" xfId="35" applyNumberFormat="1" applyFont="1" applyFill="1" applyBorder="1"/>
    <xf numFmtId="37" fontId="328" fillId="6" borderId="1" xfId="35" applyNumberFormat="1" applyFont="1" applyFill="1" applyBorder="1" applyAlignment="1">
      <alignment horizontal="center"/>
    </xf>
    <xf numFmtId="43" fontId="328" fillId="0" borderId="1" xfId="31" applyFont="1" applyFill="1" applyBorder="1" applyAlignment="1">
      <alignment horizontal="center"/>
    </xf>
    <xf numFmtId="39" fontId="328" fillId="0" borderId="1" xfId="35" applyNumberFormat="1" applyFont="1" applyBorder="1" applyAlignment="1">
      <alignment horizontal="center"/>
    </xf>
    <xf numFmtId="14" fontId="328" fillId="0" borderId="1" xfId="35" applyNumberFormat="1" applyFont="1" applyBorder="1"/>
    <xf numFmtId="9" fontId="328" fillId="0" borderId="1" xfId="32" applyFont="1" applyFill="1" applyBorder="1" applyAlignment="1">
      <alignment horizontal="center"/>
    </xf>
    <xf numFmtId="0" fontId="328" fillId="0" borderId="1" xfId="35" applyNumberFormat="1" applyFont="1" applyBorder="1" applyAlignment="1">
      <alignment horizontal="center" wrapText="1"/>
    </xf>
    <xf numFmtId="198" fontId="328" fillId="0" borderId="1" xfId="35" applyFont="1" applyBorder="1"/>
    <xf numFmtId="199" fontId="328" fillId="0" borderId="1" xfId="35" applyNumberFormat="1" applyFont="1" applyBorder="1" applyAlignment="1">
      <alignment horizontal="center"/>
    </xf>
    <xf numFmtId="0" fontId="328" fillId="0" borderId="1" xfId="35" quotePrefix="1" applyNumberFormat="1" applyFont="1" applyBorder="1" applyAlignment="1">
      <alignment horizontal="center"/>
    </xf>
    <xf numFmtId="198" fontId="328" fillId="0" borderId="1" xfId="35" applyFont="1" applyBorder="1" applyAlignment="1">
      <alignment shrinkToFit="1"/>
    </xf>
    <xf numFmtId="198" fontId="328" fillId="0" borderId="1" xfId="35" applyFont="1" applyBorder="1" applyAlignment="1">
      <alignment horizontal="center"/>
    </xf>
    <xf numFmtId="198" fontId="329" fillId="0" borderId="1" xfId="35" applyFont="1" applyBorder="1" applyAlignment="1">
      <alignment shrinkToFit="1"/>
    </xf>
    <xf numFmtId="198" fontId="328" fillId="6" borderId="1" xfId="35" applyFont="1" applyFill="1" applyBorder="1" applyAlignment="1">
      <alignment vertical="center" shrinkToFit="1"/>
    </xf>
    <xf numFmtId="0" fontId="327" fillId="0" borderId="0" xfId="12" applyFont="1" applyBorder="1" applyAlignment="1">
      <alignment horizontal="center" vertical="center"/>
    </xf>
    <xf numFmtId="0" fontId="327" fillId="33" borderId="0" xfId="12" applyFont="1" applyFill="1" applyBorder="1" applyAlignment="1">
      <alignment horizontal="center" vertical="center"/>
    </xf>
    <xf numFmtId="0" fontId="324" fillId="7" borderId="0" xfId="12" applyFont="1" applyFill="1" applyBorder="1" applyAlignment="1">
      <alignment horizontal="center" vertical="center"/>
    </xf>
    <xf numFmtId="0" fontId="0" fillId="7" borderId="0" xfId="0" applyFill="1">
      <alignment vertical="center"/>
    </xf>
    <xf numFmtId="199" fontId="329" fillId="0" borderId="1" xfId="36" applyFont="1" applyBorder="1" applyAlignment="1">
      <alignment horizontal="center" vertical="center" wrapText="1"/>
    </xf>
    <xf numFmtId="14" fontId="329" fillId="0" borderId="1" xfId="36" applyNumberFormat="1" applyFont="1" applyBorder="1" applyAlignment="1">
      <alignment horizontal="center" vertical="center" wrapText="1"/>
    </xf>
    <xf numFmtId="9" fontId="329" fillId="0" borderId="1" xfId="32" applyFont="1" applyFill="1" applyBorder="1" applyAlignment="1">
      <alignment horizontal="center" vertical="center" wrapText="1"/>
    </xf>
    <xf numFmtId="1" fontId="329" fillId="0" borderId="1" xfId="36" applyNumberFormat="1" applyFont="1" applyBorder="1" applyAlignment="1">
      <alignment horizontal="center" wrapText="1"/>
    </xf>
    <xf numFmtId="37" fontId="329" fillId="0" borderId="1" xfId="36" applyNumberFormat="1" applyFont="1" applyBorder="1" applyAlignment="1">
      <alignment horizontal="center"/>
    </xf>
    <xf numFmtId="199" fontId="329" fillId="0" borderId="1" xfId="36" applyFont="1" applyBorder="1" applyAlignment="1">
      <alignment horizontal="center"/>
    </xf>
    <xf numFmtId="199" fontId="329" fillId="6" borderId="1" xfId="36" applyFont="1" applyFill="1" applyBorder="1" applyAlignment="1">
      <alignment shrinkToFit="1"/>
    </xf>
    <xf numFmtId="199" fontId="329" fillId="6" borderId="1" xfId="36" applyFont="1" applyFill="1" applyBorder="1" applyAlignment="1">
      <alignment horizontal="center"/>
    </xf>
    <xf numFmtId="39" fontId="329" fillId="6" borderId="1" xfId="36" applyNumberFormat="1" applyFont="1" applyFill="1" applyBorder="1" applyAlignment="1">
      <alignment horizontal="center"/>
    </xf>
    <xf numFmtId="14" fontId="329" fillId="6" borderId="1" xfId="36" applyNumberFormat="1" applyFont="1" applyFill="1" applyBorder="1"/>
    <xf numFmtId="37" fontId="329" fillId="6" borderId="1" xfId="36" applyNumberFormat="1" applyFont="1" applyFill="1" applyBorder="1" applyAlignment="1">
      <alignment horizontal="center"/>
    </xf>
    <xf numFmtId="43" fontId="329" fillId="0" borderId="1" xfId="31" applyFont="1" applyFill="1" applyBorder="1" applyAlignment="1">
      <alignment horizontal="center"/>
    </xf>
    <xf numFmtId="39" fontId="329" fillId="0" borderId="1" xfId="36" applyNumberFormat="1" applyFont="1" applyBorder="1" applyAlignment="1">
      <alignment horizontal="center"/>
    </xf>
    <xf numFmtId="14" fontId="329" fillId="0" borderId="1" xfId="36" applyNumberFormat="1" applyFont="1" applyBorder="1"/>
    <xf numFmtId="9" fontId="329" fillId="0" borderId="1" xfId="32" applyFont="1" applyFill="1" applyBorder="1" applyAlignment="1">
      <alignment horizontal="center"/>
    </xf>
    <xf numFmtId="199" fontId="329" fillId="0" borderId="1" xfId="36" applyFont="1" applyBorder="1" applyAlignment="1">
      <alignment horizontal="center" wrapText="1"/>
    </xf>
    <xf numFmtId="199" fontId="329" fillId="0" borderId="1" xfId="36" applyFont="1" applyBorder="1"/>
    <xf numFmtId="199" fontId="329" fillId="0" borderId="1" xfId="36" quotePrefix="1" applyFont="1" applyBorder="1" applyAlignment="1">
      <alignment horizontal="center"/>
    </xf>
    <xf numFmtId="199" fontId="329" fillId="0" borderId="1" xfId="36" applyFont="1" applyBorder="1" applyAlignment="1">
      <alignment shrinkToFit="1"/>
    </xf>
    <xf numFmtId="1" fontId="328" fillId="7" borderId="0" xfId="35" applyNumberFormat="1" applyFont="1" applyFill="1" applyBorder="1" applyAlignment="1">
      <alignment horizontal="center" wrapText="1"/>
    </xf>
    <xf numFmtId="199" fontId="329" fillId="8" borderId="1" xfId="36" applyFont="1" applyFill="1" applyBorder="1" applyAlignment="1">
      <alignment horizontal="center" wrapText="1"/>
    </xf>
    <xf numFmtId="199" fontId="329" fillId="8" borderId="1" xfId="36" applyFont="1" applyFill="1" applyBorder="1"/>
    <xf numFmtId="199" fontId="329" fillId="8" borderId="1" xfId="36" applyFont="1" applyFill="1" applyBorder="1" applyAlignment="1">
      <alignment horizontal="center" vertical="center" wrapText="1"/>
    </xf>
    <xf numFmtId="14" fontId="329" fillId="8" borderId="1" xfId="36" applyNumberFormat="1" applyFont="1" applyFill="1" applyBorder="1" applyAlignment="1">
      <alignment horizontal="center" vertical="center" wrapText="1"/>
    </xf>
    <xf numFmtId="9" fontId="329" fillId="8" borderId="1" xfId="32" applyFont="1" applyFill="1" applyBorder="1" applyAlignment="1">
      <alignment horizontal="center" vertical="center" wrapText="1"/>
    </xf>
    <xf numFmtId="199" fontId="329" fillId="6" borderId="1" xfId="36" applyFont="1" applyFill="1" applyBorder="1" applyAlignment="1">
      <alignment horizontal="left"/>
    </xf>
    <xf numFmtId="199" fontId="329" fillId="6" borderId="18" xfId="36" applyFont="1" applyFill="1" applyBorder="1" applyAlignment="1">
      <alignment shrinkToFit="1"/>
    </xf>
    <xf numFmtId="14" fontId="329" fillId="6" borderId="1" xfId="36" applyNumberFormat="1" applyFont="1" applyFill="1" applyBorder="1" applyAlignment="1">
      <alignment vertical="center"/>
    </xf>
    <xf numFmtId="199" fontId="329" fillId="0" borderId="1" xfId="36" applyFont="1" applyBorder="1" applyAlignment="1">
      <alignment horizontal="center" vertical="center"/>
    </xf>
    <xf numFmtId="199" fontId="329" fillId="0" borderId="1" xfId="36" applyFont="1" applyBorder="1" applyAlignment="1">
      <alignment vertical="center" shrinkToFit="1"/>
    </xf>
    <xf numFmtId="199" fontId="329" fillId="0" borderId="1" xfId="36" applyFont="1" applyBorder="1" applyAlignment="1">
      <alignment horizontal="left"/>
    </xf>
    <xf numFmtId="14" fontId="329" fillId="0" borderId="1" xfId="36" applyNumberFormat="1" applyFont="1" applyBorder="1" applyAlignment="1">
      <alignment vertical="center"/>
    </xf>
    <xf numFmtId="199" fontId="330" fillId="0" borderId="1" xfId="36" applyFont="1" applyBorder="1" applyAlignment="1">
      <alignment horizontal="left" vertical="center"/>
    </xf>
    <xf numFmtId="199" fontId="329" fillId="0" borderId="1" xfId="36" applyFont="1" applyBorder="1" applyAlignment="1">
      <alignment horizontal="left" vertical="center"/>
    </xf>
    <xf numFmtId="0" fontId="329" fillId="6" borderId="1" xfId="1" applyFont="1" applyFill="1" applyBorder="1" applyAlignment="1"/>
    <xf numFmtId="199" fontId="329" fillId="0" borderId="18" xfId="36" applyFont="1" applyBorder="1" applyAlignment="1">
      <alignment vertical="center" shrinkToFit="1"/>
    </xf>
    <xf numFmtId="199" fontId="332" fillId="6" borderId="1" xfId="36" applyFont="1" applyFill="1" applyBorder="1" applyAlignment="1">
      <alignment shrinkToFit="1"/>
    </xf>
    <xf numFmtId="199" fontId="332" fillId="0" borderId="1" xfId="36" applyFont="1" applyBorder="1" applyAlignment="1">
      <alignment shrinkToFit="1"/>
    </xf>
    <xf numFmtId="199" fontId="332" fillId="0" borderId="18" xfId="36" applyFont="1" applyBorder="1" applyAlignment="1">
      <alignment shrinkToFit="1"/>
    </xf>
    <xf numFmtId="199" fontId="332" fillId="6" borderId="17" xfId="36" applyFont="1" applyFill="1" applyBorder="1" applyAlignment="1">
      <alignment vertical="center" shrinkToFit="1"/>
    </xf>
    <xf numFmtId="0" fontId="94" fillId="0" borderId="0" xfId="0" applyFont="1" applyAlignment="1">
      <alignment horizontal="center" vertical="center" wrapText="1"/>
    </xf>
    <xf numFmtId="14" fontId="0" fillId="0" borderId="0" xfId="0" applyNumberFormat="1" applyAlignment="1">
      <alignment horizontal="center" vertical="center" wrapText="1"/>
    </xf>
    <xf numFmtId="0" fontId="40" fillId="5" borderId="1"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26" xfId="0" applyFont="1" applyFill="1" applyBorder="1" applyAlignment="1" applyProtection="1">
      <alignment horizontal="left" vertical="center" wrapText="1"/>
    </xf>
    <xf numFmtId="0" fontId="47" fillId="5" borderId="49" xfId="0"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7" xfId="0" applyFont="1" applyFill="1" applyBorder="1" applyAlignment="1" applyProtection="1">
      <alignment horizontal="left" vertical="center" textRotation="255" wrapText="1"/>
    </xf>
    <xf numFmtId="0" fontId="47" fillId="5" borderId="1" xfId="0" applyFont="1" applyFill="1" applyBorder="1" applyAlignment="1" applyProtection="1">
      <alignment horizontal="left" vertical="center" wrapText="1"/>
    </xf>
    <xf numFmtId="0" fontId="47" fillId="5" borderId="1" xfId="0" applyNumberFormat="1" applyFont="1" applyFill="1" applyBorder="1" applyAlignment="1" applyProtection="1">
      <alignment horizontal="left" vertical="center"/>
    </xf>
    <xf numFmtId="0" fontId="47" fillId="5" borderId="2" xfId="0" applyFont="1" applyFill="1" applyBorder="1" applyAlignment="1" applyProtection="1">
      <alignment horizontal="left" vertical="center" wrapText="1"/>
    </xf>
    <xf numFmtId="0" fontId="109" fillId="0" borderId="0" xfId="8" applyFont="1" applyAlignment="1">
      <alignment horizontal="center" vertical="center" wrapText="1"/>
    </xf>
    <xf numFmtId="0" fontId="109" fillId="0" borderId="1" xfId="0" applyFont="1" applyBorder="1" applyAlignment="1">
      <alignment horizontal="center" vertical="center"/>
    </xf>
    <xf numFmtId="14" fontId="109" fillId="0" borderId="1" xfId="0" applyNumberFormat="1" applyFont="1" applyBorder="1" applyAlignment="1">
      <alignment horizontal="center" vertical="center"/>
    </xf>
    <xf numFmtId="14" fontId="0" fillId="6" borderId="0" xfId="0" applyNumberFormat="1" applyFill="1" applyAlignment="1">
      <alignment horizontal="center" vertical="center" wrapText="1"/>
    </xf>
    <xf numFmtId="0" fontId="94" fillId="6" borderId="0" xfId="0" applyFont="1" applyFill="1" applyAlignment="1">
      <alignment horizontal="center" vertical="center" wrapText="1"/>
    </xf>
    <xf numFmtId="0" fontId="0" fillId="6" borderId="0" xfId="0" applyFill="1" applyAlignment="1">
      <alignment horizontal="center" vertical="center" wrapText="1"/>
    </xf>
    <xf numFmtId="0" fontId="136" fillId="0" borderId="6" xfId="0" applyFont="1" applyFill="1" applyBorder="1" applyAlignment="1" applyProtection="1">
      <alignment horizontal="left" vertical="center" wrapText="1"/>
      <protection locked="0"/>
    </xf>
    <xf numFmtId="0" fontId="219" fillId="0" borderId="0" xfId="0" applyFont="1" applyFill="1" applyAlignment="1" applyProtection="1">
      <alignment horizontal="left" vertical="center"/>
      <protection locked="0"/>
    </xf>
    <xf numFmtId="0" fontId="136" fillId="0" borderId="2" xfId="0" applyFont="1" applyFill="1" applyBorder="1" applyAlignment="1" applyProtection="1">
      <alignment horizontal="left" vertical="center" wrapText="1"/>
      <protection locked="0"/>
    </xf>
    <xf numFmtId="0" fontId="136" fillId="0" borderId="19" xfId="0" applyNumberFormat="1" applyFont="1" applyFill="1" applyBorder="1" applyAlignment="1" applyProtection="1">
      <alignment horizontal="left" vertical="center" wrapText="1"/>
      <protection locked="0"/>
    </xf>
    <xf numFmtId="0" fontId="136" fillId="0" borderId="23" xfId="0" applyNumberFormat="1" applyFont="1" applyFill="1" applyBorder="1" applyAlignment="1" applyProtection="1">
      <alignment horizontal="left" vertical="center" wrapText="1"/>
      <protection locked="0"/>
    </xf>
    <xf numFmtId="184" fontId="40" fillId="35" borderId="9" xfId="0" applyNumberFormat="1" applyFont="1" applyFill="1" applyBorder="1" applyAlignment="1" applyProtection="1">
      <alignment horizontal="left" vertical="center" wrapText="1"/>
    </xf>
    <xf numFmtId="14" fontId="0" fillId="8" borderId="0" xfId="0" applyNumberFormat="1" applyFill="1" applyAlignment="1">
      <alignment horizontal="center" vertical="center" wrapText="1"/>
    </xf>
    <xf numFmtId="0" fontId="76" fillId="17" borderId="1" xfId="24" applyFont="1" applyFill="1" applyBorder="1" applyAlignment="1">
      <alignment horizontal="center" vertical="center"/>
    </xf>
    <xf numFmtId="3" fontId="76" fillId="17" borderId="1" xfId="24" applyNumberFormat="1" applyFont="1" applyFill="1" applyBorder="1" applyAlignment="1">
      <alignment horizontal="center" vertical="center"/>
    </xf>
    <xf numFmtId="0" fontId="31" fillId="17" borderId="0" xfId="24" applyFill="1"/>
    <xf numFmtId="0" fontId="31" fillId="17" borderId="0" xfId="25" applyFill="1">
      <alignment vertical="center"/>
    </xf>
    <xf numFmtId="0" fontId="76" fillId="17" borderId="1" xfId="24" applyFont="1" applyFill="1" applyBorder="1" applyAlignment="1">
      <alignment vertical="center"/>
    </xf>
    <xf numFmtId="0" fontId="17" fillId="17" borderId="1" xfId="26" applyFont="1" applyFill="1" applyBorder="1" applyAlignment="1">
      <alignment horizontal="center" vertical="center"/>
    </xf>
    <xf numFmtId="0" fontId="76" fillId="17" borderId="2" xfId="24" applyFont="1" applyFill="1" applyBorder="1" applyAlignment="1">
      <alignment horizontal="center" vertical="center"/>
    </xf>
    <xf numFmtId="0" fontId="17" fillId="17" borderId="1" xfId="23" applyFont="1" applyFill="1" applyBorder="1" applyAlignment="1">
      <alignment horizontal="center" vertical="center"/>
    </xf>
    <xf numFmtId="0" fontId="327" fillId="17" borderId="18" xfId="12" applyFont="1" applyFill="1" applyBorder="1" applyAlignment="1">
      <alignment horizontal="center" vertical="center"/>
    </xf>
    <xf numFmtId="0" fontId="327" fillId="17" borderId="1" xfId="12" applyFont="1" applyFill="1" applyBorder="1" applyAlignment="1">
      <alignment horizontal="center" vertical="center"/>
    </xf>
    <xf numFmtId="184" fontId="40" fillId="17" borderId="9" xfId="0" applyNumberFormat="1" applyFont="1" applyFill="1" applyBorder="1" applyAlignment="1" applyProtection="1">
      <alignment horizontal="left" vertical="center" wrapText="1"/>
    </xf>
    <xf numFmtId="14" fontId="109" fillId="43" borderId="0" xfId="8" applyNumberFormat="1" applyFont="1" applyFill="1" applyAlignment="1">
      <alignment horizontal="center" vertical="center"/>
    </xf>
    <xf numFmtId="0" fontId="109" fillId="43" borderId="0" xfId="8" applyFont="1" applyFill="1" applyAlignment="1">
      <alignment horizontal="center" vertical="center"/>
    </xf>
    <xf numFmtId="186" fontId="109" fillId="6" borderId="0" xfId="8" applyNumberFormat="1" applyFont="1" applyFill="1" applyAlignment="1">
      <alignment horizontal="center" vertical="center" wrapText="1" shrinkToFit="1"/>
    </xf>
    <xf numFmtId="14" fontId="109" fillId="0" borderId="0" xfId="8" applyNumberFormat="1" applyFont="1" applyAlignment="1">
      <alignment horizontal="center" vertical="center" wrapText="1"/>
    </xf>
    <xf numFmtId="0" fontId="333" fillId="51" borderId="1" xfId="0" applyFont="1" applyFill="1" applyBorder="1" applyAlignment="1">
      <alignment horizontal="center" vertical="center"/>
    </xf>
    <xf numFmtId="14" fontId="109" fillId="43" borderId="1" xfId="0" applyNumberFormat="1" applyFont="1" applyFill="1" applyBorder="1" applyAlignment="1">
      <alignment horizontal="center" vertical="center"/>
    </xf>
    <xf numFmtId="0" fontId="109" fillId="43" borderId="1" xfId="0" applyFont="1" applyFill="1" applyBorder="1" applyAlignment="1">
      <alignment horizontal="center" vertical="center"/>
    </xf>
    <xf numFmtId="14" fontId="109" fillId="17" borderId="1" xfId="0" applyNumberFormat="1" applyFont="1" applyFill="1" applyBorder="1" applyAlignment="1">
      <alignment horizontal="center" vertical="center"/>
    </xf>
    <xf numFmtId="0" fontId="109" fillId="17" borderId="1" xfId="0" applyFont="1" applyFill="1" applyBorder="1" applyAlignment="1">
      <alignment horizontal="center" vertical="center"/>
    </xf>
    <xf numFmtId="0" fontId="335" fillId="17" borderId="1" xfId="0" applyFont="1" applyFill="1" applyBorder="1" applyAlignment="1">
      <alignment horizontal="center" vertical="center"/>
    </xf>
    <xf numFmtId="0" fontId="335" fillId="43" borderId="1" xfId="0" applyFont="1" applyFill="1" applyBorder="1" applyAlignment="1">
      <alignment horizontal="center" vertical="center"/>
    </xf>
    <xf numFmtId="9" fontId="109" fillId="43" borderId="1" xfId="0" applyNumberFormat="1" applyFont="1" applyFill="1" applyBorder="1" applyAlignment="1">
      <alignment horizontal="center" vertical="center"/>
    </xf>
    <xf numFmtId="14" fontId="96" fillId="0" borderId="0" xfId="0" applyNumberFormat="1" applyFont="1" applyAlignment="1">
      <alignment horizontal="center" vertical="center" wrapText="1"/>
    </xf>
    <xf numFmtId="0" fontId="96" fillId="0" borderId="0" xfId="0" applyFont="1" applyAlignment="1">
      <alignment horizontal="center" vertical="center" wrapText="1"/>
    </xf>
    <xf numFmtId="179" fontId="0" fillId="0" borderId="0" xfId="0" applyNumberFormat="1" applyAlignment="1">
      <alignment horizontal="center" vertical="center" wrapText="1"/>
    </xf>
    <xf numFmtId="9" fontId="109" fillId="17" borderId="1" xfId="0" applyNumberFormat="1" applyFont="1" applyFill="1" applyBorder="1" applyAlignment="1">
      <alignment horizontal="center" vertical="center"/>
    </xf>
    <xf numFmtId="0" fontId="336" fillId="47" borderId="183" xfId="33" applyFont="1" applyFill="1" applyBorder="1" applyAlignment="1">
      <alignment horizontal="center" vertical="center" wrapText="1" readingOrder="1"/>
    </xf>
    <xf numFmtId="14" fontId="0" fillId="14" borderId="0" xfId="0" applyNumberFormat="1" applyFill="1" applyAlignment="1">
      <alignment horizontal="center" vertical="center" wrapText="1"/>
    </xf>
    <xf numFmtId="0" fontId="0" fillId="14" borderId="0" xfId="0" applyFill="1" applyAlignment="1">
      <alignment horizontal="center" vertical="center" wrapText="1"/>
    </xf>
    <xf numFmtId="14" fontId="96" fillId="6" borderId="0" xfId="0" applyNumberFormat="1" applyFont="1" applyFill="1" applyAlignment="1">
      <alignment horizontal="center" vertical="center" wrapText="1"/>
    </xf>
    <xf numFmtId="14" fontId="96" fillId="14" borderId="0" xfId="0" applyNumberFormat="1" applyFont="1" applyFill="1" applyAlignment="1">
      <alignment horizontal="center" vertical="center" wrapText="1"/>
    </xf>
    <xf numFmtId="0" fontId="17" fillId="14" borderId="1" xfId="23" applyFont="1" applyFill="1" applyBorder="1" applyAlignment="1">
      <alignment horizontal="center" vertical="center"/>
    </xf>
    <xf numFmtId="0" fontId="76" fillId="8" borderId="1" xfId="24" applyFont="1" applyFill="1" applyBorder="1" applyAlignment="1">
      <alignment horizontal="center" vertical="center"/>
    </xf>
    <xf numFmtId="0" fontId="17" fillId="8" borderId="1" xfId="26" applyFont="1" applyFill="1" applyBorder="1" applyAlignment="1">
      <alignment horizontal="center" vertical="center"/>
    </xf>
    <xf numFmtId="0" fontId="17" fillId="8" borderId="1" xfId="24" applyFont="1" applyFill="1" applyBorder="1" applyAlignment="1">
      <alignment horizontal="center" vertical="center"/>
    </xf>
    <xf numFmtId="179" fontId="76" fillId="8" borderId="1" xfId="24" applyNumberFormat="1" applyFont="1" applyFill="1" applyBorder="1" applyAlignment="1">
      <alignment horizontal="center" vertical="center"/>
    </xf>
    <xf numFmtId="3" fontId="17" fillId="8" borderId="1" xfId="27" applyNumberFormat="1" applyFont="1" applyFill="1" applyBorder="1" applyAlignment="1">
      <alignment horizontal="center" vertical="center"/>
    </xf>
    <xf numFmtId="0" fontId="76" fillId="8" borderId="2" xfId="24" applyFont="1" applyFill="1" applyBorder="1" applyAlignment="1">
      <alignment horizontal="center" vertical="center"/>
    </xf>
    <xf numFmtId="0" fontId="31" fillId="8" borderId="0" xfId="24" applyFill="1"/>
    <xf numFmtId="0" fontId="31" fillId="8" borderId="0" xfId="25" applyFill="1">
      <alignment vertical="center"/>
    </xf>
    <xf numFmtId="3" fontId="76" fillId="8" borderId="1" xfId="24" applyNumberFormat="1" applyFont="1" applyFill="1" applyBorder="1" applyAlignment="1">
      <alignment horizontal="center" vertical="center"/>
    </xf>
    <xf numFmtId="0" fontId="76" fillId="29" borderId="1" xfId="24" applyFont="1" applyFill="1" applyBorder="1" applyAlignment="1">
      <alignment horizontal="center" vertical="center"/>
    </xf>
    <xf numFmtId="0" fontId="76" fillId="29" borderId="1" xfId="24" applyFont="1" applyFill="1" applyBorder="1" applyAlignment="1">
      <alignment vertical="center"/>
    </xf>
    <xf numFmtId="0" fontId="17" fillId="29" borderId="1" xfId="26" applyFont="1" applyFill="1" applyBorder="1" applyAlignment="1">
      <alignment horizontal="center" vertical="center"/>
    </xf>
    <xf numFmtId="178" fontId="76" fillId="29" borderId="1" xfId="24" applyNumberFormat="1" applyFont="1" applyFill="1" applyBorder="1" applyAlignment="1">
      <alignment horizontal="center" vertical="center"/>
    </xf>
    <xf numFmtId="3" fontId="17" fillId="29" borderId="1" xfId="27" applyNumberFormat="1" applyFont="1" applyFill="1" applyBorder="1" applyAlignment="1">
      <alignment horizontal="center" vertical="center"/>
    </xf>
    <xf numFmtId="0" fontId="76" fillId="29" borderId="2" xfId="24" applyFont="1" applyFill="1" applyBorder="1" applyAlignment="1">
      <alignment horizontal="center" vertical="center"/>
    </xf>
    <xf numFmtId="0" fontId="76" fillId="29" borderId="1" xfId="28" applyFont="1" applyFill="1" applyBorder="1" applyAlignment="1">
      <alignment horizontal="center" vertical="center"/>
    </xf>
    <xf numFmtId="0" fontId="31" fillId="29" borderId="0" xfId="24" applyFill="1"/>
    <xf numFmtId="0" fontId="31" fillId="29" borderId="0" xfId="25" applyFill="1">
      <alignment vertical="center"/>
    </xf>
    <xf numFmtId="0" fontId="17" fillId="29" borderId="1" xfId="24" applyFont="1" applyFill="1" applyBorder="1" applyAlignment="1">
      <alignment horizontal="center" vertical="center"/>
    </xf>
    <xf numFmtId="178" fontId="17" fillId="29" borderId="1" xfId="24" applyNumberFormat="1" applyFont="1" applyFill="1" applyBorder="1" applyAlignment="1">
      <alignment horizontal="center" vertical="center"/>
    </xf>
    <xf numFmtId="0" fontId="17" fillId="29" borderId="1" xfId="23" applyFont="1" applyFill="1" applyBorder="1" applyAlignment="1">
      <alignment horizontal="center" vertical="center"/>
    </xf>
    <xf numFmtId="0" fontId="109" fillId="43" borderId="1" xfId="0" applyFont="1" applyFill="1" applyBorder="1" applyAlignment="1">
      <alignment horizontal="center" vertical="center"/>
    </xf>
    <xf numFmtId="0" fontId="333" fillId="51" borderId="1" xfId="0" applyFont="1" applyFill="1" applyBorder="1" applyAlignment="1">
      <alignment horizontal="center" vertical="center"/>
    </xf>
    <xf numFmtId="0" fontId="109" fillId="0" borderId="1" xfId="0" applyFont="1" applyBorder="1" applyAlignment="1">
      <alignment horizontal="center" vertical="center"/>
    </xf>
    <xf numFmtId="0" fontId="76" fillId="9" borderId="1" xfId="24" applyFont="1" applyFill="1" applyBorder="1" applyAlignment="1">
      <alignment horizontal="center" vertical="center"/>
    </xf>
    <xf numFmtId="3" fontId="76" fillId="9" borderId="1" xfId="24" applyNumberFormat="1" applyFont="1" applyFill="1" applyBorder="1" applyAlignment="1">
      <alignment horizontal="center" vertical="center"/>
    </xf>
    <xf numFmtId="0" fontId="76" fillId="9" borderId="1" xfId="28" applyFont="1" applyFill="1" applyBorder="1" applyAlignment="1">
      <alignment horizontal="center" vertical="center"/>
    </xf>
    <xf numFmtId="0" fontId="31" fillId="9" borderId="0" xfId="24" applyFill="1"/>
    <xf numFmtId="0" fontId="31" fillId="9" borderId="0" xfId="25" applyFill="1">
      <alignment vertical="center"/>
    </xf>
    <xf numFmtId="0" fontId="76" fillId="9" borderId="18" xfId="24" applyFont="1" applyFill="1" applyBorder="1" applyAlignment="1">
      <alignment vertical="center"/>
    </xf>
    <xf numFmtId="0" fontId="76" fillId="9" borderId="2" xfId="24" applyFont="1" applyFill="1" applyBorder="1" applyAlignment="1">
      <alignment horizontal="center" vertical="center"/>
    </xf>
    <xf numFmtId="0" fontId="17" fillId="9" borderId="1" xfId="24" applyFont="1" applyFill="1" applyBorder="1" applyAlignment="1">
      <alignment horizontal="center" vertical="center"/>
    </xf>
    <xf numFmtId="3" fontId="17" fillId="9" borderId="1" xfId="24" applyNumberFormat="1" applyFont="1" applyFill="1" applyBorder="1" applyAlignment="1">
      <alignment horizontal="center" vertical="center"/>
    </xf>
    <xf numFmtId="0" fontId="71" fillId="9" borderId="47" xfId="0" applyNumberFormat="1" applyFont="1" applyFill="1" applyBorder="1" applyAlignment="1" applyProtection="1">
      <alignment horizontal="left" vertical="center" wrapText="1"/>
      <protection locked="0"/>
    </xf>
    <xf numFmtId="0" fontId="308" fillId="52" borderId="78" xfId="0" applyFont="1" applyFill="1" applyBorder="1" applyAlignment="1">
      <alignment horizontal="center" vertical="center"/>
    </xf>
    <xf numFmtId="0" fontId="308" fillId="52" borderId="30" xfId="0" applyFont="1" applyFill="1" applyBorder="1" applyAlignment="1">
      <alignment horizontal="left" vertical="center"/>
    </xf>
    <xf numFmtId="0" fontId="308" fillId="52" borderId="30" xfId="0" applyFont="1" applyFill="1" applyBorder="1" applyAlignment="1">
      <alignment horizontal="center" vertical="center"/>
    </xf>
    <xf numFmtId="0" fontId="337" fillId="52" borderId="78" xfId="0" applyFont="1" applyFill="1" applyBorder="1" applyAlignment="1">
      <alignment horizontal="center" vertical="center"/>
    </xf>
    <xf numFmtId="0" fontId="337" fillId="52" borderId="30" xfId="0" applyFont="1" applyFill="1" applyBorder="1" applyAlignment="1">
      <alignment horizontal="left" vertical="center"/>
    </xf>
    <xf numFmtId="0" fontId="337" fillId="52" borderId="30" xfId="0" applyFont="1" applyFill="1" applyBorder="1" applyAlignment="1">
      <alignment horizontal="center" vertical="center"/>
    </xf>
    <xf numFmtId="0" fontId="0" fillId="52" borderId="0" xfId="0" applyFill="1">
      <alignment vertical="center"/>
    </xf>
    <xf numFmtId="0" fontId="109" fillId="0" borderId="1" xfId="0" applyFont="1" applyBorder="1" applyAlignment="1">
      <alignment horizontal="center" vertical="center"/>
    </xf>
    <xf numFmtId="0" fontId="76" fillId="6" borderId="1" xfId="24" applyFont="1" applyFill="1" applyBorder="1" applyAlignment="1">
      <alignment horizontal="center" vertical="center"/>
    </xf>
    <xf numFmtId="3" fontId="76" fillId="6" borderId="1" xfId="24" applyNumberFormat="1" applyFont="1" applyFill="1" applyBorder="1" applyAlignment="1">
      <alignment horizontal="center" vertical="center"/>
    </xf>
    <xf numFmtId="0" fontId="31" fillId="6" borderId="0" xfId="24" applyFill="1"/>
    <xf numFmtId="0" fontId="31" fillId="6" borderId="0" xfId="25" applyFill="1">
      <alignment vertical="center"/>
    </xf>
    <xf numFmtId="0" fontId="17" fillId="6" borderId="1" xfId="24" applyFont="1" applyFill="1" applyBorder="1" applyAlignment="1">
      <alignment horizontal="center" vertical="center"/>
    </xf>
    <xf numFmtId="0" fontId="109" fillId="17" borderId="1" xfId="0" applyFont="1" applyFill="1" applyBorder="1" applyAlignment="1">
      <alignment horizontal="center" vertical="center"/>
    </xf>
    <xf numFmtId="0" fontId="109" fillId="43" borderId="1" xfId="0" applyFont="1" applyFill="1" applyBorder="1" applyAlignment="1">
      <alignment horizontal="center" vertical="center"/>
    </xf>
    <xf numFmtId="0" fontId="109" fillId="0" borderId="1" xfId="0" applyFont="1" applyBorder="1" applyAlignment="1">
      <alignment horizontal="center" vertical="center"/>
    </xf>
    <xf numFmtId="0" fontId="109" fillId="0" borderId="0" xfId="0" applyFont="1" applyAlignment="1">
      <alignment horizontal="center" vertical="center"/>
    </xf>
    <xf numFmtId="0" fontId="109" fillId="17" borderId="1" xfId="0" applyFont="1" applyFill="1" applyBorder="1" applyAlignment="1">
      <alignment horizontal="center" vertical="center"/>
    </xf>
    <xf numFmtId="0" fontId="333" fillId="51" borderId="1" xfId="0" applyFont="1" applyFill="1" applyBorder="1" applyAlignment="1">
      <alignment horizontal="center" vertical="center"/>
    </xf>
    <xf numFmtId="0" fontId="109" fillId="0" borderId="0" xfId="8" applyFont="1" applyAlignment="1">
      <alignment horizontal="center" vertical="center" wrapText="1"/>
    </xf>
    <xf numFmtId="0" fontId="109" fillId="0" borderId="1" xfId="0" applyFont="1" applyBorder="1" applyAlignment="1">
      <alignment horizontal="center" vertical="center"/>
    </xf>
    <xf numFmtId="179" fontId="46" fillId="5" borderId="20" xfId="0" applyNumberFormat="1" applyFont="1" applyFill="1" applyBorder="1" applyAlignment="1" applyProtection="1">
      <alignment horizontal="left" vertical="center" wrapText="1"/>
    </xf>
    <xf numFmtId="179" fontId="46" fillId="5" borderId="40" xfId="0" applyNumberFormat="1" applyFont="1" applyFill="1" applyBorder="1" applyAlignment="1" applyProtection="1">
      <alignment horizontal="left" vertical="center" wrapText="1"/>
    </xf>
    <xf numFmtId="176" fontId="46" fillId="5" borderId="46" xfId="0" applyNumberFormat="1" applyFont="1" applyFill="1" applyBorder="1" applyAlignment="1" applyProtection="1">
      <alignment horizontal="left" vertical="center" wrapText="1"/>
    </xf>
    <xf numFmtId="176" fontId="46" fillId="5" borderId="38" xfId="0" applyNumberFormat="1" applyFont="1" applyFill="1" applyBorder="1" applyAlignment="1" applyProtection="1">
      <alignment horizontal="left" vertical="center" wrapText="1"/>
    </xf>
    <xf numFmtId="176" fontId="71" fillId="3" borderId="47" xfId="0" applyNumberFormat="1" applyFont="1" applyFill="1" applyBorder="1" applyAlignment="1" applyProtection="1">
      <alignment horizontal="left" vertical="center" wrapText="1"/>
      <protection locked="0"/>
    </xf>
    <xf numFmtId="176" fontId="71" fillId="5" borderId="47" xfId="0" applyNumberFormat="1" applyFont="1" applyFill="1" applyBorder="1" applyAlignment="1" applyProtection="1">
      <alignment horizontal="left" vertical="center" wrapText="1"/>
    </xf>
    <xf numFmtId="176" fontId="71" fillId="9" borderId="46" xfId="0" applyNumberFormat="1" applyFont="1" applyFill="1" applyBorder="1" applyAlignment="1" applyProtection="1">
      <alignment horizontal="left" vertical="center" wrapText="1"/>
      <protection locked="0"/>
    </xf>
    <xf numFmtId="176" fontId="71" fillId="5" borderId="38" xfId="0" applyNumberFormat="1" applyFont="1" applyFill="1" applyBorder="1" applyAlignment="1" applyProtection="1">
      <alignment horizontal="left" vertical="center" wrapText="1"/>
    </xf>
    <xf numFmtId="176" fontId="46" fillId="5" borderId="20" xfId="0" applyNumberFormat="1" applyFont="1" applyFill="1" applyBorder="1" applyAlignment="1" applyProtection="1">
      <alignment horizontal="left" vertical="center" wrapText="1"/>
    </xf>
    <xf numFmtId="176" fontId="50" fillId="18" borderId="62" xfId="0" applyNumberFormat="1" applyFont="1" applyFill="1" applyBorder="1" applyAlignment="1" applyProtection="1">
      <alignment horizontal="left" vertical="center" wrapText="1"/>
      <protection locked="0"/>
    </xf>
    <xf numFmtId="176" fontId="46" fillId="5" borderId="48" xfId="0" applyNumberFormat="1" applyFont="1" applyFill="1" applyBorder="1" applyAlignment="1" applyProtection="1">
      <alignment horizontal="left" vertical="center" wrapText="1"/>
    </xf>
    <xf numFmtId="176" fontId="46" fillId="18" borderId="62" xfId="0" applyNumberFormat="1" applyFont="1" applyFill="1" applyBorder="1" applyAlignment="1" applyProtection="1">
      <alignment horizontal="left" vertical="center" wrapText="1"/>
      <protection locked="0"/>
    </xf>
    <xf numFmtId="176" fontId="46" fillId="5" borderId="40" xfId="0" applyNumberFormat="1" applyFont="1" applyFill="1" applyBorder="1" applyAlignment="1" applyProtection="1">
      <alignment horizontal="left" vertical="center" wrapText="1"/>
    </xf>
    <xf numFmtId="179" fontId="47" fillId="0" borderId="0" xfId="0" applyNumberFormat="1" applyFont="1" applyFill="1" applyAlignment="1" applyProtection="1">
      <alignment horizontal="left" vertical="center"/>
      <protection locked="0"/>
    </xf>
    <xf numFmtId="0" fontId="256" fillId="17" borderId="1" xfId="0" applyFont="1" applyFill="1" applyBorder="1" applyAlignment="1">
      <alignment horizontal="center" vertical="center"/>
    </xf>
    <xf numFmtId="0" fontId="197" fillId="0" borderId="18" xfId="0" applyFont="1" applyFill="1" applyBorder="1" applyAlignment="1" applyProtection="1">
      <alignment horizontal="left" vertical="center" wrapText="1"/>
    </xf>
    <xf numFmtId="0" fontId="197" fillId="0" borderId="49" xfId="0" applyFont="1" applyFill="1" applyBorder="1" applyAlignment="1" applyProtection="1">
      <alignment horizontal="left" vertical="center" wrapText="1"/>
    </xf>
    <xf numFmtId="0" fontId="197" fillId="0" borderId="17" xfId="0" applyFont="1" applyFill="1" applyBorder="1" applyAlignment="1" applyProtection="1">
      <alignment horizontal="left" vertical="center" wrapText="1"/>
    </xf>
    <xf numFmtId="0" fontId="122" fillId="0" borderId="1" xfId="0" applyFont="1" applyBorder="1" applyProtection="1">
      <alignment vertical="center"/>
    </xf>
    <xf numFmtId="0" fontId="122" fillId="0" borderId="1" xfId="0" applyFont="1" applyBorder="1" applyAlignment="1" applyProtection="1">
      <alignment vertical="center" wrapText="1"/>
    </xf>
    <xf numFmtId="0" fontId="122" fillId="0" borderId="18" xfId="0" applyFont="1" applyBorder="1" applyProtection="1">
      <alignment vertical="center"/>
    </xf>
    <xf numFmtId="0" fontId="122" fillId="0" borderId="75" xfId="0" applyFont="1" applyBorder="1" applyProtection="1">
      <alignment vertical="center"/>
    </xf>
    <xf numFmtId="0" fontId="122" fillId="0" borderId="0" xfId="0" applyFont="1" applyBorder="1" applyAlignment="1" applyProtection="1">
      <alignment horizontal="center" vertical="center"/>
    </xf>
    <xf numFmtId="0" fontId="122" fillId="0" borderId="32" xfId="0" applyFont="1" applyBorder="1" applyAlignment="1" applyProtection="1">
      <alignment horizontal="center" vertical="center"/>
    </xf>
    <xf numFmtId="0" fontId="122" fillId="0" borderId="1" xfId="0" applyFont="1" applyBorder="1" applyAlignment="1" applyProtection="1">
      <alignment horizontal="center" vertical="center"/>
    </xf>
    <xf numFmtId="0" fontId="122" fillId="0" borderId="163" xfId="0" applyFont="1" applyBorder="1" applyAlignment="1" applyProtection="1">
      <alignment horizontal="left" vertical="center" wrapText="1"/>
    </xf>
    <xf numFmtId="0" fontId="122" fillId="0" borderId="164" xfId="0" applyFont="1" applyBorder="1" applyAlignment="1" applyProtection="1">
      <alignment horizontal="left" vertical="center" wrapText="1"/>
    </xf>
    <xf numFmtId="0" fontId="122" fillId="0" borderId="161" xfId="0" applyFont="1" applyBorder="1" applyAlignment="1" applyProtection="1">
      <alignment horizontal="left" vertical="center" wrapText="1"/>
    </xf>
    <xf numFmtId="0" fontId="122" fillId="0" borderId="162" xfId="0" applyFont="1" applyBorder="1" applyAlignment="1" applyProtection="1">
      <alignment horizontal="left" vertical="center" wrapText="1"/>
    </xf>
    <xf numFmtId="0" fontId="122" fillId="0" borderId="17" xfId="0" applyFont="1" applyBorder="1" applyProtection="1">
      <alignment vertical="center"/>
    </xf>
    <xf numFmtId="0" fontId="197" fillId="0" borderId="1" xfId="0" applyFont="1" applyFill="1" applyBorder="1" applyAlignment="1" applyProtection="1">
      <alignment horizontal="left" vertical="center" wrapText="1"/>
    </xf>
    <xf numFmtId="0" fontId="197" fillId="0" borderId="75" xfId="0" applyFont="1" applyFill="1" applyBorder="1" applyAlignment="1" applyProtection="1">
      <alignment horizontal="left" vertical="center" wrapText="1"/>
    </xf>
    <xf numFmtId="0" fontId="131" fillId="0" borderId="0" xfId="0" applyFont="1" applyAlignment="1" applyProtection="1">
      <alignment horizontal="left" vertical="center" wrapText="1"/>
    </xf>
    <xf numFmtId="0" fontId="186" fillId="0" borderId="0" xfId="0" applyFont="1" applyAlignment="1" applyProtection="1">
      <alignment horizontal="center" vertical="center"/>
    </xf>
    <xf numFmtId="0" fontId="197" fillId="0" borderId="114" xfId="0" applyFont="1" applyFill="1" applyBorder="1" applyAlignment="1" applyProtection="1">
      <alignment horizontal="center" vertical="center" wrapText="1"/>
    </xf>
    <xf numFmtId="0" fontId="197" fillId="0" borderId="115" xfId="0" applyFont="1" applyFill="1" applyBorder="1" applyAlignment="1" applyProtection="1">
      <alignment horizontal="center" vertical="center" wrapText="1"/>
    </xf>
    <xf numFmtId="0" fontId="197" fillId="0" borderId="1"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57" fillId="0" borderId="1" xfId="0" applyFont="1" applyFill="1" applyBorder="1" applyAlignment="1" applyProtection="1">
      <alignment horizontal="center" vertical="center" wrapText="1"/>
    </xf>
    <xf numFmtId="182" fontId="57" fillId="0" borderId="1" xfId="0" applyNumberFormat="1" applyFont="1" applyFill="1" applyBorder="1" applyAlignment="1" applyProtection="1">
      <alignment horizontal="center" vertical="center" wrapText="1"/>
    </xf>
    <xf numFmtId="0" fontId="41" fillId="0" borderId="1" xfId="0" applyFont="1" applyFill="1" applyBorder="1" applyAlignment="1" applyProtection="1">
      <alignment horizontal="center" vertical="center" wrapText="1"/>
    </xf>
    <xf numFmtId="0" fontId="57" fillId="0" borderId="75" xfId="0" applyFont="1" applyFill="1" applyBorder="1" applyAlignment="1" applyProtection="1">
      <alignment horizontal="center" vertical="center" wrapText="1"/>
    </xf>
    <xf numFmtId="182" fontId="57" fillId="0" borderId="75"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57" fillId="0" borderId="32" xfId="0" applyFont="1" applyFill="1" applyBorder="1" applyAlignment="1" applyProtection="1">
      <alignment horizontal="center" vertical="center" wrapText="1"/>
    </xf>
    <xf numFmtId="182" fontId="57" fillId="0" borderId="2" xfId="0" applyNumberFormat="1" applyFont="1" applyFill="1" applyBorder="1" applyAlignment="1" applyProtection="1">
      <alignment horizontal="center" vertical="center" wrapText="1"/>
    </xf>
    <xf numFmtId="182" fontId="57" fillId="0" borderId="51" xfId="0" applyNumberFormat="1" applyFont="1" applyFill="1" applyBorder="1" applyAlignment="1" applyProtection="1">
      <alignment horizontal="center" vertical="center" wrapText="1"/>
    </xf>
    <xf numFmtId="182" fontId="57" fillId="0" borderId="3" xfId="0" applyNumberFormat="1" applyFont="1" applyFill="1" applyBorder="1" applyAlignment="1" applyProtection="1">
      <alignment horizontal="center" vertical="center" wrapText="1"/>
    </xf>
    <xf numFmtId="0" fontId="189" fillId="0" borderId="0" xfId="0" applyFont="1" applyBorder="1" applyAlignment="1">
      <alignment horizontal="justify" vertical="center" wrapText="1"/>
    </xf>
    <xf numFmtId="0" fontId="189" fillId="0" borderId="0" xfId="0" applyFont="1" applyBorder="1" applyAlignment="1">
      <alignment horizontal="left" vertical="center"/>
    </xf>
    <xf numFmtId="0" fontId="130" fillId="0" borderId="0" xfId="0" applyFont="1" applyBorder="1" applyAlignment="1">
      <alignment horizontal="left" vertical="center" wrapText="1"/>
    </xf>
    <xf numFmtId="0" fontId="133" fillId="0" borderId="0" xfId="0" applyFont="1" applyBorder="1" applyAlignment="1">
      <alignment horizontal="left" vertical="center" wrapText="1"/>
    </xf>
    <xf numFmtId="0" fontId="134" fillId="0" borderId="0" xfId="0" applyFont="1" applyBorder="1" applyAlignment="1" applyProtection="1">
      <alignment horizontal="left" vertical="center" wrapText="1"/>
      <protection locked="0"/>
    </xf>
    <xf numFmtId="0" fontId="40" fillId="0" borderId="2"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2"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0" borderId="1" xfId="0" applyFont="1" applyBorder="1" applyAlignment="1" applyProtection="1">
      <alignment horizontal="left" vertical="center"/>
    </xf>
    <xf numFmtId="0" fontId="99" fillId="6" borderId="18" xfId="0" applyFont="1" applyFill="1" applyBorder="1" applyAlignment="1" applyProtection="1">
      <alignment horizontal="left" vertical="center"/>
    </xf>
    <xf numFmtId="0" fontId="99" fillId="6" borderId="49" xfId="0" applyFont="1" applyFill="1" applyBorder="1" applyAlignment="1" applyProtection="1">
      <alignment horizontal="left" vertical="center"/>
    </xf>
    <xf numFmtId="0" fontId="99" fillId="6" borderId="17" xfId="0" applyFont="1" applyFill="1" applyBorder="1" applyAlignment="1" applyProtection="1">
      <alignment horizontal="left" vertical="center"/>
    </xf>
    <xf numFmtId="0" fontId="123" fillId="6"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73" xfId="5" applyFont="1" applyBorder="1" applyAlignment="1">
      <alignment horizontal="left" vertical="center"/>
    </xf>
    <xf numFmtId="0" fontId="99" fillId="5" borderId="0" xfId="0" applyFont="1" applyFill="1" applyBorder="1" applyAlignment="1" applyProtection="1">
      <alignment horizontal="center" vertical="center" wrapText="1"/>
    </xf>
    <xf numFmtId="0" fontId="43" fillId="5" borderId="0" xfId="0" applyFont="1" applyFill="1" applyBorder="1" applyAlignment="1" applyProtection="1">
      <alignment vertical="center" wrapText="1"/>
    </xf>
    <xf numFmtId="0" fontId="43" fillId="5" borderId="63" xfId="0" applyFont="1" applyFill="1" applyBorder="1" applyAlignment="1" applyProtection="1">
      <alignment vertical="center" wrapText="1"/>
    </xf>
    <xf numFmtId="0" fontId="43" fillId="5" borderId="24" xfId="0" applyFont="1" applyFill="1" applyBorder="1" applyAlignment="1" applyProtection="1">
      <alignment vertical="center" wrapText="1"/>
    </xf>
    <xf numFmtId="0" fontId="43" fillId="5" borderId="52" xfId="0" applyFont="1" applyFill="1" applyBorder="1" applyAlignment="1" applyProtection="1">
      <alignment vertical="center" wrapText="1"/>
    </xf>
    <xf numFmtId="0" fontId="43" fillId="5" borderId="27" xfId="0" applyFont="1" applyFill="1" applyBorder="1" applyAlignment="1" applyProtection="1">
      <alignment vertical="center" wrapText="1"/>
    </xf>
    <xf numFmtId="0" fontId="43" fillId="5" borderId="4" xfId="0" applyFont="1" applyFill="1" applyBorder="1" applyAlignment="1" applyProtection="1">
      <alignment vertical="center" wrapText="1"/>
    </xf>
    <xf numFmtId="0" fontId="43" fillId="5" borderId="11" xfId="0" applyFont="1" applyFill="1" applyBorder="1" applyAlignment="1" applyProtection="1">
      <alignment vertical="center" wrapText="1"/>
    </xf>
    <xf numFmtId="0" fontId="43" fillId="5" borderId="52" xfId="0" applyFont="1" applyFill="1" applyBorder="1" applyAlignment="1" applyProtection="1">
      <alignment vertical="top" wrapText="1"/>
    </xf>
    <xf numFmtId="0" fontId="43" fillId="5" borderId="39" xfId="0" applyFont="1" applyFill="1" applyBorder="1" applyAlignment="1" applyProtection="1">
      <alignment vertical="top" wrapText="1"/>
    </xf>
    <xf numFmtId="0" fontId="43" fillId="5" borderId="63" xfId="0" applyFont="1" applyFill="1" applyBorder="1" applyAlignment="1" applyProtection="1">
      <alignment vertical="top" wrapText="1"/>
    </xf>
    <xf numFmtId="0" fontId="140" fillId="5" borderId="172" xfId="0" applyFont="1" applyFill="1" applyBorder="1" applyAlignment="1" applyProtection="1">
      <alignment horizontal="center" vertical="center" wrapText="1"/>
    </xf>
    <xf numFmtId="0" fontId="43" fillId="5" borderId="26" xfId="0" applyFont="1" applyFill="1" applyBorder="1" applyAlignment="1" applyProtection="1">
      <alignment vertical="center" wrapText="1"/>
    </xf>
    <xf numFmtId="0" fontId="43" fillId="5" borderId="7" xfId="0" applyFont="1" applyFill="1" applyBorder="1" applyAlignment="1" applyProtection="1">
      <alignment vertical="center" wrapText="1"/>
    </xf>
    <xf numFmtId="0" fontId="43" fillId="5" borderId="8" xfId="0" applyFont="1" applyFill="1" applyBorder="1" applyAlignment="1" applyProtection="1">
      <alignment vertical="center" wrapText="1"/>
    </xf>
    <xf numFmtId="0" fontId="76" fillId="5" borderId="22" xfId="0" applyFont="1" applyFill="1" applyBorder="1" applyAlignment="1" applyProtection="1">
      <alignment vertical="center" wrapText="1"/>
    </xf>
    <xf numFmtId="0" fontId="43" fillId="5" borderId="42" xfId="0" applyFont="1" applyFill="1" applyBorder="1" applyAlignment="1" applyProtection="1">
      <alignment vertical="center" wrapText="1"/>
    </xf>
    <xf numFmtId="0" fontId="43" fillId="5" borderId="61" xfId="0" applyFont="1" applyFill="1" applyBorder="1" applyAlignment="1" applyProtection="1">
      <alignment vertical="center" wrapText="1"/>
    </xf>
    <xf numFmtId="0" fontId="43" fillId="5" borderId="46" xfId="0" applyFont="1" applyFill="1" applyBorder="1" applyAlignment="1" applyProtection="1">
      <alignment vertical="center" wrapText="1"/>
    </xf>
    <xf numFmtId="0" fontId="43" fillId="5" borderId="28" xfId="0" applyFont="1" applyFill="1" applyBorder="1" applyAlignment="1" applyProtection="1">
      <alignment vertical="center" wrapText="1"/>
    </xf>
    <xf numFmtId="0" fontId="43" fillId="5" borderId="19" xfId="0" applyFont="1" applyFill="1" applyBorder="1" applyAlignment="1" applyProtection="1">
      <alignment vertical="center" wrapText="1"/>
    </xf>
    <xf numFmtId="0" fontId="43" fillId="5" borderId="3" xfId="0" applyFont="1" applyFill="1" applyBorder="1" applyAlignment="1" applyProtection="1">
      <alignment vertical="center" wrapText="1"/>
    </xf>
    <xf numFmtId="0" fontId="43" fillId="5" borderId="20" xfId="0" applyFont="1" applyFill="1" applyBorder="1" applyAlignment="1" applyProtection="1">
      <alignment vertical="center" wrapText="1"/>
    </xf>
    <xf numFmtId="0" fontId="43" fillId="5" borderId="56" xfId="0" applyFont="1" applyFill="1" applyBorder="1" applyAlignment="1" applyProtection="1">
      <alignment vertical="center" wrapText="1"/>
    </xf>
    <xf numFmtId="0" fontId="43" fillId="0" borderId="64" xfId="0" applyFont="1" applyFill="1" applyBorder="1" applyAlignment="1" applyProtection="1">
      <alignment vertical="center" wrapText="1"/>
      <protection locked="0"/>
    </xf>
    <xf numFmtId="0" fontId="43" fillId="0" borderId="68" xfId="0" applyFont="1" applyFill="1" applyBorder="1" applyAlignment="1" applyProtection="1">
      <alignment vertical="center" wrapText="1"/>
      <protection locked="0"/>
    </xf>
    <xf numFmtId="0" fontId="43" fillId="0" borderId="2" xfId="0" applyFont="1" applyFill="1" applyBorder="1" applyAlignment="1" applyProtection="1">
      <alignment vertical="center" wrapText="1"/>
      <protection locked="0"/>
    </xf>
    <xf numFmtId="0" fontId="43" fillId="0" borderId="41" xfId="0" applyFont="1" applyFill="1" applyBorder="1" applyAlignment="1" applyProtection="1">
      <alignment vertical="center" wrapText="1"/>
      <protection locked="0"/>
    </xf>
    <xf numFmtId="0" fontId="43" fillId="0" borderId="35" xfId="0" applyFont="1" applyFill="1" applyBorder="1" applyAlignment="1" applyProtection="1">
      <alignment vertical="center" wrapText="1"/>
      <protection locked="0"/>
    </xf>
    <xf numFmtId="0" fontId="43" fillId="0" borderId="80" xfId="0" applyFont="1" applyFill="1" applyBorder="1" applyAlignment="1" applyProtection="1">
      <alignment vertical="center" wrapText="1"/>
      <protection locked="0"/>
    </xf>
    <xf numFmtId="0" fontId="43" fillId="5" borderId="13" xfId="0" applyFont="1" applyFill="1" applyBorder="1" applyAlignment="1" applyProtection="1">
      <alignment vertical="center"/>
    </xf>
    <xf numFmtId="0" fontId="43" fillId="5" borderId="38" xfId="0" applyFont="1" applyFill="1" applyBorder="1" applyAlignment="1" applyProtection="1">
      <alignment vertical="center"/>
    </xf>
    <xf numFmtId="0" fontId="43" fillId="5" borderId="46" xfId="0" applyFont="1" applyFill="1" applyBorder="1" applyAlignment="1" applyProtection="1">
      <alignment vertical="center"/>
    </xf>
    <xf numFmtId="0" fontId="43" fillId="5" borderId="47" xfId="0" applyFont="1" applyFill="1" applyBorder="1" applyAlignment="1" applyProtection="1">
      <alignment vertical="center"/>
    </xf>
    <xf numFmtId="0" fontId="20" fillId="0" borderId="1" xfId="0" applyFont="1" applyFill="1" applyBorder="1" applyAlignment="1" applyProtection="1">
      <alignment horizontal="center" vertical="center" wrapText="1"/>
    </xf>
    <xf numFmtId="0" fontId="97" fillId="0" borderId="1" xfId="0" applyFont="1" applyBorder="1" applyAlignment="1">
      <alignment horizontal="center" vertical="center" wrapText="1"/>
    </xf>
    <xf numFmtId="179" fontId="42" fillId="5" borderId="22" xfId="0" applyNumberFormat="1" applyFont="1" applyFill="1" applyBorder="1" applyAlignment="1" applyProtection="1">
      <alignment horizontal="left" vertical="center" wrapText="1"/>
      <protection locked="0"/>
    </xf>
    <xf numFmtId="179" fontId="42" fillId="5" borderId="26" xfId="0" applyNumberFormat="1" applyFont="1" applyFill="1" applyBorder="1" applyAlignment="1" applyProtection="1">
      <alignment horizontal="left" vertical="center" wrapText="1"/>
      <protection locked="0"/>
    </xf>
    <xf numFmtId="0" fontId="39" fillId="5" borderId="117" xfId="0" applyFont="1" applyFill="1" applyBorder="1" applyAlignment="1" applyProtection="1">
      <alignment horizontal="left" vertical="center"/>
    </xf>
    <xf numFmtId="0" fontId="39" fillId="5" borderId="112" xfId="0" applyFont="1" applyFill="1" applyBorder="1" applyAlignment="1" applyProtection="1">
      <alignment horizontal="left" vertical="center"/>
    </xf>
    <xf numFmtId="0" fontId="102" fillId="5" borderId="40" xfId="0" applyFont="1" applyFill="1" applyBorder="1" applyAlignment="1" applyProtection="1">
      <alignment horizontal="left" vertical="center" wrapText="1"/>
    </xf>
    <xf numFmtId="0" fontId="102" fillId="5" borderId="40" xfId="0" applyFont="1" applyFill="1" applyBorder="1" applyAlignment="1" applyProtection="1">
      <alignment horizontal="left" vertical="center"/>
    </xf>
    <xf numFmtId="0" fontId="43" fillId="5" borderId="7" xfId="0" applyFont="1" applyFill="1" applyBorder="1" applyAlignment="1" applyProtection="1">
      <alignment horizontal="left" vertical="center" wrapText="1"/>
    </xf>
    <xf numFmtId="0" fontId="43" fillId="5" borderId="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48" fillId="5" borderId="19"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2" xfId="0" applyFont="1" applyFill="1" applyBorder="1" applyAlignment="1" applyProtection="1">
      <alignment horizontal="left" vertical="center" wrapText="1"/>
    </xf>
    <xf numFmtId="0" fontId="48" fillId="5" borderId="27" xfId="0" applyFont="1" applyFill="1" applyBorder="1" applyAlignment="1" applyProtection="1">
      <alignment horizontal="left" vertical="center" wrapText="1"/>
    </xf>
    <xf numFmtId="0" fontId="48" fillId="5" borderId="29" xfId="0" applyFont="1" applyFill="1" applyBorder="1" applyAlignment="1" applyProtection="1">
      <alignment horizontal="left" vertical="center" wrapText="1"/>
    </xf>
    <xf numFmtId="0" fontId="48" fillId="5" borderId="70" xfId="0" applyFont="1" applyFill="1" applyBorder="1" applyAlignment="1" applyProtection="1">
      <alignment horizontal="left" vertical="center" wrapText="1"/>
    </xf>
    <xf numFmtId="0" fontId="48" fillId="5" borderId="51" xfId="0" applyFont="1" applyFill="1" applyBorder="1" applyAlignment="1" applyProtection="1">
      <alignment horizontal="left" vertical="center" wrapText="1"/>
    </xf>
    <xf numFmtId="182" fontId="43" fillId="5" borderId="2" xfId="0" applyNumberFormat="1" applyFont="1" applyFill="1" applyBorder="1" applyAlignment="1" applyProtection="1">
      <alignment horizontal="left" vertical="center" wrapText="1"/>
    </xf>
    <xf numFmtId="182" fontId="43" fillId="5" borderId="51" xfId="0" applyNumberFormat="1" applyFont="1" applyFill="1" applyBorder="1" applyAlignment="1" applyProtection="1">
      <alignment horizontal="left" vertical="center" wrapText="1"/>
    </xf>
    <xf numFmtId="182" fontId="43" fillId="5" borderId="41" xfId="0" applyNumberFormat="1"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3" fillId="5" borderId="19" xfId="0" applyFont="1" applyFill="1" applyBorder="1" applyAlignment="1" applyProtection="1">
      <alignment horizontal="left" vertical="center" shrinkToFit="1"/>
    </xf>
    <xf numFmtId="0" fontId="43" fillId="5" borderId="3" xfId="0" applyFont="1" applyFill="1" applyBorder="1" applyAlignment="1" applyProtection="1">
      <alignment horizontal="left" vertical="center" shrinkToFit="1"/>
    </xf>
    <xf numFmtId="0" fontId="48" fillId="5" borderId="118"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0" fontId="48" fillId="5" borderId="61" xfId="0" applyFont="1" applyFill="1" applyBorder="1" applyAlignment="1" applyProtection="1">
      <alignment horizontal="left" vertical="center" wrapText="1"/>
    </xf>
    <xf numFmtId="0" fontId="48" fillId="0" borderId="19" xfId="0" applyFont="1" applyFill="1" applyBorder="1" applyAlignment="1" applyProtection="1">
      <alignment horizontal="left" vertical="center" shrinkToFit="1"/>
      <protection locked="0"/>
    </xf>
    <xf numFmtId="0" fontId="48" fillId="0" borderId="3" xfId="0" applyFont="1" applyFill="1" applyBorder="1" applyAlignment="1" applyProtection="1">
      <alignment horizontal="left" vertical="center" shrinkToFit="1"/>
      <protection locked="0"/>
    </xf>
    <xf numFmtId="0" fontId="43" fillId="5" borderId="8"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0" fontId="43" fillId="5" borderId="18" xfId="0" applyFont="1" applyFill="1" applyBorder="1" applyAlignment="1" applyProtection="1">
      <alignment horizontal="left" vertical="center" wrapText="1"/>
    </xf>
    <xf numFmtId="0" fontId="43" fillId="5" borderId="17" xfId="0" applyFont="1" applyFill="1" applyBorder="1" applyAlignment="1" applyProtection="1">
      <alignment horizontal="left" vertical="center" wrapText="1"/>
    </xf>
    <xf numFmtId="182" fontId="43" fillId="5" borderId="2" xfId="0" applyNumberFormat="1" applyFont="1" applyFill="1" applyBorder="1" applyAlignment="1" applyProtection="1">
      <alignment horizontal="left" vertical="center" shrinkToFit="1"/>
    </xf>
    <xf numFmtId="182" fontId="43" fillId="5" borderId="41" xfId="0" applyNumberFormat="1" applyFont="1" applyFill="1" applyBorder="1" applyAlignment="1" applyProtection="1">
      <alignment horizontal="left" vertical="center" shrinkToFit="1"/>
    </xf>
    <xf numFmtId="182" fontId="43" fillId="5" borderId="72" xfId="0" applyNumberFormat="1" applyFont="1" applyFill="1" applyBorder="1" applyAlignment="1" applyProtection="1">
      <alignment horizontal="left" vertical="center" wrapText="1"/>
    </xf>
    <xf numFmtId="182" fontId="43" fillId="5" borderId="40" xfId="0" applyNumberFormat="1" applyFont="1" applyFill="1" applyBorder="1" applyAlignment="1" applyProtection="1">
      <alignment horizontal="left" vertical="center" wrapText="1"/>
    </xf>
    <xf numFmtId="182" fontId="43" fillId="5" borderId="30" xfId="0" applyNumberFormat="1"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0" fontId="43" fillId="5" borderId="2" xfId="0" applyNumberFormat="1" applyFont="1" applyFill="1" applyBorder="1" applyAlignment="1" applyProtection="1">
      <alignment horizontal="left" vertical="center" wrapText="1"/>
    </xf>
    <xf numFmtId="10" fontId="43" fillId="5" borderId="51" xfId="0" applyNumberFormat="1" applyFont="1" applyFill="1" applyBorder="1" applyAlignment="1" applyProtection="1">
      <alignment horizontal="left" vertical="center" wrapText="1"/>
    </xf>
    <xf numFmtId="10" fontId="43" fillId="5" borderId="41" xfId="0" applyNumberFormat="1" applyFont="1" applyFill="1" applyBorder="1" applyAlignment="1" applyProtection="1">
      <alignment horizontal="left" vertical="center" wrapText="1"/>
    </xf>
    <xf numFmtId="0" fontId="48" fillId="5" borderId="46"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43" fillId="5" borderId="51" xfId="0" applyFont="1" applyFill="1" applyBorder="1" applyAlignment="1" applyProtection="1">
      <alignment horizontal="left" vertical="center" wrapText="1"/>
    </xf>
    <xf numFmtId="0" fontId="43" fillId="5" borderId="3" xfId="0" applyFont="1" applyFill="1" applyBorder="1" applyAlignment="1" applyProtection="1">
      <alignment horizontal="left" vertical="center" wrapText="1"/>
    </xf>
    <xf numFmtId="0" fontId="40" fillId="0" borderId="18" xfId="0" applyFont="1" applyBorder="1" applyAlignment="1" applyProtection="1">
      <alignment horizontal="left" vertical="center"/>
      <protection locked="0"/>
    </xf>
    <xf numFmtId="0" fontId="40" fillId="0" borderId="17" xfId="0" applyFont="1" applyBorder="1" applyAlignment="1" applyProtection="1">
      <alignment horizontal="left" vertical="center"/>
      <protection locked="0"/>
    </xf>
    <xf numFmtId="0" fontId="42" fillId="5" borderId="22" xfId="0" applyFont="1" applyFill="1" applyBorder="1" applyAlignment="1" applyProtection="1">
      <alignment horizontal="left" vertical="center" wrapText="1"/>
    </xf>
    <xf numFmtId="0" fontId="42" fillId="5" borderId="26"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3" fillId="5" borderId="16" xfId="0" applyFont="1" applyFill="1" applyBorder="1" applyAlignment="1" applyProtection="1">
      <alignment horizontal="left" vertical="center" wrapText="1"/>
    </xf>
    <xf numFmtId="0" fontId="48" fillId="5" borderId="35" xfId="0" applyFont="1" applyFill="1" applyBorder="1" applyAlignment="1" applyProtection="1">
      <alignment horizontal="left" vertical="center" wrapText="1"/>
    </xf>
    <xf numFmtId="0" fontId="48" fillId="5" borderId="36" xfId="0" applyFont="1" applyFill="1" applyBorder="1" applyAlignment="1" applyProtection="1">
      <alignment horizontal="left" vertical="center" wrapText="1"/>
    </xf>
    <xf numFmtId="0" fontId="48" fillId="5" borderId="40" xfId="0" applyFont="1" applyFill="1" applyBorder="1" applyAlignment="1" applyProtection="1">
      <alignment horizontal="center" vertical="center"/>
    </xf>
    <xf numFmtId="0" fontId="144" fillId="5" borderId="60" xfId="0" applyFont="1" applyFill="1" applyBorder="1" applyAlignment="1" applyProtection="1">
      <alignment horizontal="left" vertical="center" wrapText="1"/>
    </xf>
    <xf numFmtId="0" fontId="144" fillId="5" borderId="0" xfId="0" applyFont="1" applyFill="1" applyAlignment="1" applyProtection="1">
      <alignment horizontal="left" vertical="center" wrapText="1"/>
    </xf>
    <xf numFmtId="0" fontId="224" fillId="5" borderId="0" xfId="0" applyFont="1" applyFill="1" applyAlignment="1" applyProtection="1">
      <alignment horizontal="center" vertical="center"/>
    </xf>
    <xf numFmtId="0" fontId="43" fillId="5" borderId="41" xfId="0" applyFont="1" applyFill="1" applyBorder="1" applyAlignment="1" applyProtection="1">
      <alignment horizontal="left" vertical="center" wrapText="1"/>
    </xf>
    <xf numFmtId="0" fontId="40" fillId="0" borderId="1" xfId="0" applyFont="1" applyBorder="1" applyAlignment="1" applyProtection="1">
      <alignment horizontal="left" vertical="center"/>
      <protection locked="0"/>
    </xf>
    <xf numFmtId="0" fontId="43" fillId="5" borderId="63" xfId="0" applyFont="1" applyFill="1" applyBorder="1" applyAlignment="1" applyProtection="1">
      <alignment horizontal="center" vertical="center"/>
    </xf>
    <xf numFmtId="0" fontId="43" fillId="5" borderId="65" xfId="0" applyFont="1" applyFill="1" applyBorder="1" applyAlignment="1" applyProtection="1">
      <alignment horizontal="center" vertical="center"/>
    </xf>
    <xf numFmtId="0" fontId="40" fillId="0" borderId="49" xfId="0" applyFont="1" applyBorder="1" applyAlignment="1" applyProtection="1">
      <alignment horizontal="left" vertical="center"/>
      <protection locked="0"/>
    </xf>
    <xf numFmtId="0" fontId="50" fillId="5" borderId="4" xfId="0" applyFont="1" applyFill="1" applyBorder="1" applyAlignment="1" applyProtection="1">
      <alignment horizontal="left" vertical="center" wrapText="1"/>
    </xf>
    <xf numFmtId="0" fontId="50" fillId="5" borderId="11" xfId="0" applyFont="1" applyFill="1" applyBorder="1" applyAlignment="1" applyProtection="1">
      <alignment horizontal="left" vertical="center" wrapText="1"/>
    </xf>
    <xf numFmtId="0" fontId="42" fillId="5" borderId="23" xfId="0" applyFont="1" applyFill="1" applyBorder="1" applyAlignment="1" applyProtection="1">
      <alignment horizontal="left" vertical="center" wrapText="1"/>
    </xf>
    <xf numFmtId="0" fontId="50" fillId="5" borderId="39" xfId="0" applyFont="1" applyFill="1" applyBorder="1" applyAlignment="1" applyProtection="1">
      <alignment horizontal="center" vertical="center" wrapText="1"/>
    </xf>
    <xf numFmtId="0" fontId="50" fillId="5" borderId="0" xfId="0" applyFont="1" applyFill="1" applyBorder="1" applyAlignment="1" applyProtection="1">
      <alignment horizontal="center" vertical="center" wrapText="1"/>
    </xf>
    <xf numFmtId="182" fontId="43" fillId="5" borderId="118" xfId="0" applyNumberFormat="1" applyFont="1" applyFill="1" applyBorder="1" applyAlignment="1" applyProtection="1">
      <alignment horizontal="left" vertical="center" wrapText="1"/>
    </xf>
    <xf numFmtId="0" fontId="130" fillId="5" borderId="0" xfId="0" applyFont="1" applyFill="1" applyBorder="1" applyAlignment="1" applyProtection="1">
      <alignment horizontal="center" vertical="center" shrinkToFit="1"/>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09" fillId="8" borderId="18" xfId="0" applyFont="1" applyFill="1" applyBorder="1" applyAlignment="1" applyProtection="1">
      <alignment horizontal="left" vertical="center" wrapText="1"/>
    </xf>
    <xf numFmtId="0" fontId="109" fillId="8" borderId="17" xfId="0" applyFont="1" applyFill="1" applyBorder="1" applyAlignment="1" applyProtection="1">
      <alignment horizontal="left" vertical="center" wrapText="1"/>
    </xf>
    <xf numFmtId="0" fontId="109" fillId="8" borderId="1" xfId="0" applyFont="1" applyFill="1" applyBorder="1" applyAlignment="1" applyProtection="1">
      <alignment horizontal="left" vertical="center" wrapText="1"/>
    </xf>
    <xf numFmtId="182" fontId="43" fillId="5" borderId="3" xfId="0" applyNumberFormat="1" applyFont="1" applyFill="1" applyBorder="1" applyAlignment="1" applyProtection="1">
      <alignment horizontal="left" vertical="center" shrinkToFit="1"/>
    </xf>
    <xf numFmtId="0" fontId="43" fillId="5" borderId="19" xfId="0" applyFont="1" applyFill="1" applyBorder="1" applyAlignment="1" applyProtection="1">
      <alignment horizontal="left" vertical="center" wrapText="1"/>
    </xf>
    <xf numFmtId="0" fontId="102" fillId="5" borderId="7" xfId="0" applyFont="1" applyFill="1" applyBorder="1" applyAlignment="1" applyProtection="1">
      <alignment horizontal="left" vertical="center" wrapText="1"/>
    </xf>
    <xf numFmtId="0" fontId="102" fillId="5" borderId="8" xfId="0" applyFont="1" applyFill="1" applyBorder="1" applyAlignment="1" applyProtection="1">
      <alignment horizontal="left" vertical="center" wrapText="1"/>
    </xf>
    <xf numFmtId="0" fontId="102" fillId="5" borderId="1" xfId="0" applyFont="1" applyFill="1" applyBorder="1" applyAlignment="1" applyProtection="1">
      <alignment horizontal="left" vertical="center" shrinkToFit="1"/>
    </xf>
    <xf numFmtId="0" fontId="102" fillId="5" borderId="6" xfId="0" applyFont="1" applyFill="1" applyBorder="1" applyAlignment="1" applyProtection="1">
      <alignment horizontal="left" vertical="center" shrinkToFit="1"/>
    </xf>
    <xf numFmtId="0" fontId="102" fillId="5" borderId="1" xfId="0" applyFont="1" applyFill="1" applyBorder="1" applyAlignment="1" applyProtection="1">
      <alignment horizontal="left" vertical="center" wrapText="1"/>
    </xf>
    <xf numFmtId="0" fontId="102" fillId="5" borderId="6" xfId="0" applyFont="1" applyFill="1" applyBorder="1" applyAlignment="1" applyProtection="1">
      <alignment horizontal="left" vertical="center" wrapText="1"/>
    </xf>
    <xf numFmtId="0" fontId="48" fillId="0" borderId="7" xfId="0" applyFont="1" applyFill="1" applyBorder="1" applyAlignment="1" applyProtection="1">
      <alignment horizontal="left" vertical="center" shrinkToFit="1"/>
      <protection locked="0"/>
    </xf>
    <xf numFmtId="0" fontId="48" fillId="0" borderId="1" xfId="0" applyFont="1" applyFill="1" applyBorder="1" applyAlignment="1" applyProtection="1">
      <alignment horizontal="left" vertical="center" shrinkToFit="1"/>
      <protection locked="0"/>
    </xf>
    <xf numFmtId="0" fontId="42" fillId="5" borderId="46" xfId="0" applyFont="1" applyFill="1" applyBorder="1" applyAlignment="1" applyProtection="1">
      <alignment horizontal="center" vertical="center" wrapText="1"/>
    </xf>
    <xf numFmtId="0" fontId="42" fillId="5" borderId="47" xfId="0" applyFont="1" applyFill="1" applyBorder="1" applyAlignment="1" applyProtection="1">
      <alignment horizontal="center" vertical="center" wrapText="1"/>
    </xf>
    <xf numFmtId="0" fontId="42" fillId="5" borderId="38" xfId="0" applyFont="1" applyFill="1" applyBorder="1" applyAlignment="1" applyProtection="1">
      <alignment horizontal="center" vertical="center" wrapText="1"/>
    </xf>
    <xf numFmtId="0" fontId="198" fillId="8" borderId="2" xfId="0" applyFont="1" applyFill="1" applyBorder="1" applyAlignment="1" applyProtection="1">
      <alignment horizontal="left" vertical="center"/>
    </xf>
    <xf numFmtId="0" fontId="198" fillId="8" borderId="51" xfId="0" applyFont="1" applyFill="1" applyBorder="1" applyAlignment="1" applyProtection="1">
      <alignment horizontal="left" vertical="center"/>
    </xf>
    <xf numFmtId="0" fontId="248" fillId="5" borderId="1" xfId="0" applyFont="1" applyFill="1" applyBorder="1" applyAlignment="1" applyProtection="1">
      <alignment horizontal="left" vertical="center" wrapText="1"/>
    </xf>
    <xf numFmtId="0" fontId="43" fillId="5" borderId="6" xfId="0" applyFont="1" applyFill="1" applyBorder="1" applyAlignment="1" applyProtection="1">
      <alignment horizontal="left" vertical="center" wrapText="1"/>
    </xf>
    <xf numFmtId="0" fontId="43" fillId="6" borderId="2" xfId="0" applyFont="1" applyFill="1" applyBorder="1" applyAlignment="1" applyProtection="1">
      <alignment horizontal="left" vertical="center" wrapText="1"/>
      <protection locked="0"/>
    </xf>
    <xf numFmtId="0" fontId="43" fillId="6"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105" fillId="5" borderId="119" xfId="0" applyFont="1" applyFill="1" applyBorder="1" applyAlignment="1" applyProtection="1">
      <alignment vertical="center" wrapText="1"/>
    </xf>
    <xf numFmtId="0" fontId="105" fillId="5" borderId="120" xfId="0" applyFont="1" applyFill="1" applyBorder="1" applyAlignment="1" applyProtection="1">
      <alignment vertical="center" wrapText="1"/>
    </xf>
    <xf numFmtId="10" fontId="76" fillId="5" borderId="1" xfId="0" applyNumberFormat="1" applyFont="1" applyFill="1" applyBorder="1" applyAlignment="1" applyProtection="1">
      <alignment horizontal="left" vertical="center" wrapText="1"/>
    </xf>
    <xf numFmtId="0" fontId="198" fillId="8" borderId="3" xfId="0" applyFont="1" applyFill="1" applyBorder="1" applyAlignment="1" applyProtection="1">
      <alignment horizontal="left" vertical="center"/>
    </xf>
    <xf numFmtId="0" fontId="43" fillId="5" borderId="58" xfId="0" applyFont="1" applyFill="1" applyBorder="1" applyAlignment="1" applyProtection="1">
      <alignment horizontal="left" vertical="center"/>
    </xf>
    <xf numFmtId="0" fontId="43" fillId="5" borderId="50" xfId="0" applyFont="1" applyFill="1" applyBorder="1" applyAlignment="1" applyProtection="1">
      <alignment horizontal="left" vertical="center"/>
    </xf>
    <xf numFmtId="0" fontId="43" fillId="5" borderId="34" xfId="0" applyFont="1" applyFill="1" applyBorder="1" applyAlignment="1" applyProtection="1">
      <alignment horizontal="left" vertical="center"/>
    </xf>
    <xf numFmtId="0" fontId="48" fillId="5" borderId="80" xfId="0" applyFont="1" applyFill="1" applyBorder="1" applyAlignment="1" applyProtection="1">
      <alignment horizontal="left" vertical="center" wrapText="1"/>
    </xf>
    <xf numFmtId="0" fontId="41" fillId="5" borderId="0" xfId="0" applyFont="1" applyFill="1" applyBorder="1" applyAlignment="1" applyProtection="1">
      <alignment horizontal="center" vertical="center" wrapText="1"/>
    </xf>
    <xf numFmtId="0" fontId="117" fillId="8" borderId="1" xfId="0" applyFont="1" applyFill="1" applyBorder="1" applyAlignment="1" applyProtection="1">
      <alignment horizontal="center" vertical="center" wrapText="1"/>
    </xf>
    <xf numFmtId="0" fontId="117"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92" fontId="246" fillId="8" borderId="1" xfId="0" applyNumberFormat="1" applyFont="1" applyFill="1" applyBorder="1" applyAlignment="1" applyProtection="1">
      <alignment horizontal="left" vertical="center" wrapText="1"/>
    </xf>
    <xf numFmtId="0" fontId="48" fillId="5" borderId="63" xfId="0" applyFont="1" applyFill="1" applyBorder="1" applyAlignment="1" applyProtection="1">
      <alignment horizontal="left" vertical="center" wrapText="1"/>
    </xf>
    <xf numFmtId="0" fontId="48" fillId="5" borderId="24" xfId="0" applyFont="1" applyFill="1" applyBorder="1" applyAlignment="1" applyProtection="1">
      <alignment horizontal="left" vertical="center" wrapText="1"/>
    </xf>
    <xf numFmtId="0" fontId="102" fillId="5" borderId="23" xfId="0" applyFont="1" applyFill="1" applyBorder="1" applyAlignment="1" applyProtection="1">
      <alignment horizontal="left" vertical="center" wrapText="1"/>
    </xf>
    <xf numFmtId="0" fontId="227" fillId="5" borderId="121" xfId="0" applyFont="1" applyFill="1" applyBorder="1" applyAlignment="1" applyProtection="1">
      <alignment horizontal="left" vertical="center"/>
    </xf>
    <xf numFmtId="0" fontId="102" fillId="5" borderId="0" xfId="0" applyFont="1" applyFill="1" applyBorder="1" applyAlignment="1" applyProtection="1">
      <alignment horizontal="left" vertical="center"/>
    </xf>
    <xf numFmtId="0" fontId="42" fillId="5" borderId="63" xfId="0" applyFont="1" applyFill="1" applyBorder="1" applyAlignment="1" applyProtection="1">
      <alignment horizontal="center"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102" fillId="0" borderId="7" xfId="0" applyFont="1" applyFill="1" applyBorder="1" applyAlignment="1" applyProtection="1">
      <alignment horizontal="left" vertical="center" wrapText="1"/>
      <protection locked="0"/>
    </xf>
    <xf numFmtId="0" fontId="48" fillId="0" borderId="19" xfId="0" applyFont="1" applyFill="1" applyBorder="1" applyAlignment="1" applyProtection="1">
      <alignment horizontal="left" vertical="center" wrapText="1"/>
      <protection locked="0"/>
    </xf>
    <xf numFmtId="0" fontId="48" fillId="0" borderId="3" xfId="0" applyFont="1" applyFill="1" applyBorder="1" applyAlignment="1" applyProtection="1">
      <alignment horizontal="left" vertical="center" wrapText="1"/>
      <protection locked="0"/>
    </xf>
    <xf numFmtId="0" fontId="42" fillId="5" borderId="4" xfId="0" applyFont="1" applyFill="1" applyBorder="1" applyAlignment="1" applyProtection="1">
      <alignment horizontal="center" vertical="center" wrapText="1"/>
    </xf>
    <xf numFmtId="0" fontId="42" fillId="5" borderId="11" xfId="0" applyFont="1" applyFill="1" applyBorder="1" applyAlignment="1" applyProtection="1">
      <alignment horizontal="center" vertical="center" wrapText="1"/>
    </xf>
    <xf numFmtId="0" fontId="42" fillId="5" borderId="31" xfId="0" applyFont="1" applyFill="1" applyBorder="1" applyAlignment="1" applyProtection="1">
      <alignment horizontal="center" vertical="center" wrapText="1"/>
    </xf>
    <xf numFmtId="0" fontId="50" fillId="5" borderId="39" xfId="0" applyFont="1" applyFill="1" applyBorder="1" applyAlignment="1" applyProtection="1">
      <alignment horizontal="left" vertical="center" wrapText="1"/>
    </xf>
    <xf numFmtId="0" fontId="50" fillId="5" borderId="0" xfId="0" applyFont="1" applyFill="1" applyBorder="1" applyAlignment="1" applyProtection="1">
      <alignment horizontal="left" vertical="center" wrapText="1"/>
    </xf>
    <xf numFmtId="10" fontId="43" fillId="5" borderId="1" xfId="0" applyNumberFormat="1" applyFont="1" applyFill="1" applyBorder="1" applyAlignment="1" applyProtection="1">
      <alignment horizontal="left" vertical="center" wrapText="1"/>
    </xf>
    <xf numFmtId="0" fontId="102" fillId="8" borderId="18" xfId="0" applyFont="1" applyFill="1" applyBorder="1" applyAlignment="1" applyProtection="1">
      <alignment horizontal="left" vertical="center" wrapText="1"/>
    </xf>
    <xf numFmtId="0" fontId="102" fillId="8" borderId="17"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xf>
    <xf numFmtId="0" fontId="43" fillId="8" borderId="2" xfId="0" applyFont="1" applyFill="1" applyBorder="1" applyAlignment="1" applyProtection="1">
      <alignment horizontal="left" vertical="center"/>
    </xf>
    <xf numFmtId="0" fontId="43" fillId="8" borderId="51" xfId="0" applyFont="1" applyFill="1" applyBorder="1" applyAlignment="1" applyProtection="1">
      <alignment horizontal="left" vertical="center"/>
    </xf>
    <xf numFmtId="0" fontId="103" fillId="8" borderId="1" xfId="0" applyFont="1" applyFill="1" applyBorder="1" applyAlignment="1" applyProtection="1">
      <alignment horizontal="left" vertical="center" wrapText="1"/>
    </xf>
    <xf numFmtId="0" fontId="135" fillId="8" borderId="1" xfId="0" applyFont="1" applyFill="1" applyBorder="1" applyAlignment="1" applyProtection="1">
      <alignment horizontal="left" vertical="center" wrapText="1"/>
    </xf>
    <xf numFmtId="0" fontId="43" fillId="8" borderId="3" xfId="0" applyFont="1" applyFill="1" applyBorder="1" applyAlignment="1" applyProtection="1">
      <alignment horizontal="left" vertical="center"/>
    </xf>
    <xf numFmtId="0" fontId="227" fillId="5" borderId="0" xfId="0" applyFont="1" applyFill="1" applyAlignment="1" applyProtection="1">
      <alignment horizontal="center" vertical="center"/>
    </xf>
    <xf numFmtId="0" fontId="173" fillId="5" borderId="1" xfId="0" applyFont="1" applyFill="1" applyBorder="1" applyAlignment="1" applyProtection="1">
      <alignment horizontal="left" vertical="center" wrapText="1"/>
    </xf>
    <xf numFmtId="0" fontId="103" fillId="8" borderId="1" xfId="0" applyFont="1" applyFill="1" applyBorder="1" applyAlignment="1" applyProtection="1">
      <alignment horizontal="center" vertical="center" wrapText="1"/>
    </xf>
    <xf numFmtId="0" fontId="135" fillId="0" borderId="1" xfId="0" applyFont="1" applyFill="1" applyBorder="1" applyAlignment="1" applyProtection="1">
      <alignment horizontal="left" vertical="center" wrapText="1"/>
    </xf>
    <xf numFmtId="192" fontId="135" fillId="8" borderId="1" xfId="0" applyNumberFormat="1" applyFont="1" applyFill="1" applyBorder="1" applyAlignment="1" applyProtection="1">
      <alignment horizontal="left" vertical="center" wrapText="1"/>
    </xf>
    <xf numFmtId="0" fontId="118" fillId="5" borderId="14" xfId="0" applyFont="1" applyFill="1" applyBorder="1" applyAlignment="1" applyProtection="1">
      <alignment horizontal="left" vertical="center" wrapText="1"/>
    </xf>
    <xf numFmtId="0" fontId="118" fillId="5" borderId="81" xfId="0" applyFont="1" applyFill="1" applyBorder="1" applyAlignment="1" applyProtection="1">
      <alignment horizontal="left" vertical="center" wrapText="1"/>
    </xf>
    <xf numFmtId="0" fontId="148" fillId="11" borderId="2" xfId="0" applyFont="1" applyFill="1" applyBorder="1" applyAlignment="1">
      <alignment horizontal="left" vertical="center"/>
    </xf>
    <xf numFmtId="0" fontId="148" fillId="11" borderId="51" xfId="0" applyFont="1" applyFill="1" applyBorder="1" applyAlignment="1">
      <alignment horizontal="left" vertical="center"/>
    </xf>
    <xf numFmtId="0" fontId="148" fillId="11" borderId="3" xfId="0" applyFont="1" applyFill="1" applyBorder="1" applyAlignment="1">
      <alignment horizontal="left" vertical="center"/>
    </xf>
    <xf numFmtId="0" fontId="137" fillId="11" borderId="1" xfId="0" applyFont="1" applyFill="1" applyBorder="1" applyAlignment="1">
      <alignment horizontal="center" vertical="center"/>
    </xf>
    <xf numFmtId="0" fontId="17" fillId="0" borderId="1" xfId="0" applyFont="1" applyBorder="1" applyAlignment="1">
      <alignment horizontal="center"/>
    </xf>
    <xf numFmtId="0" fontId="17" fillId="0" borderId="1" xfId="0" applyFont="1" applyBorder="1" applyAlignment="1"/>
    <xf numFmtId="0" fontId="137" fillId="5" borderId="7" xfId="0" applyFont="1" applyFill="1" applyBorder="1" applyAlignment="1">
      <alignment horizontal="left" vertical="center" wrapText="1"/>
    </xf>
    <xf numFmtId="0" fontId="17" fillId="0" borderId="1" xfId="0" applyFont="1" applyFill="1" applyBorder="1" applyAlignment="1">
      <alignment horizontal="center" vertical="center"/>
    </xf>
    <xf numFmtId="0" fontId="137" fillId="0" borderId="1" xfId="0" applyFont="1" applyFill="1" applyBorder="1" applyAlignment="1">
      <alignment horizontal="center" vertical="center"/>
    </xf>
    <xf numFmtId="0" fontId="137" fillId="5" borderId="1" xfId="0" applyFont="1" applyFill="1" applyBorder="1" applyAlignment="1">
      <alignment horizontal="left" vertical="center" wrapText="1"/>
    </xf>
    <xf numFmtId="0" fontId="148" fillId="5" borderId="52" xfId="0" applyFont="1" applyFill="1" applyBorder="1" applyAlignment="1">
      <alignment vertical="center"/>
    </xf>
    <xf numFmtId="0" fontId="148" fillId="5" borderId="36" xfId="0" applyFont="1" applyFill="1" applyBorder="1" applyAlignment="1">
      <alignment vertical="center"/>
    </xf>
    <xf numFmtId="0" fontId="148" fillId="5" borderId="27" xfId="0" applyFont="1" applyFill="1" applyBorder="1" applyAlignment="1">
      <alignment vertical="center"/>
    </xf>
    <xf numFmtId="0" fontId="148" fillId="5" borderId="29" xfId="0" applyFont="1" applyFill="1" applyBorder="1" applyAlignment="1">
      <alignment vertical="center"/>
    </xf>
    <xf numFmtId="0" fontId="148" fillId="5" borderId="40" xfId="0" applyFont="1" applyFill="1" applyBorder="1" applyAlignment="1">
      <alignment vertical="center"/>
    </xf>
    <xf numFmtId="0" fontId="148" fillId="5" borderId="70" xfId="0" applyFont="1" applyFill="1" applyBorder="1" applyAlignment="1">
      <alignment vertical="center"/>
    </xf>
    <xf numFmtId="0" fontId="146" fillId="5" borderId="19" xfId="0" applyFont="1" applyFill="1" applyBorder="1" applyAlignment="1">
      <alignment horizontal="left" vertical="center"/>
    </xf>
    <xf numFmtId="0" fontId="146" fillId="5" borderId="51" xfId="0" applyFont="1" applyFill="1" applyBorder="1" applyAlignment="1">
      <alignment horizontal="left" vertical="center"/>
    </xf>
    <xf numFmtId="0" fontId="146" fillId="5" borderId="3" xfId="0" applyFont="1" applyFill="1" applyBorder="1" applyAlignment="1">
      <alignment horizontal="left" vertical="center"/>
    </xf>
    <xf numFmtId="0" fontId="90" fillId="5" borderId="1" xfId="0" applyFont="1" applyFill="1" applyBorder="1" applyAlignment="1">
      <alignment horizontal="center" vertical="center"/>
    </xf>
    <xf numFmtId="0" fontId="90" fillId="5" borderId="6" xfId="0" applyFont="1" applyFill="1" applyBorder="1" applyAlignment="1">
      <alignment horizontal="center" vertical="center"/>
    </xf>
    <xf numFmtId="0" fontId="43" fillId="5" borderId="2" xfId="0" applyFont="1" applyFill="1" applyBorder="1" applyAlignment="1" applyProtection="1">
      <alignment horizontal="center" vertical="center"/>
    </xf>
    <xf numFmtId="0" fontId="43" fillId="5" borderId="51" xfId="0" applyFont="1" applyFill="1" applyBorder="1" applyAlignment="1" applyProtection="1">
      <alignment horizontal="center" vertical="center"/>
    </xf>
    <xf numFmtId="0" fontId="43" fillId="5" borderId="3" xfId="0" applyFont="1" applyFill="1" applyBorder="1" applyAlignment="1" applyProtection="1">
      <alignment horizontal="center" vertical="center"/>
    </xf>
    <xf numFmtId="0" fontId="43" fillId="5" borderId="72" xfId="0" applyFont="1" applyFill="1" applyBorder="1" applyAlignment="1" applyProtection="1">
      <alignment horizontal="center" vertical="center"/>
      <protection locked="0"/>
    </xf>
    <xf numFmtId="0" fontId="43" fillId="5" borderId="40" xfId="0" applyFont="1" applyFill="1" applyBorder="1" applyAlignment="1" applyProtection="1">
      <alignment horizontal="center" vertical="center"/>
      <protection locked="0"/>
    </xf>
    <xf numFmtId="0" fontId="43" fillId="5" borderId="70" xfId="0" applyFont="1" applyFill="1" applyBorder="1" applyAlignment="1" applyProtection="1">
      <alignment horizontal="center" vertical="center"/>
      <protection locked="0"/>
    </xf>
    <xf numFmtId="0" fontId="47" fillId="5" borderId="2" xfId="0" applyNumberFormat="1" applyFont="1" applyFill="1" applyBorder="1" applyAlignment="1" applyProtection="1">
      <alignment horizontal="left" vertical="center"/>
    </xf>
    <xf numFmtId="0" fontId="47" fillId="5" borderId="3" xfId="0" applyNumberFormat="1" applyFont="1" applyFill="1" applyBorder="1" applyAlignment="1" applyProtection="1">
      <alignment horizontal="left" vertical="center"/>
    </xf>
    <xf numFmtId="0" fontId="47" fillId="5" borderId="1" xfId="0" applyNumberFormat="1" applyFont="1" applyFill="1" applyBorder="1" applyAlignment="1" applyProtection="1">
      <alignment horizontal="left" vertical="center"/>
    </xf>
    <xf numFmtId="0" fontId="47" fillId="5" borderId="2"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6" fillId="18" borderId="1"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wrapText="1"/>
    </xf>
    <xf numFmtId="0" fontId="47" fillId="5" borderId="16" xfId="0" applyFont="1" applyFill="1" applyBorder="1" applyAlignment="1" applyProtection="1">
      <alignment horizontal="left" vertical="center" wrapText="1"/>
    </xf>
    <xf numFmtId="0" fontId="47" fillId="5" borderId="26" xfId="0" applyFont="1" applyFill="1" applyBorder="1" applyAlignment="1" applyProtection="1">
      <alignment horizontal="left" vertical="center" wrapText="1"/>
    </xf>
    <xf numFmtId="0" fontId="47" fillId="5" borderId="18" xfId="0" applyFont="1" applyFill="1" applyBorder="1" applyAlignment="1" applyProtection="1">
      <alignment horizontal="left" vertical="center" wrapText="1"/>
    </xf>
    <xf numFmtId="0" fontId="47" fillId="5" borderId="49" xfId="0" applyFont="1" applyFill="1" applyBorder="1" applyAlignment="1" applyProtection="1">
      <alignment horizontal="left" vertical="center" wrapText="1"/>
    </xf>
    <xf numFmtId="0" fontId="47" fillId="5" borderId="16" xfId="0" applyFont="1" applyFill="1" applyBorder="1" applyAlignment="1" applyProtection="1">
      <alignment horizontal="left" vertical="center" textRotation="255" wrapText="1"/>
    </xf>
    <xf numFmtId="0" fontId="47" fillId="5" borderId="26" xfId="0" applyFont="1" applyFill="1" applyBorder="1" applyAlignment="1" applyProtection="1">
      <alignment horizontal="left" vertical="center" textRotation="255" wrapText="1"/>
    </xf>
    <xf numFmtId="0" fontId="47" fillId="5" borderId="23" xfId="0" applyFont="1" applyFill="1" applyBorder="1" applyAlignment="1" applyProtection="1">
      <alignment horizontal="left" vertical="center" textRotation="255" wrapText="1"/>
    </xf>
    <xf numFmtId="0" fontId="47" fillId="5" borderId="49" xfId="0" applyFont="1" applyFill="1" applyBorder="1" applyAlignment="1" applyProtection="1">
      <alignment horizontal="left" vertical="center" textRotation="255" wrapText="1"/>
    </xf>
    <xf numFmtId="0" fontId="47" fillId="5" borderId="17" xfId="0" applyFont="1" applyFill="1" applyBorder="1" applyAlignment="1" applyProtection="1">
      <alignment horizontal="left" vertical="center" textRotation="255" wrapText="1"/>
    </xf>
    <xf numFmtId="0" fontId="178" fillId="0" borderId="16" xfId="0" applyFont="1" applyFill="1" applyBorder="1" applyAlignment="1" applyProtection="1">
      <alignment horizontal="left" vertical="center" wrapText="1"/>
      <protection locked="0"/>
    </xf>
    <xf numFmtId="0" fontId="178" fillId="0" borderId="58" xfId="0" applyFont="1" applyFill="1" applyBorder="1" applyAlignment="1" applyProtection="1">
      <alignment horizontal="left" vertical="center" wrapText="1"/>
      <protection locked="0"/>
    </xf>
    <xf numFmtId="0" fontId="178" fillId="0" borderId="7" xfId="0" applyFont="1" applyFill="1" applyBorder="1" applyAlignment="1" applyProtection="1">
      <alignment horizontal="left" vertical="center" wrapText="1"/>
      <protection locked="0"/>
    </xf>
    <xf numFmtId="0" fontId="178" fillId="0" borderId="6" xfId="0" applyFont="1" applyFill="1" applyBorder="1" applyAlignment="1" applyProtection="1">
      <alignment horizontal="left" vertical="center" wrapText="1"/>
      <protection locked="0"/>
    </xf>
    <xf numFmtId="0" fontId="40" fillId="5" borderId="2" xfId="0" applyFont="1" applyFill="1" applyBorder="1" applyAlignment="1" applyProtection="1">
      <alignment horizontal="left" vertical="center"/>
    </xf>
    <xf numFmtId="0" fontId="40" fillId="5" borderId="3" xfId="0" applyFont="1" applyFill="1" applyBorder="1" applyAlignment="1" applyProtection="1">
      <alignment horizontal="left" vertical="center"/>
    </xf>
    <xf numFmtId="0" fontId="47" fillId="5" borderId="35" xfId="0" applyFont="1" applyFill="1" applyBorder="1" applyAlignment="1" applyProtection="1">
      <alignment horizontal="left" vertical="center"/>
    </xf>
    <xf numFmtId="0" fontId="47" fillId="5" borderId="27" xfId="0" applyFont="1" applyFill="1" applyBorder="1" applyAlignment="1" applyProtection="1">
      <alignment horizontal="left" vertical="center"/>
    </xf>
    <xf numFmtId="0" fontId="47" fillId="5" borderId="60" xfId="0" applyFont="1" applyFill="1" applyBorder="1" applyAlignment="1" applyProtection="1">
      <alignment horizontal="left" vertical="center"/>
    </xf>
    <xf numFmtId="0" fontId="47" fillId="5" borderId="25" xfId="0" applyFont="1" applyFill="1" applyBorder="1" applyAlignment="1" applyProtection="1">
      <alignment horizontal="left" vertical="center"/>
    </xf>
    <xf numFmtId="0" fontId="47" fillId="5" borderId="64" xfId="0" applyFont="1" applyFill="1" applyBorder="1" applyAlignment="1" applyProtection="1">
      <alignment horizontal="left" vertical="center"/>
    </xf>
    <xf numFmtId="0" fontId="47" fillId="5" borderId="24" xfId="0" applyFont="1" applyFill="1" applyBorder="1" applyAlignment="1" applyProtection="1">
      <alignment horizontal="left" vertical="center"/>
    </xf>
    <xf numFmtId="0" fontId="40" fillId="5" borderId="51" xfId="0" applyFont="1" applyFill="1" applyBorder="1" applyAlignment="1" applyProtection="1">
      <alignment horizontal="left" vertical="center"/>
    </xf>
    <xf numFmtId="0" fontId="47" fillId="5" borderId="7" xfId="0" applyFont="1" applyFill="1" applyBorder="1" applyAlignment="1" applyProtection="1">
      <alignment horizontal="left" vertical="center" wrapText="1"/>
    </xf>
    <xf numFmtId="0" fontId="47" fillId="5" borderId="18" xfId="0" applyFont="1" applyFill="1" applyBorder="1" applyAlignment="1" applyProtection="1">
      <alignment horizontal="left" vertical="center"/>
    </xf>
    <xf numFmtId="0" fontId="47" fillId="5" borderId="49" xfId="0"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7" fillId="5" borderId="4" xfId="0" applyFont="1" applyFill="1" applyBorder="1" applyAlignment="1" applyProtection="1">
      <alignment horizontal="left" vertical="center" wrapText="1"/>
    </xf>
    <xf numFmtId="0" fontId="47" fillId="5" borderId="31" xfId="0" applyFont="1" applyFill="1" applyBorder="1" applyAlignment="1" applyProtection="1">
      <alignment horizontal="left" vertical="center" wrapText="1"/>
    </xf>
    <xf numFmtId="0" fontId="47" fillId="5" borderId="28"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0" xfId="0" applyFont="1" applyFill="1" applyBorder="1" applyAlignment="1" applyProtection="1">
      <alignment horizontal="left" vertical="center" wrapText="1"/>
    </xf>
    <xf numFmtId="0" fontId="47" fillId="5" borderId="25" xfId="0" applyFont="1" applyFill="1" applyBorder="1" applyAlignment="1" applyProtection="1">
      <alignment horizontal="left" vertical="center" wrapText="1"/>
    </xf>
    <xf numFmtId="0" fontId="47" fillId="5" borderId="64"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xf>
    <xf numFmtId="0" fontId="178" fillId="0" borderId="3" xfId="0" applyFont="1" applyFill="1" applyBorder="1" applyAlignment="1" applyProtection="1">
      <alignment horizontal="left" vertical="center" wrapText="1"/>
      <protection locked="0"/>
    </xf>
    <xf numFmtId="0" fontId="178" fillId="0" borderId="2" xfId="0" applyFont="1" applyFill="1" applyBorder="1" applyAlignment="1" applyProtection="1">
      <alignment horizontal="left" vertical="center" wrapText="1"/>
      <protection locked="0"/>
    </xf>
    <xf numFmtId="0" fontId="178" fillId="0" borderId="27" xfId="0" applyFont="1" applyFill="1" applyBorder="1" applyAlignment="1" applyProtection="1">
      <alignment horizontal="left" vertical="center" wrapText="1"/>
      <protection locked="0"/>
    </xf>
    <xf numFmtId="0" fontId="178" fillId="0" borderId="35" xfId="0" applyFont="1" applyFill="1" applyBorder="1" applyAlignment="1" applyProtection="1">
      <alignment horizontal="left" vertical="center" wrapText="1"/>
      <protection locked="0"/>
    </xf>
    <xf numFmtId="0" fontId="47" fillId="5" borderId="1" xfId="0" applyFont="1" applyFill="1" applyBorder="1" applyAlignment="1" applyProtection="1">
      <alignment horizontal="center" vertical="center" wrapText="1"/>
    </xf>
    <xf numFmtId="0" fontId="47" fillId="5" borderId="1" xfId="0" applyNumberFormat="1" applyFont="1" applyFill="1" applyBorder="1" applyAlignment="1" applyProtection="1">
      <alignment horizontal="center" vertical="center"/>
    </xf>
    <xf numFmtId="0" fontId="47" fillId="5" borderId="2" xfId="0" applyFont="1" applyFill="1" applyBorder="1" applyAlignment="1" applyProtection="1">
      <alignment horizontal="center" vertical="center" wrapText="1"/>
    </xf>
    <xf numFmtId="0" fontId="47" fillId="5" borderId="3" xfId="0" applyFont="1" applyFill="1" applyBorder="1" applyAlignment="1" applyProtection="1">
      <alignment horizontal="center" vertical="center" wrapText="1"/>
    </xf>
    <xf numFmtId="0" fontId="46" fillId="18" borderId="1" xfId="0" applyNumberFormat="1" applyFont="1" applyFill="1" applyBorder="1" applyAlignment="1" applyProtection="1">
      <alignment horizontal="center" vertical="center"/>
    </xf>
    <xf numFmtId="0" fontId="47" fillId="5" borderId="18" xfId="0" applyFont="1" applyFill="1" applyBorder="1" applyAlignment="1" applyProtection="1">
      <alignment horizontal="center" vertical="center" textRotation="255" wrapText="1"/>
    </xf>
    <xf numFmtId="0" fontId="47" fillId="5" borderId="49" xfId="0" applyFont="1" applyFill="1" applyBorder="1" applyAlignment="1" applyProtection="1">
      <alignment horizontal="center" vertical="center" textRotation="255" wrapText="1"/>
    </xf>
    <xf numFmtId="0" fontId="47" fillId="5" borderId="17" xfId="0" applyFont="1" applyFill="1" applyBorder="1" applyAlignment="1" applyProtection="1">
      <alignment horizontal="center" vertical="center" textRotation="255" wrapText="1"/>
    </xf>
    <xf numFmtId="0" fontId="40" fillId="5" borderId="2" xfId="0" applyFont="1" applyFill="1" applyBorder="1" applyAlignment="1" applyProtection="1">
      <alignment horizontal="center" vertical="center"/>
    </xf>
    <xf numFmtId="0" fontId="40" fillId="5" borderId="3" xfId="0" applyFont="1" applyFill="1" applyBorder="1" applyAlignment="1" applyProtection="1">
      <alignment horizontal="center" vertical="center"/>
    </xf>
    <xf numFmtId="0" fontId="47" fillId="5" borderId="35" xfId="0" applyFont="1" applyFill="1" applyBorder="1" applyAlignment="1" applyProtection="1">
      <alignment horizontal="center" vertical="center"/>
    </xf>
    <xf numFmtId="0" fontId="47" fillId="5" borderId="27" xfId="0" applyFont="1" applyFill="1" applyBorder="1" applyAlignment="1" applyProtection="1">
      <alignment horizontal="center" vertical="center"/>
    </xf>
    <xf numFmtId="0" fontId="47" fillId="5" borderId="60" xfId="0" applyFont="1" applyFill="1" applyBorder="1" applyAlignment="1" applyProtection="1">
      <alignment horizontal="center" vertical="center"/>
    </xf>
    <xf numFmtId="0" fontId="47" fillId="5" borderId="25"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0" fontId="47" fillId="5" borderId="24" xfId="0" applyFont="1" applyFill="1" applyBorder="1" applyAlignment="1" applyProtection="1">
      <alignment horizontal="center" vertical="center"/>
    </xf>
    <xf numFmtId="0" fontId="40" fillId="5" borderId="51" xfId="0" applyFont="1" applyFill="1" applyBorder="1" applyAlignment="1" applyProtection="1">
      <alignment horizontal="center" vertical="center"/>
    </xf>
    <xf numFmtId="0" fontId="47" fillId="5" borderId="18" xfId="0" applyFont="1" applyFill="1" applyBorder="1" applyAlignment="1" applyProtection="1">
      <alignment horizontal="center" vertical="center" wrapText="1"/>
    </xf>
    <xf numFmtId="0" fontId="47" fillId="5" borderId="49"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7" fillId="5" borderId="18" xfId="0" applyFont="1" applyFill="1" applyBorder="1" applyAlignment="1" applyProtection="1">
      <alignment horizontal="center" vertical="center"/>
    </xf>
    <xf numFmtId="0" fontId="47" fillId="5" borderId="49" xfId="0" applyFont="1" applyFill="1" applyBorder="1" applyAlignment="1" applyProtection="1">
      <alignment horizontal="center" vertical="center"/>
    </xf>
    <xf numFmtId="0" fontId="47" fillId="5" borderId="17" xfId="0" applyFont="1" applyFill="1" applyBorder="1" applyAlignment="1" applyProtection="1">
      <alignment horizontal="center" vertical="center"/>
    </xf>
    <xf numFmtId="0" fontId="47" fillId="5" borderId="4" xfId="0" applyFont="1" applyFill="1" applyBorder="1" applyAlignment="1" applyProtection="1">
      <alignment horizontal="center" vertical="center" wrapText="1"/>
    </xf>
    <xf numFmtId="0" fontId="47" fillId="5" borderId="31" xfId="0" applyFont="1" applyFill="1" applyBorder="1" applyAlignment="1" applyProtection="1">
      <alignment horizontal="center" vertical="center" wrapText="1"/>
    </xf>
    <xf numFmtId="0" fontId="47" fillId="5" borderId="28"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xf>
    <xf numFmtId="0" fontId="47" fillId="5" borderId="35" xfId="0" applyFont="1" applyFill="1" applyBorder="1" applyAlignment="1" applyProtection="1">
      <alignment horizontal="center" vertical="center" wrapText="1"/>
    </xf>
    <xf numFmtId="0" fontId="47" fillId="5" borderId="27" xfId="0" applyFont="1" applyFill="1" applyBorder="1" applyAlignment="1" applyProtection="1">
      <alignment horizontal="center" vertical="center" wrapText="1"/>
    </xf>
    <xf numFmtId="0" fontId="47" fillId="5" borderId="60" xfId="0" applyFont="1" applyFill="1" applyBorder="1" applyAlignment="1" applyProtection="1">
      <alignment horizontal="center" vertical="center" wrapText="1"/>
    </xf>
    <xf numFmtId="0" fontId="47" fillId="5" borderId="25" xfId="0" applyFont="1" applyFill="1" applyBorder="1" applyAlignment="1" applyProtection="1">
      <alignment horizontal="center" vertical="center" wrapText="1"/>
    </xf>
    <xf numFmtId="0" fontId="47" fillId="5" borderId="64" xfId="0" applyFont="1" applyFill="1" applyBorder="1" applyAlignment="1" applyProtection="1">
      <alignment horizontal="center" vertical="center" wrapText="1"/>
    </xf>
    <xf numFmtId="0" fontId="47" fillId="5" borderId="24"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2" xfId="0" applyFont="1" applyFill="1" applyBorder="1" applyAlignment="1" applyProtection="1">
      <alignment horizontal="center" vertical="center" wrapText="1"/>
      <protection locked="0"/>
    </xf>
    <xf numFmtId="0" fontId="178" fillId="0" borderId="7" xfId="0" applyFont="1" applyFill="1" applyBorder="1" applyAlignment="1" applyProtection="1">
      <alignment horizontal="center" vertical="center" wrapText="1"/>
      <protection locked="0"/>
    </xf>
    <xf numFmtId="0" fontId="178" fillId="0" borderId="6" xfId="0" applyFont="1" applyFill="1" applyBorder="1" applyAlignment="1" applyProtection="1">
      <alignment horizontal="center" vertical="center" wrapText="1"/>
      <protection locked="0"/>
    </xf>
    <xf numFmtId="0" fontId="178" fillId="0" borderId="16" xfId="0" applyFont="1" applyFill="1" applyBorder="1" applyAlignment="1" applyProtection="1">
      <alignment horizontal="center" vertical="center" wrapText="1"/>
      <protection locked="0"/>
    </xf>
    <xf numFmtId="0" fontId="178" fillId="0" borderId="58" xfId="0" applyFont="1" applyFill="1" applyBorder="1" applyAlignment="1" applyProtection="1">
      <alignment horizontal="center" vertical="center" wrapText="1"/>
      <protection locked="0"/>
    </xf>
    <xf numFmtId="0" fontId="178" fillId="0" borderId="27" xfId="0" applyFont="1" applyFill="1" applyBorder="1" applyAlignment="1" applyProtection="1">
      <alignment horizontal="center" vertical="center" wrapText="1"/>
      <protection locked="0"/>
    </xf>
    <xf numFmtId="0" fontId="178" fillId="0" borderId="35" xfId="0" applyFont="1" applyFill="1" applyBorder="1" applyAlignment="1" applyProtection="1">
      <alignment horizontal="center" vertical="center" wrapText="1"/>
      <protection locked="0"/>
    </xf>
    <xf numFmtId="0" fontId="223" fillId="0" borderId="3" xfId="0" applyFont="1" applyFill="1" applyBorder="1" applyAlignment="1" applyProtection="1">
      <alignment horizontal="center" vertical="center" wrapText="1"/>
      <protection locked="0"/>
    </xf>
    <xf numFmtId="0" fontId="223" fillId="0" borderId="7" xfId="0" applyFont="1" applyFill="1" applyBorder="1" applyAlignment="1" applyProtection="1">
      <alignment horizontal="center" vertical="center" wrapText="1"/>
      <protection locked="0"/>
    </xf>
    <xf numFmtId="186" fontId="47" fillId="5" borderId="1" xfId="0" applyNumberFormat="1" applyFont="1" applyFill="1" applyBorder="1" applyAlignment="1" applyProtection="1">
      <alignment horizontal="left" vertical="center"/>
    </xf>
    <xf numFmtId="186" fontId="46" fillId="18" borderId="1" xfId="0" applyNumberFormat="1" applyFont="1" applyFill="1" applyBorder="1" applyAlignment="1" applyProtection="1">
      <alignment horizontal="left" vertical="center"/>
    </xf>
    <xf numFmtId="0" fontId="47" fillId="5" borderId="18" xfId="0" applyFont="1" applyFill="1" applyBorder="1" applyAlignment="1" applyProtection="1">
      <alignment horizontal="left" vertical="center" textRotation="255" wrapText="1"/>
    </xf>
    <xf numFmtId="186" fontId="46" fillId="18" borderId="1" xfId="0" applyNumberFormat="1" applyFont="1" applyFill="1" applyBorder="1" applyAlignment="1" applyProtection="1">
      <alignment horizontal="center" vertical="center"/>
    </xf>
    <xf numFmtId="186" fontId="47" fillId="5" borderId="1" xfId="0" applyNumberFormat="1" applyFont="1" applyFill="1" applyBorder="1" applyAlignment="1" applyProtection="1">
      <alignment horizontal="center" vertical="center"/>
    </xf>
    <xf numFmtId="0" fontId="302" fillId="0" borderId="1" xfId="0" applyFont="1" applyBorder="1" applyAlignment="1">
      <alignment horizontal="center" vertical="center" wrapText="1"/>
    </xf>
    <xf numFmtId="0" fontId="302" fillId="0" borderId="1" xfId="0" applyFont="1" applyBorder="1" applyAlignment="1">
      <alignment horizontal="left" vertical="center" wrapText="1"/>
    </xf>
    <xf numFmtId="0" fontId="302" fillId="6" borderId="1" xfId="0" applyFont="1" applyFill="1" applyBorder="1" applyAlignment="1">
      <alignment horizontal="center" vertical="center" wrapText="1"/>
    </xf>
    <xf numFmtId="0" fontId="302" fillId="0" borderId="2" xfId="0" applyFont="1" applyBorder="1" applyAlignment="1">
      <alignment horizontal="center" vertical="center" wrapText="1"/>
    </xf>
    <xf numFmtId="0" fontId="302" fillId="0" borderId="3" xfId="0" applyFont="1" applyBorder="1" applyAlignment="1">
      <alignment horizontal="center" vertical="center" wrapText="1"/>
    </xf>
    <xf numFmtId="31" fontId="302"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31" fontId="31" fillId="0" borderId="1" xfId="0" applyNumberFormat="1" applyFont="1" applyBorder="1" applyAlignment="1">
      <alignment horizontal="center" vertical="center" wrapText="1"/>
    </xf>
    <xf numFmtId="0" fontId="126" fillId="0" borderId="65" xfId="0" applyFont="1" applyBorder="1" applyAlignment="1">
      <alignment horizontal="center" vertical="center" wrapText="1"/>
    </xf>
    <xf numFmtId="0" fontId="167" fillId="6"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0" fillId="0" borderId="49" xfId="0" applyBorder="1" applyAlignment="1">
      <alignment horizontal="center" vertical="center" wrapText="1"/>
    </xf>
    <xf numFmtId="0" fontId="0" fillId="0" borderId="17" xfId="0" applyBorder="1" applyAlignment="1">
      <alignment horizontal="center" vertical="center" wrapText="1"/>
    </xf>
    <xf numFmtId="14" fontId="0" fillId="0" borderId="18" xfId="0" applyNumberFormat="1" applyBorder="1" applyAlignment="1">
      <alignment horizontal="center" vertical="center" wrapText="1"/>
    </xf>
    <xf numFmtId="14" fontId="0" fillId="0" borderId="49" xfId="0" applyNumberFormat="1" applyBorder="1" applyAlignment="1">
      <alignment horizontal="center" vertical="center" wrapText="1"/>
    </xf>
    <xf numFmtId="14" fontId="0" fillId="0" borderId="17" xfId="0" applyNumberFormat="1" applyBorder="1" applyAlignment="1">
      <alignment horizontal="center" vertical="center" wrapText="1"/>
    </xf>
    <xf numFmtId="10" fontId="112" fillId="0" borderId="1" xfId="8" applyNumberFormat="1" applyFont="1" applyBorder="1" applyAlignment="1">
      <alignment horizontal="center" vertical="center" wrapText="1" shrinkToFit="1"/>
    </xf>
    <xf numFmtId="0" fontId="112" fillId="0" borderId="2" xfId="8" applyFont="1" applyBorder="1" applyAlignment="1">
      <alignment horizontal="center" vertical="center" wrapText="1" shrinkToFit="1"/>
    </xf>
    <xf numFmtId="0" fontId="112" fillId="0" borderId="51" xfId="8" applyFont="1" applyBorder="1" applyAlignment="1">
      <alignment horizontal="center" vertical="center" wrapText="1" shrinkToFit="1"/>
    </xf>
    <xf numFmtId="0" fontId="112" fillId="0" borderId="3" xfId="8" applyFont="1" applyBorder="1" applyAlignment="1">
      <alignment horizontal="center" vertical="center" wrapText="1" shrinkToFit="1"/>
    </xf>
    <xf numFmtId="0" fontId="112" fillId="0" borderId="1" xfId="8" applyFont="1" applyBorder="1" applyAlignment="1">
      <alignment horizontal="center" vertical="center" wrapText="1" shrinkToFit="1"/>
    </xf>
    <xf numFmtId="179" fontId="147" fillId="0" borderId="1" xfId="8" applyNumberFormat="1" applyFont="1" applyBorder="1" applyAlignment="1">
      <alignment horizontal="center" vertical="center" wrapText="1"/>
    </xf>
    <xf numFmtId="0" fontId="264" fillId="23" borderId="0" xfId="8" applyFont="1" applyFill="1" applyAlignment="1">
      <alignment horizontal="center" vertical="center" wrapText="1"/>
    </xf>
    <xf numFmtId="0" fontId="147" fillId="0" borderId="1" xfId="8" applyFont="1" applyBorder="1" applyAlignment="1">
      <alignment horizontal="center" vertical="center" wrapText="1"/>
    </xf>
    <xf numFmtId="0" fontId="112" fillId="0" borderId="1" xfId="8" applyFont="1" applyBorder="1" applyAlignment="1">
      <alignment horizontal="left" vertical="center" wrapText="1" shrinkToFit="1"/>
    </xf>
    <xf numFmtId="179" fontId="112" fillId="0" borderId="35" xfId="8" applyNumberFormat="1" applyFont="1" applyBorder="1" applyAlignment="1">
      <alignment horizontal="center" vertical="center" wrapText="1" shrinkToFit="1"/>
    </xf>
    <xf numFmtId="179" fontId="112" fillId="0" borderId="36" xfId="8" applyNumberFormat="1" applyFont="1" applyBorder="1" applyAlignment="1">
      <alignment horizontal="center" vertical="center" wrapText="1" shrinkToFit="1"/>
    </xf>
    <xf numFmtId="179" fontId="112" fillId="0" borderId="27" xfId="8" applyNumberFormat="1" applyFont="1" applyBorder="1" applyAlignment="1">
      <alignment horizontal="center" vertical="center" wrapText="1" shrinkToFit="1"/>
    </xf>
    <xf numFmtId="179" fontId="112" fillId="0" borderId="64" xfId="8" applyNumberFormat="1" applyFont="1" applyBorder="1" applyAlignment="1">
      <alignment horizontal="center" vertical="center" wrapText="1" shrinkToFit="1"/>
    </xf>
    <xf numFmtId="179" fontId="112" fillId="0" borderId="65" xfId="8" applyNumberFormat="1" applyFont="1" applyBorder="1" applyAlignment="1">
      <alignment horizontal="center" vertical="center" wrapText="1" shrinkToFit="1"/>
    </xf>
    <xf numFmtId="179" fontId="112" fillId="0" borderId="24" xfId="8" applyNumberFormat="1" applyFont="1" applyBorder="1" applyAlignment="1">
      <alignment horizontal="center" vertical="center" wrapText="1" shrinkToFit="1"/>
    </xf>
    <xf numFmtId="0" fontId="112" fillId="0" borderId="2" xfId="8" applyFont="1" applyBorder="1" applyAlignment="1">
      <alignment horizontal="right" vertical="center" wrapText="1" shrinkToFit="1"/>
    </xf>
    <xf numFmtId="0" fontId="112" fillId="0" borderId="51" xfId="8" applyFont="1" applyBorder="1" applyAlignment="1">
      <alignment horizontal="right" vertical="center" wrapText="1" shrinkToFit="1"/>
    </xf>
    <xf numFmtId="10" fontId="112" fillId="0" borderId="51" xfId="8" applyNumberFormat="1" applyFont="1" applyBorder="1" applyAlignment="1">
      <alignment horizontal="left" vertical="center" wrapText="1" shrinkToFit="1"/>
    </xf>
    <xf numFmtId="10" fontId="112" fillId="0" borderId="3" xfId="8" applyNumberFormat="1" applyFont="1" applyBorder="1" applyAlignment="1">
      <alignment horizontal="left" vertical="center" wrapText="1" shrinkToFit="1"/>
    </xf>
    <xf numFmtId="183" fontId="112" fillId="0" borderId="1" xfId="8" applyNumberFormat="1" applyFont="1" applyBorder="1" applyAlignment="1">
      <alignment horizontal="center" vertical="center" wrapText="1" shrinkToFit="1"/>
    </xf>
    <xf numFmtId="0" fontId="112" fillId="42" borderId="2" xfId="8" applyFont="1" applyFill="1" applyBorder="1" applyAlignment="1">
      <alignment horizontal="center" vertical="center" wrapText="1" shrinkToFit="1"/>
    </xf>
    <xf numFmtId="0" fontId="112" fillId="42" borderId="51" xfId="8" applyFont="1" applyFill="1" applyBorder="1" applyAlignment="1">
      <alignment horizontal="center" vertical="center" wrapText="1" shrinkToFit="1"/>
    </xf>
    <xf numFmtId="0" fontId="112" fillId="42" borderId="3" xfId="8" applyFont="1" applyFill="1" applyBorder="1" applyAlignment="1">
      <alignment horizontal="center" vertical="center" wrapText="1" shrinkToFit="1"/>
    </xf>
    <xf numFmtId="9" fontId="112" fillId="0" borderId="18" xfId="8" applyNumberFormat="1" applyFont="1" applyBorder="1" applyAlignment="1">
      <alignment horizontal="left" vertical="center" wrapText="1" shrinkToFit="1"/>
    </xf>
    <xf numFmtId="9" fontId="112" fillId="0" borderId="17" xfId="8" applyNumberFormat="1" applyFont="1" applyBorder="1" applyAlignment="1">
      <alignment horizontal="left" vertical="center" wrapText="1" shrinkToFit="1"/>
    </xf>
    <xf numFmtId="9" fontId="112" fillId="0" borderId="1" xfId="8" applyNumberFormat="1" applyFont="1" applyBorder="1" applyAlignment="1">
      <alignment horizontal="center" vertical="center" wrapText="1" shrinkToFit="1"/>
    </xf>
    <xf numFmtId="0" fontId="112" fillId="42" borderId="2" xfId="8" applyFont="1" applyFill="1" applyBorder="1" applyAlignment="1">
      <alignment horizontal="right" vertical="center" wrapText="1" shrinkToFit="1"/>
    </xf>
    <xf numFmtId="0" fontId="112" fillId="42" borderId="51" xfId="8" applyFont="1" applyFill="1" applyBorder="1" applyAlignment="1">
      <alignment horizontal="right" vertical="center" wrapText="1" shrinkToFit="1"/>
    </xf>
    <xf numFmtId="0" fontId="112" fillId="42" borderId="51" xfId="8" applyFont="1" applyFill="1" applyBorder="1" applyAlignment="1">
      <alignment horizontal="left" vertical="center" wrapText="1" shrinkToFit="1"/>
    </xf>
    <xf numFmtId="0" fontId="112" fillId="42" borderId="3" xfId="8" applyFont="1" applyFill="1" applyBorder="1" applyAlignment="1">
      <alignment horizontal="left" vertical="center" wrapText="1" shrinkToFit="1"/>
    </xf>
    <xf numFmtId="181" fontId="112" fillId="0" borderId="1" xfId="8" applyNumberFormat="1" applyFont="1" applyBorder="1" applyAlignment="1">
      <alignment horizontal="center" vertical="center" wrapText="1" shrinkToFit="1"/>
    </xf>
    <xf numFmtId="180" fontId="112" fillId="42" borderId="2" xfId="8" applyNumberFormat="1" applyFont="1" applyFill="1" applyBorder="1" applyAlignment="1">
      <alignment horizontal="right" vertical="center" wrapText="1" shrinkToFit="1"/>
    </xf>
    <xf numFmtId="180" fontId="112" fillId="42" borderId="51" xfId="8" applyNumberFormat="1" applyFont="1" applyFill="1" applyBorder="1" applyAlignment="1">
      <alignment horizontal="right" vertical="center" wrapText="1" shrinkToFit="1"/>
    </xf>
    <xf numFmtId="0" fontId="117" fillId="0" borderId="0" xfId="8" applyFont="1" applyAlignment="1">
      <alignment horizontal="center" vertical="center" wrapText="1"/>
    </xf>
    <xf numFmtId="0" fontId="94" fillId="0" borderId="1" xfId="8" applyBorder="1" applyAlignment="1">
      <alignment horizontal="center" vertical="center" wrapText="1"/>
    </xf>
    <xf numFmtId="0" fontId="112" fillId="0" borderId="35" xfId="8" applyFont="1" applyBorder="1" applyAlignment="1">
      <alignment horizontal="center" vertical="center" wrapText="1" shrinkToFit="1"/>
    </xf>
    <xf numFmtId="0" fontId="112" fillId="0" borderId="36" xfId="8" applyFont="1" applyBorder="1" applyAlignment="1">
      <alignment horizontal="center" vertical="center" wrapText="1" shrinkToFit="1"/>
    </xf>
    <xf numFmtId="0" fontId="112" fillId="0" borderId="27" xfId="8" applyFont="1" applyBorder="1" applyAlignment="1">
      <alignment horizontal="center" vertical="center" wrapText="1" shrinkToFit="1"/>
    </xf>
    <xf numFmtId="0" fontId="112" fillId="0" borderId="60" xfId="8" applyFont="1" applyBorder="1" applyAlignment="1">
      <alignment horizontal="center" vertical="center" wrapText="1" shrinkToFit="1"/>
    </xf>
    <xf numFmtId="0" fontId="112" fillId="0" borderId="0" xfId="8" applyFont="1" applyAlignment="1">
      <alignment horizontal="center" vertical="center" wrapText="1" shrinkToFit="1"/>
    </xf>
    <xf numFmtId="0" fontId="112" fillId="0" borderId="25" xfId="8" applyFont="1" applyBorder="1" applyAlignment="1">
      <alignment horizontal="center" vertical="center" wrapText="1" shrinkToFit="1"/>
    </xf>
    <xf numFmtId="0" fontId="112" fillId="0" borderId="64" xfId="8" applyFont="1" applyBorder="1" applyAlignment="1">
      <alignment horizontal="center" vertical="center" wrapText="1" shrinkToFit="1"/>
    </xf>
    <xf numFmtId="0" fontId="112" fillId="0" borderId="65" xfId="8" applyFont="1" applyBorder="1" applyAlignment="1">
      <alignment horizontal="center" vertical="center" wrapText="1" shrinkToFit="1"/>
    </xf>
    <xf numFmtId="0" fontId="112" fillId="0" borderId="24" xfId="8" applyFont="1" applyBorder="1" applyAlignment="1">
      <alignment horizontal="center" vertical="center" wrapText="1" shrinkToFit="1"/>
    </xf>
    <xf numFmtId="0" fontId="94" fillId="0" borderId="1" xfId="8" applyBorder="1" applyAlignment="1">
      <alignment horizontal="center" vertical="center" wrapText="1" shrinkToFit="1"/>
    </xf>
    <xf numFmtId="0" fontId="334" fillId="51" borderId="60" xfId="0" applyFont="1" applyFill="1" applyBorder="1" applyAlignment="1">
      <alignment horizontal="center" vertical="center"/>
    </xf>
    <xf numFmtId="0" fontId="334" fillId="51" borderId="0" xfId="0" applyFont="1" applyFill="1" applyBorder="1" applyAlignment="1">
      <alignment horizontal="center" vertical="center"/>
    </xf>
    <xf numFmtId="0" fontId="109" fillId="0" borderId="0" xfId="0" applyFont="1" applyAlignment="1">
      <alignment horizontal="center" vertical="center"/>
    </xf>
    <xf numFmtId="0" fontId="109" fillId="17" borderId="1" xfId="0" applyFont="1" applyFill="1" applyBorder="1" applyAlignment="1">
      <alignment horizontal="center" vertical="center"/>
    </xf>
    <xf numFmtId="0" fontId="109" fillId="43" borderId="1" xfId="0" applyFont="1" applyFill="1" applyBorder="1" applyAlignment="1">
      <alignment horizontal="center" vertical="center"/>
    </xf>
    <xf numFmtId="0" fontId="333" fillId="51" borderId="1" xfId="0" applyFont="1" applyFill="1" applyBorder="1" applyAlignment="1">
      <alignment horizontal="center" vertical="center"/>
    </xf>
    <xf numFmtId="0" fontId="90" fillId="9" borderId="2" xfId="25" applyFont="1" applyFill="1" applyBorder="1" applyAlignment="1">
      <alignment horizontal="center" vertical="center"/>
    </xf>
    <xf numFmtId="0" fontId="90" fillId="9" borderId="51" xfId="25" applyFont="1" applyFill="1" applyBorder="1" applyAlignment="1">
      <alignment horizontal="center" vertical="center"/>
    </xf>
    <xf numFmtId="0" fontId="90" fillId="9" borderId="3" xfId="25" applyFont="1" applyFill="1" applyBorder="1" applyAlignment="1">
      <alignment horizontal="center" vertical="center"/>
    </xf>
    <xf numFmtId="0" fontId="76" fillId="0" borderId="35" xfId="24" applyFont="1" applyBorder="1" applyAlignment="1">
      <alignment horizontal="center" vertical="center"/>
    </xf>
    <xf numFmtId="0" fontId="76" fillId="0" borderId="64" xfId="24" applyFont="1" applyBorder="1" applyAlignment="1">
      <alignment horizontal="center" vertical="center"/>
    </xf>
    <xf numFmtId="0" fontId="76" fillId="0" borderId="1" xfId="24" applyFont="1" applyBorder="1" applyAlignment="1">
      <alignment horizontal="center" vertical="center"/>
    </xf>
    <xf numFmtId="0" fontId="76" fillId="0" borderId="18" xfId="24" applyFont="1" applyBorder="1" applyAlignment="1">
      <alignment horizontal="center" vertical="center"/>
    </xf>
    <xf numFmtId="0" fontId="76" fillId="0" borderId="17" xfId="24" applyFont="1" applyBorder="1" applyAlignment="1">
      <alignment horizontal="center" vertical="center"/>
    </xf>
    <xf numFmtId="0" fontId="76" fillId="0" borderId="18" xfId="24" applyFont="1" applyBorder="1" applyAlignment="1">
      <alignment vertical="center"/>
    </xf>
    <xf numFmtId="0" fontId="76" fillId="0" borderId="17" xfId="24" applyFont="1" applyBorder="1" applyAlignment="1">
      <alignment vertical="center"/>
    </xf>
    <xf numFmtId="0" fontId="91" fillId="42" borderId="1" xfId="24" applyFont="1" applyFill="1" applyBorder="1" applyAlignment="1">
      <alignment horizontal="center" vertical="center"/>
    </xf>
    <xf numFmtId="0" fontId="76" fillId="0" borderId="49" xfId="24" applyFont="1" applyBorder="1" applyAlignment="1">
      <alignment horizontal="center" vertical="center"/>
    </xf>
    <xf numFmtId="0" fontId="17" fillId="0" borderId="18" xfId="26" applyFont="1" applyFill="1" applyBorder="1" applyAlignment="1">
      <alignment horizontal="center" vertical="center"/>
    </xf>
    <xf numFmtId="0" fontId="17" fillId="0" borderId="49" xfId="26" applyFont="1" applyFill="1" applyBorder="1" applyAlignment="1">
      <alignment horizontal="center" vertical="center"/>
    </xf>
    <xf numFmtId="0" fontId="17" fillId="0" borderId="17" xfId="26" applyFont="1" applyFill="1" applyBorder="1" applyAlignment="1">
      <alignment horizontal="center" vertical="center"/>
    </xf>
    <xf numFmtId="0" fontId="76" fillId="0" borderId="49" xfId="24" applyFont="1" applyBorder="1" applyAlignment="1">
      <alignment vertical="center"/>
    </xf>
    <xf numFmtId="0" fontId="76" fillId="0" borderId="60" xfId="24" applyFont="1" applyBorder="1" applyAlignment="1">
      <alignment horizontal="center" vertical="center"/>
    </xf>
    <xf numFmtId="0" fontId="76" fillId="0" borderId="18" xfId="24" applyFont="1" applyBorder="1" applyAlignment="1">
      <alignment horizontal="left" vertical="center"/>
    </xf>
    <xf numFmtId="0" fontId="76" fillId="0" borderId="49" xfId="24" applyFont="1" applyBorder="1" applyAlignment="1">
      <alignment horizontal="left" vertical="center"/>
    </xf>
    <xf numFmtId="0" fontId="76" fillId="0" borderId="17" xfId="24" applyFont="1" applyBorder="1" applyAlignment="1">
      <alignment horizontal="left" vertical="center"/>
    </xf>
    <xf numFmtId="0" fontId="17" fillId="0" borderId="18" xfId="23" applyFont="1" applyBorder="1" applyAlignment="1">
      <alignment horizontal="center" vertical="center"/>
    </xf>
    <xf numFmtId="0" fontId="17" fillId="0" borderId="49" xfId="23" applyFont="1" applyBorder="1" applyAlignment="1">
      <alignment horizontal="center" vertical="center"/>
    </xf>
    <xf numFmtId="0" fontId="17" fillId="0" borderId="17" xfId="23" applyFont="1" applyBorder="1" applyAlignment="1">
      <alignment horizontal="center" vertical="center"/>
    </xf>
    <xf numFmtId="0" fontId="91" fillId="42" borderId="2" xfId="24" applyFont="1" applyFill="1" applyBorder="1" applyAlignment="1">
      <alignment horizontal="center" vertical="center"/>
    </xf>
    <xf numFmtId="0" fontId="91" fillId="42" borderId="51" xfId="24" applyFont="1" applyFill="1" applyBorder="1" applyAlignment="1">
      <alignment horizontal="center" vertical="center"/>
    </xf>
    <xf numFmtId="0" fontId="91" fillId="42" borderId="3" xfId="24" applyFont="1" applyFill="1" applyBorder="1" applyAlignment="1">
      <alignment horizontal="center" vertical="center"/>
    </xf>
    <xf numFmtId="0" fontId="137" fillId="42" borderId="2" xfId="24" applyFont="1" applyFill="1" applyBorder="1" applyAlignment="1">
      <alignment horizontal="center" vertical="center"/>
    </xf>
    <xf numFmtId="0" fontId="137" fillId="42" borderId="51" xfId="24" applyFont="1" applyFill="1" applyBorder="1" applyAlignment="1">
      <alignment horizontal="center" vertical="center"/>
    </xf>
    <xf numFmtId="0" fontId="137" fillId="42" borderId="3" xfId="24" applyFont="1" applyFill="1" applyBorder="1" applyAlignment="1">
      <alignment horizontal="center" vertical="center"/>
    </xf>
    <xf numFmtId="0" fontId="17" fillId="0" borderId="18" xfId="23" applyFont="1" applyBorder="1" applyAlignment="1">
      <alignment horizontal="left" vertical="center"/>
    </xf>
    <xf numFmtId="0" fontId="17" fillId="0" borderId="49" xfId="23" applyFont="1" applyBorder="1" applyAlignment="1">
      <alignment horizontal="left" vertical="center"/>
    </xf>
    <xf numFmtId="0" fontId="17" fillId="0" borderId="17" xfId="23" applyFont="1" applyBorder="1" applyAlignment="1">
      <alignment horizontal="left" vertical="center"/>
    </xf>
    <xf numFmtId="0" fontId="31" fillId="0" borderId="17" xfId="24" applyBorder="1"/>
    <xf numFmtId="0" fontId="17" fillId="9" borderId="18" xfId="28" applyFont="1" applyFill="1" applyBorder="1" applyAlignment="1">
      <alignment horizontal="center" vertical="center"/>
    </xf>
    <xf numFmtId="0" fontId="17" fillId="9" borderId="49" xfId="28" applyFont="1" applyFill="1" applyBorder="1" applyAlignment="1">
      <alignment horizontal="center" vertical="center"/>
    </xf>
    <xf numFmtId="0" fontId="17" fillId="9" borderId="17" xfId="28" applyFont="1" applyFill="1" applyBorder="1" applyAlignment="1">
      <alignment horizontal="center" vertical="center"/>
    </xf>
    <xf numFmtId="0" fontId="17" fillId="9" borderId="18" xfId="24" applyFont="1" applyFill="1" applyBorder="1" applyAlignment="1">
      <alignment horizontal="center" vertical="center"/>
    </xf>
    <xf numFmtId="0" fontId="17" fillId="9" borderId="49" xfId="24" applyFont="1" applyFill="1" applyBorder="1" applyAlignment="1">
      <alignment horizontal="center" vertical="center"/>
    </xf>
    <xf numFmtId="0" fontId="17" fillId="9" borderId="17" xfId="24" applyFont="1" applyFill="1" applyBorder="1" applyAlignment="1">
      <alignment horizontal="center" vertical="center"/>
    </xf>
    <xf numFmtId="0" fontId="17" fillId="9" borderId="18" xfId="24" applyFont="1" applyFill="1" applyBorder="1" applyAlignment="1">
      <alignment vertical="center"/>
    </xf>
    <xf numFmtId="0" fontId="17" fillId="9" borderId="49" xfId="24" applyFont="1" applyFill="1" applyBorder="1" applyAlignment="1">
      <alignment vertical="center"/>
    </xf>
    <xf numFmtId="0" fontId="17" fillId="9" borderId="17" xfId="24" applyFont="1" applyFill="1" applyBorder="1" applyAlignment="1">
      <alignment vertical="center"/>
    </xf>
    <xf numFmtId="0" fontId="17" fillId="9" borderId="18" xfId="26" applyFont="1" applyFill="1" applyBorder="1" applyAlignment="1">
      <alignment horizontal="center" vertical="center"/>
    </xf>
    <xf numFmtId="0" fontId="17" fillId="9" borderId="49" xfId="26" applyFont="1" applyFill="1" applyBorder="1" applyAlignment="1">
      <alignment horizontal="center" vertical="center"/>
    </xf>
    <xf numFmtId="0" fontId="17" fillId="9" borderId="17" xfId="26" applyFont="1" applyFill="1" applyBorder="1" applyAlignment="1">
      <alignment horizontal="center" vertical="center"/>
    </xf>
    <xf numFmtId="0" fontId="76" fillId="17" borderId="18" xfId="24" applyFont="1" applyFill="1" applyBorder="1" applyAlignment="1">
      <alignment horizontal="center" vertical="center"/>
    </xf>
    <xf numFmtId="0" fontId="76" fillId="17" borderId="17" xfId="24" applyFont="1" applyFill="1" applyBorder="1" applyAlignment="1">
      <alignment horizontal="center" vertical="center"/>
    </xf>
    <xf numFmtId="0" fontId="76" fillId="17" borderId="18" xfId="28" applyFont="1" applyFill="1" applyBorder="1" applyAlignment="1">
      <alignment horizontal="center" vertical="center"/>
    </xf>
    <xf numFmtId="0" fontId="76" fillId="17" borderId="17" xfId="28" applyFont="1" applyFill="1" applyBorder="1" applyAlignment="1">
      <alignment horizontal="center" vertical="center"/>
    </xf>
    <xf numFmtId="0" fontId="76" fillId="17" borderId="18" xfId="24" applyFont="1" applyFill="1" applyBorder="1" applyAlignment="1">
      <alignment vertical="center"/>
    </xf>
    <xf numFmtId="0" fontId="76" fillId="17" borderId="17" xfId="24" applyFont="1" applyFill="1" applyBorder="1" applyAlignment="1">
      <alignment vertical="center"/>
    </xf>
    <xf numFmtId="0" fontId="17" fillId="17" borderId="18" xfId="26" applyFont="1" applyFill="1" applyBorder="1" applyAlignment="1">
      <alignment horizontal="center" vertical="center"/>
    </xf>
    <xf numFmtId="0" fontId="17" fillId="17" borderId="17" xfId="26" applyFont="1" applyFill="1" applyBorder="1" applyAlignment="1">
      <alignment horizontal="center" vertical="center"/>
    </xf>
    <xf numFmtId="0" fontId="76" fillId="0" borderId="18" xfId="28" applyFont="1" applyBorder="1" applyAlignment="1">
      <alignment horizontal="center" vertical="center"/>
    </xf>
    <xf numFmtId="0" fontId="76" fillId="0" borderId="17" xfId="28" applyFont="1" applyBorder="1" applyAlignment="1">
      <alignment horizontal="center" vertical="center"/>
    </xf>
    <xf numFmtId="0" fontId="76" fillId="9" borderId="18" xfId="24" applyFont="1" applyFill="1" applyBorder="1" applyAlignment="1">
      <alignment horizontal="center" vertical="center"/>
    </xf>
    <xf numFmtId="0" fontId="76" fillId="9" borderId="17" xfId="24" applyFont="1" applyFill="1" applyBorder="1" applyAlignment="1">
      <alignment horizontal="center" vertical="center"/>
    </xf>
    <xf numFmtId="0" fontId="76" fillId="9" borderId="18" xfId="24" applyFont="1" applyFill="1" applyBorder="1" applyAlignment="1">
      <alignment horizontal="left" vertical="center"/>
    </xf>
    <xf numFmtId="0" fontId="76" fillId="9" borderId="17" xfId="24" applyFont="1" applyFill="1" applyBorder="1" applyAlignment="1">
      <alignment horizontal="left" vertical="center"/>
    </xf>
    <xf numFmtId="0" fontId="76" fillId="9" borderId="18" xfId="24" applyFont="1" applyFill="1" applyBorder="1" applyAlignment="1">
      <alignment vertical="center"/>
    </xf>
    <xf numFmtId="0" fontId="76" fillId="9" borderId="17" xfId="24" applyFont="1" applyFill="1" applyBorder="1" applyAlignment="1">
      <alignment vertical="center"/>
    </xf>
    <xf numFmtId="0" fontId="76" fillId="9" borderId="1" xfId="24" applyFont="1" applyFill="1" applyBorder="1" applyAlignment="1">
      <alignment horizontal="center" vertical="center"/>
    </xf>
    <xf numFmtId="0" fontId="17" fillId="9" borderId="1" xfId="26" applyFont="1" applyFill="1" applyBorder="1" applyAlignment="1">
      <alignment horizontal="center" vertical="center"/>
    </xf>
    <xf numFmtId="0" fontId="76" fillId="9" borderId="18" xfId="28" applyFont="1" applyFill="1" applyBorder="1" applyAlignment="1">
      <alignment horizontal="center" vertical="center"/>
    </xf>
    <xf numFmtId="0" fontId="76" fillId="9" borderId="49" xfId="28" applyFont="1" applyFill="1" applyBorder="1" applyAlignment="1">
      <alignment horizontal="center" vertical="center"/>
    </xf>
    <xf numFmtId="0" fontId="76" fillId="8" borderId="18" xfId="24" applyFont="1" applyFill="1" applyBorder="1" applyAlignment="1">
      <alignment horizontal="center" vertical="center"/>
    </xf>
    <xf numFmtId="0" fontId="76" fillId="8" borderId="17" xfId="24" applyFont="1" applyFill="1" applyBorder="1" applyAlignment="1">
      <alignment horizontal="center" vertical="center"/>
    </xf>
    <xf numFmtId="0" fontId="17" fillId="0" borderId="18" xfId="24" applyFont="1" applyBorder="1" applyAlignment="1">
      <alignment horizontal="center" vertical="center"/>
    </xf>
    <xf numFmtId="0" fontId="17" fillId="0" borderId="17" xfId="24" applyFont="1" applyBorder="1" applyAlignment="1">
      <alignment horizontal="center" vertical="center"/>
    </xf>
    <xf numFmtId="0" fontId="17" fillId="0" borderId="49" xfId="24" applyFont="1" applyBorder="1" applyAlignment="1">
      <alignment horizontal="center" vertical="center"/>
    </xf>
    <xf numFmtId="0" fontId="17" fillId="29" borderId="18" xfId="24" applyFont="1" applyFill="1" applyBorder="1" applyAlignment="1">
      <alignment horizontal="left" vertical="center"/>
    </xf>
    <xf numFmtId="0" fontId="17" fillId="29" borderId="49" xfId="24" applyFont="1" applyFill="1" applyBorder="1" applyAlignment="1">
      <alignment horizontal="left" vertical="center"/>
    </xf>
    <xf numFmtId="0" fontId="17" fillId="29" borderId="17" xfId="24" applyFont="1" applyFill="1" applyBorder="1" applyAlignment="1">
      <alignment horizontal="left" vertical="center"/>
    </xf>
    <xf numFmtId="0" fontId="17" fillId="29" borderId="18" xfId="24" applyFont="1" applyFill="1" applyBorder="1" applyAlignment="1">
      <alignment horizontal="center" vertical="center"/>
    </xf>
    <xf numFmtId="0" fontId="17" fillId="29" borderId="49" xfId="24" applyFont="1" applyFill="1" applyBorder="1" applyAlignment="1">
      <alignment horizontal="center" vertical="center"/>
    </xf>
    <xf numFmtId="0" fontId="17" fillId="29" borderId="17" xfId="24" applyFont="1" applyFill="1" applyBorder="1" applyAlignment="1">
      <alignment horizontal="center" vertical="center"/>
    </xf>
    <xf numFmtId="0" fontId="17" fillId="29" borderId="1" xfId="24" applyFont="1" applyFill="1" applyBorder="1" applyAlignment="1">
      <alignment horizontal="center" vertical="center"/>
    </xf>
    <xf numFmtId="0" fontId="17" fillId="0" borderId="1" xfId="24" applyFont="1" applyBorder="1" applyAlignment="1">
      <alignment horizontal="center" vertical="center"/>
    </xf>
    <xf numFmtId="0" fontId="76" fillId="8" borderId="18" xfId="28" applyFont="1" applyFill="1" applyBorder="1" applyAlignment="1">
      <alignment horizontal="center" vertical="center"/>
    </xf>
    <xf numFmtId="0" fontId="76" fillId="8" borderId="17" xfId="28" applyFont="1" applyFill="1" applyBorder="1" applyAlignment="1">
      <alignment horizontal="center" vertical="center"/>
    </xf>
    <xf numFmtId="0" fontId="76" fillId="0" borderId="1" xfId="24" applyFont="1" applyBorder="1" applyAlignment="1">
      <alignment horizontal="left" vertical="center"/>
    </xf>
    <xf numFmtId="0" fontId="76" fillId="0" borderId="49" xfId="28" applyFont="1" applyBorder="1" applyAlignment="1">
      <alignment horizontal="center" vertical="center"/>
    </xf>
    <xf numFmtId="0" fontId="17" fillId="0" borderId="18" xfId="24" applyFont="1" applyBorder="1" applyAlignment="1">
      <alignment horizontal="left" vertical="center"/>
    </xf>
    <xf numFmtId="0" fontId="17" fillId="0" borderId="17" xfId="24" applyFont="1" applyBorder="1" applyAlignment="1">
      <alignment horizontal="left" vertical="center"/>
    </xf>
    <xf numFmtId="0" fontId="76" fillId="8" borderId="18" xfId="24" applyFont="1" applyFill="1" applyBorder="1" applyAlignment="1">
      <alignment horizontal="left" vertical="center"/>
    </xf>
    <xf numFmtId="0" fontId="76" fillId="8" borderId="17" xfId="24" applyFont="1" applyFill="1" applyBorder="1" applyAlignment="1">
      <alignment horizontal="left" vertical="center"/>
    </xf>
    <xf numFmtId="0" fontId="17" fillId="0" borderId="18" xfId="28" applyFont="1" applyBorder="1" applyAlignment="1">
      <alignment horizontal="center" vertical="center"/>
    </xf>
    <xf numFmtId="0" fontId="17" fillId="0" borderId="17" xfId="28" applyFont="1" applyBorder="1" applyAlignment="1">
      <alignment horizontal="center" vertical="center"/>
    </xf>
    <xf numFmtId="0" fontId="303" fillId="0" borderId="0" xfId="23" applyFont="1" applyAlignment="1">
      <alignment horizontal="center" vertical="center"/>
    </xf>
    <xf numFmtId="0" fontId="94" fillId="0" borderId="0" xfId="0" applyFont="1" applyAlignment="1">
      <alignment horizontal="center" vertical="center" wrapText="1"/>
    </xf>
    <xf numFmtId="0" fontId="0" fillId="0" borderId="0" xfId="0" applyAlignment="1">
      <alignment horizontal="center" vertical="center" wrapText="1"/>
    </xf>
    <xf numFmtId="0" fontId="96" fillId="0" borderId="0" xfId="0" applyFont="1" applyAlignment="1">
      <alignment horizontal="center" vertical="center" wrapText="1"/>
    </xf>
    <xf numFmtId="0" fontId="223" fillId="0" borderId="3" xfId="0" applyFont="1" applyFill="1" applyBorder="1" applyAlignment="1" applyProtection="1">
      <alignment horizontal="left" vertical="center" wrapText="1"/>
      <protection locked="0"/>
    </xf>
    <xf numFmtId="0" fontId="223" fillId="0" borderId="20" xfId="0" applyFont="1" applyFill="1" applyBorder="1" applyAlignment="1" applyProtection="1">
      <alignment horizontal="left" vertical="center" wrapText="1"/>
      <protection locked="0"/>
    </xf>
    <xf numFmtId="0" fontId="178" fillId="0" borderId="62" xfId="0" applyFont="1" applyFill="1" applyBorder="1" applyAlignment="1" applyProtection="1">
      <alignment horizontal="left" vertical="center" wrapText="1"/>
      <protection locked="0"/>
    </xf>
    <xf numFmtId="0" fontId="223" fillId="0" borderId="7" xfId="0" applyFont="1" applyFill="1" applyBorder="1" applyAlignment="1" applyProtection="1">
      <alignment horizontal="left" vertical="center" wrapText="1"/>
      <protection locked="0"/>
    </xf>
    <xf numFmtId="0" fontId="223" fillId="0" borderId="27" xfId="0" applyFont="1" applyFill="1" applyBorder="1" applyAlignment="1" applyProtection="1">
      <alignment horizontal="left" vertical="center" wrapText="1"/>
      <protection locked="0"/>
    </xf>
    <xf numFmtId="0" fontId="223" fillId="0" borderId="16" xfId="0" applyFont="1" applyFill="1" applyBorder="1" applyAlignment="1" applyProtection="1">
      <alignment horizontal="left" vertical="center" wrapText="1"/>
      <protection locked="0"/>
    </xf>
    <xf numFmtId="179" fontId="47" fillId="5" borderId="1" xfId="0" applyNumberFormat="1" applyFont="1" applyFill="1" applyBorder="1" applyAlignment="1" applyProtection="1">
      <alignment horizontal="left" vertical="center"/>
    </xf>
    <xf numFmtId="179" fontId="46" fillId="18" borderId="1" xfId="0" applyNumberFormat="1" applyFont="1" applyFill="1" applyBorder="1" applyAlignment="1" applyProtection="1">
      <alignment horizontal="left" vertical="center"/>
    </xf>
    <xf numFmtId="0" fontId="120" fillId="52" borderId="7" xfId="0" applyFont="1" applyFill="1" applyBorder="1" applyAlignment="1" applyProtection="1">
      <alignment horizontal="left" vertical="center" wrapText="1"/>
      <protection locked="0"/>
    </xf>
    <xf numFmtId="0" fontId="100" fillId="52" borderId="6" xfId="0" applyFont="1" applyFill="1" applyBorder="1" applyAlignment="1" applyProtection="1">
      <alignment horizontal="left" vertical="center" wrapText="1"/>
      <protection locked="0"/>
    </xf>
    <xf numFmtId="199" fontId="329" fillId="0" borderId="1" xfId="36" applyFont="1" applyBorder="1" applyAlignment="1">
      <alignment horizontal="center" wrapText="1"/>
    </xf>
    <xf numFmtId="198" fontId="328" fillId="48" borderId="1" xfId="35" applyFont="1" applyFill="1" applyBorder="1" applyAlignment="1">
      <alignment horizontal="center" wrapText="1"/>
    </xf>
    <xf numFmtId="199" fontId="329" fillId="8" borderId="1" xfId="36" applyFont="1" applyFill="1" applyBorder="1" applyAlignment="1">
      <alignment horizontal="center" wrapText="1"/>
    </xf>
    <xf numFmtId="198" fontId="17" fillId="49" borderId="2" xfId="35" applyFont="1" applyFill="1" applyBorder="1" applyAlignment="1">
      <alignment horizontal="center" wrapText="1"/>
    </xf>
    <xf numFmtId="198" fontId="328" fillId="49" borderId="51" xfId="35" applyFont="1" applyFill="1" applyBorder="1" applyAlignment="1">
      <alignment horizontal="center" wrapText="1"/>
    </xf>
    <xf numFmtId="198" fontId="328" fillId="49" borderId="3" xfId="35" applyFont="1" applyFill="1" applyBorder="1" applyAlignment="1">
      <alignment horizontal="center" wrapText="1"/>
    </xf>
    <xf numFmtId="0" fontId="327" fillId="15" borderId="18" xfId="12" applyFont="1" applyFill="1" applyBorder="1" applyAlignment="1">
      <alignment horizontal="center" vertical="center"/>
    </xf>
    <xf numFmtId="0" fontId="327" fillId="15" borderId="49" xfId="12" applyFont="1" applyFill="1" applyBorder="1" applyAlignment="1">
      <alignment horizontal="center" vertical="center"/>
    </xf>
    <xf numFmtId="0" fontId="327" fillId="15" borderId="17" xfId="12" applyFont="1" applyFill="1" applyBorder="1" applyAlignment="1">
      <alignment horizontal="center" vertical="center"/>
    </xf>
    <xf numFmtId="0" fontId="324" fillId="6" borderId="18" xfId="9" applyFont="1" applyFill="1" applyBorder="1" applyAlignment="1">
      <alignment horizontal="center" vertical="center"/>
    </xf>
    <xf numFmtId="0" fontId="324" fillId="6" borderId="49" xfId="9" applyFont="1" applyFill="1" applyBorder="1" applyAlignment="1">
      <alignment horizontal="center" vertical="center"/>
    </xf>
    <xf numFmtId="0" fontId="324" fillId="6" borderId="17" xfId="9" applyFont="1" applyFill="1" applyBorder="1" applyAlignment="1">
      <alignment horizontal="center" vertical="center"/>
    </xf>
    <xf numFmtId="0" fontId="324" fillId="6" borderId="18" xfId="34" applyFont="1" applyFill="1" applyBorder="1" applyAlignment="1">
      <alignment horizontal="center" vertical="center"/>
    </xf>
    <xf numFmtId="0" fontId="324" fillId="6" borderId="49" xfId="34" applyFont="1" applyFill="1" applyBorder="1" applyAlignment="1">
      <alignment horizontal="center" vertical="center"/>
    </xf>
    <xf numFmtId="0" fontId="324" fillId="6" borderId="17" xfId="34" applyFont="1" applyFill="1" applyBorder="1" applyAlignment="1">
      <alignment horizontal="center" vertical="center"/>
    </xf>
    <xf numFmtId="0" fontId="325" fillId="6" borderId="18" xfId="9" applyFont="1" applyFill="1" applyBorder="1" applyAlignment="1">
      <alignment horizontal="center" vertical="center"/>
    </xf>
    <xf numFmtId="0" fontId="325" fillId="6" borderId="49" xfId="9" applyFont="1" applyFill="1" applyBorder="1" applyAlignment="1">
      <alignment horizontal="center" vertical="center"/>
    </xf>
    <xf numFmtId="0" fontId="325" fillId="6" borderId="17" xfId="9" applyFont="1" applyFill="1" applyBorder="1" applyAlignment="1">
      <alignment horizontal="center" vertical="center"/>
    </xf>
    <xf numFmtId="0" fontId="300" fillId="0" borderId="0" xfId="29" applyAlignment="1">
      <alignment horizontal="center" vertical="center" wrapText="1"/>
    </xf>
    <xf numFmtId="179" fontId="307" fillId="0" borderId="1" xfId="8" applyNumberFormat="1" applyFont="1" applyBorder="1" applyAlignment="1">
      <alignment horizontal="center" vertical="center" wrapText="1"/>
    </xf>
    <xf numFmtId="0" fontId="262" fillId="0" borderId="0" xfId="8" applyFont="1" applyAlignment="1">
      <alignment horizontal="center" vertical="center" wrapText="1"/>
    </xf>
    <xf numFmtId="0" fontId="147" fillId="23" borderId="0" xfId="8" applyFont="1" applyFill="1" applyAlignment="1">
      <alignment horizontal="center" vertical="center" wrapText="1"/>
    </xf>
    <xf numFmtId="10" fontId="112" fillId="0" borderId="2" xfId="8" applyNumberFormat="1" applyFont="1" applyBorder="1" applyAlignment="1">
      <alignment horizontal="center" vertical="center" wrapText="1" shrinkToFit="1"/>
    </xf>
    <xf numFmtId="10" fontId="112" fillId="0" borderId="3" xfId="8" applyNumberFormat="1" applyFont="1" applyBorder="1" applyAlignment="1">
      <alignment horizontal="center" vertical="center" wrapText="1" shrinkToFit="1"/>
    </xf>
    <xf numFmtId="0" fontId="112" fillId="0" borderId="51" xfId="8" applyFont="1" applyBorder="1" applyAlignment="1">
      <alignment horizontal="left" vertical="center" wrapText="1" shrinkToFit="1"/>
    </xf>
    <xf numFmtId="0" fontId="112" fillId="0" borderId="3" xfId="8" applyFont="1" applyBorder="1" applyAlignment="1">
      <alignment horizontal="left" vertical="center" wrapText="1" shrinkToFit="1"/>
    </xf>
    <xf numFmtId="180" fontId="112" fillId="0" borderId="2" xfId="8" applyNumberFormat="1" applyFont="1" applyBorder="1" applyAlignment="1">
      <alignment horizontal="right" vertical="center" wrapText="1" shrinkToFit="1"/>
    </xf>
    <xf numFmtId="180" fontId="112" fillId="0" borderId="51" xfId="8" applyNumberFormat="1" applyFont="1" applyBorder="1" applyAlignment="1">
      <alignment horizontal="right" vertical="center" wrapText="1" shrinkToFit="1"/>
    </xf>
    <xf numFmtId="0" fontId="109" fillId="0" borderId="0" xfId="8" applyFont="1" applyAlignment="1">
      <alignment horizontal="center" vertical="center" wrapText="1"/>
    </xf>
    <xf numFmtId="0" fontId="112" fillId="43" borderId="2" xfId="8" applyFont="1" applyFill="1" applyBorder="1" applyAlignment="1">
      <alignment horizontal="center" vertical="center" wrapText="1" shrinkToFit="1"/>
    </xf>
    <xf numFmtId="0" fontId="112" fillId="43" borderId="51" xfId="8" applyFont="1" applyFill="1" applyBorder="1" applyAlignment="1">
      <alignment horizontal="center" vertical="center" wrapText="1" shrinkToFit="1"/>
    </xf>
    <xf numFmtId="0" fontId="112" fillId="43" borderId="3" xfId="8" applyFont="1" applyFill="1" applyBorder="1" applyAlignment="1">
      <alignment horizontal="center" vertical="center" wrapText="1" shrinkToFit="1"/>
    </xf>
    <xf numFmtId="0" fontId="49" fillId="5" borderId="58"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34" xfId="0" applyFont="1" applyFill="1" applyBorder="1" applyAlignment="1" applyProtection="1">
      <alignment horizontal="left" vertical="center"/>
    </xf>
    <xf numFmtId="0" fontId="49" fillId="5" borderId="51" xfId="6" applyFont="1" applyFill="1" applyBorder="1" applyAlignment="1" applyProtection="1">
      <alignment horizontal="left" vertical="center" wrapText="1"/>
      <protection locked="0"/>
    </xf>
    <xf numFmtId="0" fontId="49" fillId="5" borderId="3" xfId="6" applyFont="1" applyFill="1" applyBorder="1" applyAlignment="1" applyProtection="1">
      <alignment horizontal="left" vertical="center" wrapText="1"/>
      <protection locked="0"/>
    </xf>
    <xf numFmtId="0" fontId="53" fillId="5" borderId="2" xfId="0" applyFont="1" applyFill="1" applyBorder="1" applyAlignment="1" applyProtection="1">
      <alignment horizontal="left" vertical="center" wrapText="1"/>
    </xf>
    <xf numFmtId="0" fontId="53" fillId="5" borderId="51" xfId="0" applyFont="1" applyFill="1" applyBorder="1" applyAlignment="1" applyProtection="1">
      <alignment horizontal="left" vertical="center" wrapText="1"/>
    </xf>
    <xf numFmtId="0" fontId="53" fillId="5" borderId="0" xfId="0" applyFont="1" applyFill="1" applyBorder="1" applyAlignment="1" applyProtection="1">
      <alignment horizontal="left" vertical="center" wrapText="1"/>
    </xf>
    <xf numFmtId="0" fontId="53" fillId="5" borderId="27"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99" fillId="5" borderId="39" xfId="0" applyFont="1" applyFill="1" applyBorder="1" applyAlignment="1" applyProtection="1">
      <alignment horizontal="left" vertical="center" wrapText="1"/>
    </xf>
    <xf numFmtId="0" fontId="99" fillId="5" borderId="42" xfId="0" applyFont="1" applyFill="1" applyBorder="1" applyAlignment="1" applyProtection="1">
      <alignment horizontal="left" vertical="center" wrapText="1"/>
    </xf>
    <xf numFmtId="0" fontId="49" fillId="5" borderId="5" xfId="0" applyFont="1" applyFill="1" applyBorder="1" applyAlignment="1" applyProtection="1">
      <alignment horizontal="left" vertical="center" wrapText="1"/>
    </xf>
    <xf numFmtId="0" fontId="49" fillId="5" borderId="39" xfId="0" applyFont="1" applyFill="1" applyBorder="1" applyAlignment="1" applyProtection="1">
      <alignment horizontal="left" vertical="center" wrapText="1"/>
    </xf>
    <xf numFmtId="0" fontId="103" fillId="5" borderId="0" xfId="0" applyFont="1" applyFill="1" applyAlignment="1" applyProtection="1">
      <alignment horizontal="left" vertical="center"/>
    </xf>
    <xf numFmtId="0" fontId="102" fillId="0" borderId="0" xfId="0" applyFont="1" applyAlignment="1" applyProtection="1">
      <alignment horizontal="left" vertical="center"/>
    </xf>
    <xf numFmtId="0" fontId="102" fillId="5" borderId="1" xfId="0" applyFont="1" applyFill="1" applyBorder="1" applyAlignment="1" applyProtection="1">
      <alignment horizontal="left" vertical="center"/>
    </xf>
    <xf numFmtId="0" fontId="102" fillId="5" borderId="18" xfId="0" applyFont="1" applyFill="1" applyBorder="1" applyAlignment="1" applyProtection="1">
      <alignment horizontal="left" vertical="center"/>
    </xf>
    <xf numFmtId="0" fontId="102" fillId="5" borderId="49" xfId="0" applyFont="1" applyFill="1" applyBorder="1" applyAlignment="1" applyProtection="1">
      <alignment horizontal="left" vertical="center"/>
    </xf>
    <xf numFmtId="0" fontId="102" fillId="5" borderId="17" xfId="0" applyFont="1" applyFill="1" applyBorder="1" applyAlignment="1" applyProtection="1">
      <alignment horizontal="left" vertical="center"/>
    </xf>
    <xf numFmtId="0" fontId="102" fillId="5" borderId="18" xfId="0" applyFont="1" applyFill="1" applyBorder="1" applyAlignment="1" applyProtection="1">
      <alignment horizontal="left" vertical="center" wrapText="1"/>
    </xf>
    <xf numFmtId="0" fontId="102" fillId="5" borderId="17" xfId="0" applyFont="1" applyFill="1" applyBorder="1" applyAlignment="1" applyProtection="1">
      <alignment horizontal="left" vertical="center" wrapText="1"/>
    </xf>
    <xf numFmtId="0" fontId="240" fillId="5" borderId="18" xfId="0" applyFont="1" applyFill="1" applyBorder="1" applyAlignment="1" applyProtection="1">
      <alignment horizontal="left" vertical="center" wrapText="1"/>
    </xf>
    <xf numFmtId="0" fontId="240" fillId="5" borderId="49" xfId="0" applyFont="1" applyFill="1" applyBorder="1" applyAlignment="1" applyProtection="1">
      <alignment horizontal="left" vertical="center" wrapText="1"/>
    </xf>
    <xf numFmtId="0" fontId="240" fillId="5" borderId="17" xfId="0" applyFont="1" applyFill="1" applyBorder="1" applyAlignment="1" applyProtection="1">
      <alignment horizontal="left" vertical="center" wrapText="1"/>
    </xf>
    <xf numFmtId="0" fontId="49" fillId="5" borderId="12"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5" fillId="0" borderId="18" xfId="4" applyFont="1" applyBorder="1" applyAlignment="1">
      <alignment horizontal="center"/>
    </xf>
    <xf numFmtId="0" fontId="5" fillId="0" borderId="49" xfId="4" applyFont="1" applyBorder="1" applyAlignment="1">
      <alignment horizontal="center"/>
    </xf>
    <xf numFmtId="0" fontId="5" fillId="0" borderId="17" xfId="4" applyFont="1" applyBorder="1" applyAlignment="1">
      <alignment horizontal="center"/>
    </xf>
    <xf numFmtId="0" fontId="17" fillId="0" borderId="36" xfId="4" applyFont="1" applyBorder="1" applyAlignment="1">
      <alignment horizontal="left"/>
    </xf>
    <xf numFmtId="0" fontId="31" fillId="0" borderId="36" xfId="4" applyBorder="1" applyAlignment="1">
      <alignment horizontal="left"/>
    </xf>
    <xf numFmtId="0" fontId="163" fillId="0" borderId="65" xfId="4" applyFont="1" applyBorder="1" applyAlignment="1">
      <alignment horizontal="center" vertical="center"/>
    </xf>
    <xf numFmtId="0" fontId="5" fillId="0" borderId="18" xfId="4" applyFont="1" applyBorder="1" applyAlignment="1">
      <alignment horizontal="center" vertical="center" wrapText="1"/>
    </xf>
    <xf numFmtId="0" fontId="5" fillId="0" borderId="49" xfId="4" applyFont="1" applyBorder="1" applyAlignment="1">
      <alignment horizontal="center" vertical="center" wrapText="1"/>
    </xf>
    <xf numFmtId="0" fontId="5" fillId="0" borderId="17" xfId="4" applyFont="1" applyBorder="1" applyAlignment="1">
      <alignment horizontal="center" vertical="center" wrapText="1"/>
    </xf>
    <xf numFmtId="0" fontId="5" fillId="0" borderId="2" xfId="4" applyFont="1" applyBorder="1" applyAlignment="1">
      <alignment horizontal="center" vertical="center" wrapText="1"/>
    </xf>
    <xf numFmtId="0" fontId="5" fillId="0" borderId="51" xfId="4" applyFont="1" applyBorder="1" applyAlignment="1">
      <alignment horizontal="center" vertical="center" wrapText="1"/>
    </xf>
    <xf numFmtId="176" fontId="5" fillId="0" borderId="2" xfId="4" applyNumberFormat="1" applyFont="1" applyBorder="1" applyAlignment="1">
      <alignment horizontal="center" vertical="center" wrapText="1"/>
    </xf>
    <xf numFmtId="176" fontId="5" fillId="0" borderId="51" xfId="4" applyNumberFormat="1" applyFont="1" applyBorder="1" applyAlignment="1">
      <alignment horizontal="center" vertical="center" wrapText="1"/>
    </xf>
    <xf numFmtId="176" fontId="5" fillId="0" borderId="3" xfId="4" applyNumberFormat="1" applyFont="1" applyBorder="1" applyAlignment="1">
      <alignment horizontal="center" vertical="center" wrapText="1"/>
    </xf>
    <xf numFmtId="176" fontId="5" fillId="0" borderId="18" xfId="4" applyNumberFormat="1" applyFont="1" applyBorder="1" applyAlignment="1">
      <alignment horizontal="center" vertical="center" wrapText="1"/>
    </xf>
    <xf numFmtId="176" fontId="5" fillId="0" borderId="17" xfId="4" applyNumberFormat="1" applyFont="1" applyBorder="1" applyAlignment="1">
      <alignment horizontal="center" vertical="center" wrapText="1"/>
    </xf>
    <xf numFmtId="14" fontId="17" fillId="0" borderId="0" xfId="4" applyNumberFormat="1" applyFont="1" applyAlignment="1">
      <alignment horizontal="center" vertical="center"/>
    </xf>
    <xf numFmtId="0" fontId="17" fillId="0" borderId="0" xfId="4" applyFont="1" applyAlignment="1">
      <alignment horizontal="center" vertical="center"/>
    </xf>
    <xf numFmtId="0" fontId="269" fillId="0" borderId="1" xfId="4" applyFont="1" applyBorder="1" applyAlignment="1">
      <alignment horizontal="center" vertical="center" wrapText="1"/>
    </xf>
    <xf numFmtId="0" fontId="269" fillId="25" borderId="1" xfId="4" applyFont="1" applyFill="1" applyBorder="1" applyAlignment="1">
      <alignment horizontal="center" vertical="center" wrapText="1"/>
    </xf>
    <xf numFmtId="44" fontId="278" fillId="0" borderId="1" xfId="17" applyFont="1" applyFill="1" applyBorder="1" applyAlignment="1">
      <alignment horizontal="center" vertical="center"/>
    </xf>
    <xf numFmtId="0" fontId="269" fillId="25" borderId="1" xfId="4" applyFont="1" applyFill="1" applyBorder="1" applyAlignment="1">
      <alignment horizontal="center" vertical="center"/>
    </xf>
    <xf numFmtId="0" fontId="5" fillId="25" borderId="1" xfId="4" applyFont="1" applyFill="1" applyBorder="1" applyAlignment="1">
      <alignment horizontal="center" vertical="center" wrapText="1"/>
    </xf>
    <xf numFmtId="177" fontId="269" fillId="0" borderId="35" xfId="4" applyNumberFormat="1" applyFont="1" applyBorder="1" applyAlignment="1">
      <alignment horizontal="center" vertical="center"/>
    </xf>
    <xf numFmtId="177" fontId="269" fillId="0" borderId="60" xfId="4" applyNumberFormat="1" applyFont="1" applyBorder="1" applyAlignment="1">
      <alignment horizontal="center" vertical="center"/>
    </xf>
    <xf numFmtId="0" fontId="269" fillId="0" borderId="1" xfId="4" applyFont="1" applyBorder="1" applyAlignment="1">
      <alignment vertical="center" wrapText="1"/>
    </xf>
    <xf numFmtId="177" fontId="269" fillId="25" borderId="64" xfId="4" applyNumberFormat="1" applyFont="1" applyFill="1" applyBorder="1" applyAlignment="1">
      <alignment horizontal="center" vertical="center"/>
    </xf>
    <xf numFmtId="0" fontId="269" fillId="0" borderId="17" xfId="4" applyFont="1" applyBorder="1" applyAlignment="1">
      <alignment horizontal="center" vertical="center" wrapText="1"/>
    </xf>
    <xf numFmtId="0" fontId="31" fillId="0" borderId="18" xfId="4" applyBorder="1" applyAlignment="1">
      <alignment horizontal="center" vertical="center"/>
    </xf>
    <xf numFmtId="0" fontId="31" fillId="0" borderId="17" xfId="4" applyBorder="1" applyAlignment="1">
      <alignment horizontal="center" vertical="center"/>
    </xf>
    <xf numFmtId="43" fontId="284" fillId="0" borderId="1" xfId="14" applyNumberFormat="1" applyFont="1" applyAlignment="1">
      <alignment horizontal="center" vertical="center"/>
    </xf>
    <xf numFmtId="0" fontId="283" fillId="6" borderId="1" xfId="14" applyNumberFormat="1" applyFont="1" applyFill="1" applyAlignment="1">
      <alignment horizontal="center" vertical="center" wrapText="1"/>
    </xf>
    <xf numFmtId="0" fontId="283" fillId="6" borderId="18" xfId="14" applyNumberFormat="1" applyFont="1" applyFill="1" applyBorder="1" applyAlignment="1">
      <alignment horizontal="center" vertical="center" wrapText="1"/>
    </xf>
    <xf numFmtId="0" fontId="283" fillId="6" borderId="17" xfId="14" applyNumberFormat="1" applyFont="1" applyFill="1" applyBorder="1" applyAlignment="1">
      <alignment horizontal="center" vertical="center" wrapText="1"/>
    </xf>
    <xf numFmtId="0" fontId="284" fillId="6" borderId="1" xfId="14" applyNumberFormat="1" applyFont="1" applyFill="1" applyAlignment="1">
      <alignment horizontal="center" vertical="center" wrapText="1"/>
    </xf>
    <xf numFmtId="196" fontId="283" fillId="6" borderId="18" xfId="4" applyNumberFormat="1" applyFont="1" applyFill="1" applyBorder="1" applyAlignment="1">
      <alignment horizontal="center" vertical="center"/>
    </xf>
    <xf numFmtId="196" fontId="283" fillId="6" borderId="17" xfId="4" applyNumberFormat="1" applyFont="1" applyFill="1" applyBorder="1" applyAlignment="1">
      <alignment horizontal="center" vertical="center"/>
    </xf>
    <xf numFmtId="0" fontId="286" fillId="6" borderId="1" xfId="14" applyNumberFormat="1" applyFont="1" applyFill="1" applyAlignment="1">
      <alignment horizontal="center" vertical="center" wrapText="1"/>
    </xf>
    <xf numFmtId="0" fontId="286" fillId="6" borderId="18" xfId="14" applyNumberFormat="1" applyFont="1" applyFill="1" applyBorder="1" applyAlignment="1">
      <alignment horizontal="center" vertical="center" wrapText="1"/>
    </xf>
    <xf numFmtId="0" fontId="286" fillId="6" borderId="17" xfId="14" applyNumberFormat="1" applyFont="1" applyFill="1" applyBorder="1" applyAlignment="1">
      <alignment horizontal="center" vertical="center" wrapText="1"/>
    </xf>
    <xf numFmtId="0" fontId="284" fillId="6" borderId="1" xfId="15" applyNumberFormat="1" applyFont="1" applyFill="1" applyAlignment="1">
      <alignment horizontal="center" vertical="center"/>
    </xf>
    <xf numFmtId="43" fontId="275" fillId="6" borderId="1" xfId="16" applyFont="1" applyFill="1" applyBorder="1" applyAlignment="1">
      <alignment horizontal="center" vertical="center" wrapText="1"/>
    </xf>
    <xf numFmtId="0" fontId="269" fillId="0" borderId="18" xfId="4" applyFont="1" applyBorder="1" applyAlignment="1">
      <alignment horizontal="center" vertical="center" wrapText="1"/>
    </xf>
    <xf numFmtId="0" fontId="269" fillId="0" borderId="49" xfId="4" applyFont="1" applyBorder="1" applyAlignment="1">
      <alignment horizontal="center" vertical="center" wrapText="1"/>
    </xf>
    <xf numFmtId="0" fontId="269" fillId="0" borderId="1" xfId="14" applyNumberFormat="1" applyFont="1" applyFill="1" applyAlignment="1">
      <alignment horizontal="center" vertical="center" wrapText="1"/>
    </xf>
    <xf numFmtId="0" fontId="269" fillId="0" borderId="18" xfId="14" applyNumberFormat="1" applyFont="1" applyFill="1" applyBorder="1" applyAlignment="1">
      <alignment horizontal="center" vertical="center" wrapText="1"/>
    </xf>
    <xf numFmtId="0" fontId="269" fillId="0" borderId="17" xfId="14" applyNumberFormat="1" applyFont="1" applyFill="1" applyBorder="1" applyAlignment="1">
      <alignment horizontal="center" vertical="center" wrapText="1"/>
    </xf>
    <xf numFmtId="0" fontId="277" fillId="0" borderId="1" xfId="14" applyNumberFormat="1" applyFont="1" applyFill="1" applyAlignment="1">
      <alignment horizontal="center" vertical="center"/>
    </xf>
    <xf numFmtId="43" fontId="277" fillId="0" borderId="1" xfId="14" applyNumberFormat="1" applyFont="1" applyFill="1" applyAlignment="1">
      <alignment horizontal="center" vertical="center"/>
    </xf>
    <xf numFmtId="0" fontId="286" fillId="0" borderId="1" xfId="14" applyNumberFormat="1" applyFont="1" applyFill="1" applyAlignment="1">
      <alignment horizontal="center" vertical="center" wrapText="1"/>
    </xf>
    <xf numFmtId="10" fontId="276" fillId="0" borderId="18" xfId="14" applyNumberFormat="1" applyFont="1" applyFill="1" applyBorder="1" applyAlignment="1">
      <alignment horizontal="center" vertical="center" wrapText="1"/>
    </xf>
    <xf numFmtId="10" fontId="276" fillId="0" borderId="17" xfId="14" applyNumberFormat="1" applyFont="1" applyFill="1" applyBorder="1" applyAlignment="1">
      <alignment horizontal="center" vertical="center" wrapText="1"/>
    </xf>
    <xf numFmtId="0" fontId="275" fillId="0" borderId="17" xfId="15" applyNumberFormat="1" applyFont="1" applyFill="1" applyBorder="1" applyAlignment="1">
      <alignment horizontal="center" vertical="center"/>
    </xf>
    <xf numFmtId="0" fontId="275" fillId="0" borderId="1" xfId="15" applyNumberFormat="1" applyFont="1" applyFill="1" applyAlignment="1">
      <alignment horizontal="center" vertical="center"/>
    </xf>
    <xf numFmtId="43" fontId="275" fillId="0" borderId="1" xfId="16" applyFont="1" applyFill="1" applyBorder="1" applyAlignment="1">
      <alignment horizontal="center" vertical="center" wrapText="1"/>
    </xf>
    <xf numFmtId="0" fontId="268" fillId="0" borderId="0" xfId="4" applyFont="1" applyAlignment="1">
      <alignment horizontal="center" vertical="center" wrapText="1"/>
    </xf>
    <xf numFmtId="0" fontId="268" fillId="0" borderId="0" xfId="4" applyFont="1" applyAlignment="1">
      <alignment horizontal="center" vertical="center"/>
    </xf>
    <xf numFmtId="0" fontId="268" fillId="24" borderId="0" xfId="4" applyFont="1" applyFill="1" applyAlignment="1">
      <alignment horizontal="center" vertical="center"/>
    </xf>
    <xf numFmtId="0" fontId="17" fillId="0" borderId="65" xfId="4" applyFont="1" applyBorder="1" applyAlignment="1">
      <alignment horizontal="center" vertical="center"/>
    </xf>
    <xf numFmtId="0" fontId="271" fillId="0" borderId="176" xfId="4" applyFont="1" applyBorder="1" applyAlignment="1">
      <alignment horizontal="center" vertical="center" wrapText="1"/>
    </xf>
    <xf numFmtId="0" fontId="273" fillId="0" borderId="177" xfId="4" applyFont="1" applyBorder="1" applyAlignment="1">
      <alignment horizontal="center" vertical="center"/>
    </xf>
    <xf numFmtId="0" fontId="273" fillId="0" borderId="178" xfId="4" applyFont="1" applyBorder="1" applyAlignment="1">
      <alignment horizontal="center" vertical="center" wrapText="1"/>
    </xf>
    <xf numFmtId="0" fontId="273" fillId="0" borderId="179" xfId="4" applyFont="1" applyBorder="1" applyAlignment="1">
      <alignment horizontal="center" vertical="center"/>
    </xf>
    <xf numFmtId="0" fontId="273" fillId="0" borderId="1" xfId="4" applyFont="1" applyBorder="1" applyAlignment="1">
      <alignment horizontal="center" vertical="center"/>
    </xf>
    <xf numFmtId="0" fontId="269" fillId="0" borderId="18" xfId="4" applyFont="1" applyBorder="1" applyAlignment="1">
      <alignment horizontal="center" vertical="center"/>
    </xf>
    <xf numFmtId="0" fontId="269" fillId="0" borderId="49" xfId="4" applyFont="1" applyBorder="1" applyAlignment="1">
      <alignment horizontal="center" vertical="center"/>
    </xf>
    <xf numFmtId="0" fontId="269" fillId="0" borderId="3" xfId="4" applyFont="1" applyBorder="1" applyAlignment="1">
      <alignment horizontal="center" vertical="center" wrapText="1"/>
    </xf>
    <xf numFmtId="0" fontId="269" fillId="0" borderId="27" xfId="4" applyFont="1" applyBorder="1" applyAlignment="1">
      <alignment horizontal="center" vertical="center" wrapText="1"/>
    </xf>
    <xf numFmtId="0" fontId="283" fillId="0" borderId="1" xfId="4" applyFont="1" applyBorder="1" applyAlignment="1">
      <alignment horizontal="center" vertical="center" wrapText="1"/>
    </xf>
    <xf numFmtId="0" fontId="283" fillId="0" borderId="18" xfId="4" applyFont="1" applyBorder="1" applyAlignment="1">
      <alignment horizontal="center" vertical="center" wrapText="1"/>
    </xf>
    <xf numFmtId="196" fontId="269" fillId="0" borderId="35" xfId="4" applyNumberFormat="1" applyFont="1" applyBorder="1" applyAlignment="1">
      <alignment horizontal="center" vertical="center" wrapText="1"/>
    </xf>
    <xf numFmtId="196" fontId="269" fillId="0" borderId="27" xfId="4" applyNumberFormat="1" applyFont="1" applyBorder="1" applyAlignment="1">
      <alignment horizontal="center" vertical="center" wrapText="1"/>
    </xf>
    <xf numFmtId="196" fontId="269" fillId="0" borderId="64" xfId="4" applyNumberFormat="1" applyFont="1" applyBorder="1" applyAlignment="1">
      <alignment horizontal="center" vertical="center" wrapText="1"/>
    </xf>
    <xf numFmtId="196" fontId="269" fillId="0" borderId="24" xfId="4" applyNumberFormat="1" applyFont="1" applyBorder="1" applyAlignment="1">
      <alignment horizontal="center" vertical="center" wrapText="1"/>
    </xf>
    <xf numFmtId="196" fontId="269" fillId="0" borderId="18" xfId="4" applyNumberFormat="1" applyFont="1" applyBorder="1" applyAlignment="1">
      <alignment horizontal="center" vertical="center" wrapText="1"/>
    </xf>
    <xf numFmtId="196" fontId="269" fillId="0" borderId="49" xfId="4" applyNumberFormat="1" applyFont="1" applyBorder="1" applyAlignment="1">
      <alignment horizontal="center" vertical="center" wrapText="1"/>
    </xf>
    <xf numFmtId="0" fontId="5" fillId="25" borderId="1" xfId="4" applyFont="1" applyFill="1" applyBorder="1" applyAlignment="1">
      <alignment horizontal="center" vertical="center"/>
    </xf>
    <xf numFmtId="0" fontId="288" fillId="0" borderId="40" xfId="18" applyFont="1" applyBorder="1" applyAlignment="1">
      <alignment horizontal="left" vertical="center" wrapText="1"/>
    </xf>
    <xf numFmtId="0" fontId="288" fillId="0" borderId="0" xfId="18" applyFont="1" applyAlignment="1">
      <alignment horizontal="left" vertical="center" wrapText="1"/>
    </xf>
    <xf numFmtId="0" fontId="90" fillId="0" borderId="122" xfId="18" applyFont="1" applyBorder="1" applyAlignment="1">
      <alignment vertical="center"/>
    </xf>
    <xf numFmtId="43" fontId="90" fillId="0" borderId="28" xfId="18" applyNumberFormat="1" applyFont="1" applyBorder="1" applyAlignment="1">
      <alignment horizontal="center" vertical="center" wrapText="1"/>
    </xf>
    <xf numFmtId="43" fontId="90" fillId="0" borderId="38" xfId="18" applyNumberFormat="1" applyFont="1" applyBorder="1" applyAlignment="1">
      <alignment horizontal="center" vertical="center" wrapText="1"/>
    </xf>
    <xf numFmtId="0" fontId="90" fillId="0" borderId="4" xfId="18" applyFont="1" applyBorder="1" applyAlignment="1">
      <alignment vertical="center"/>
    </xf>
    <xf numFmtId="0" fontId="90" fillId="0" borderId="11" xfId="18" applyFont="1" applyBorder="1" applyAlignment="1">
      <alignment vertical="center"/>
    </xf>
    <xf numFmtId="0" fontId="90" fillId="0" borderId="13" xfId="18" applyFont="1" applyBorder="1" applyAlignment="1">
      <alignment vertical="center"/>
    </xf>
    <xf numFmtId="0" fontId="94" fillId="0" borderId="0" xfId="8" applyAlignment="1">
      <alignment horizontal="center" vertical="center" wrapText="1"/>
    </xf>
    <xf numFmtId="0" fontId="94" fillId="33" borderId="0" xfId="8" applyFill="1" applyAlignment="1">
      <alignment horizontal="center" vertical="center"/>
    </xf>
    <xf numFmtId="0" fontId="94" fillId="0" borderId="0" xfId="8" applyAlignment="1">
      <alignment horizontal="center" vertical="center"/>
    </xf>
    <xf numFmtId="0" fontId="94" fillId="21" borderId="0" xfId="8" applyFill="1" applyAlignment="1">
      <alignment horizontal="center" vertical="center"/>
    </xf>
    <xf numFmtId="0" fontId="94" fillId="32" borderId="180" xfId="8" applyFill="1" applyBorder="1" applyAlignment="1">
      <alignment horizontal="center" vertical="center"/>
    </xf>
    <xf numFmtId="0" fontId="94" fillId="36" borderId="180" xfId="8" applyFill="1" applyBorder="1" applyAlignment="1">
      <alignment horizontal="center" vertical="center"/>
    </xf>
    <xf numFmtId="0" fontId="132" fillId="5" borderId="0" xfId="0" applyFont="1" applyFill="1" applyAlignment="1" applyProtection="1">
      <alignment horizontal="center" vertical="center"/>
    </xf>
    <xf numFmtId="0" fontId="114" fillId="5" borderId="0" xfId="0" applyFont="1" applyFill="1" applyBorder="1" applyAlignment="1" applyProtection="1">
      <alignment horizontal="left" vertical="center"/>
    </xf>
    <xf numFmtId="0" fontId="113" fillId="5" borderId="4" xfId="0" applyFont="1" applyFill="1" applyBorder="1" applyAlignment="1" applyProtection="1">
      <alignment horizontal="center" vertical="center" wrapText="1"/>
    </xf>
    <xf numFmtId="0" fontId="113" fillId="5" borderId="8" xfId="0" applyFont="1" applyFill="1" applyBorder="1" applyAlignment="1" applyProtection="1">
      <alignment horizontal="center" vertical="center" wrapText="1"/>
    </xf>
    <xf numFmtId="0" fontId="109" fillId="5" borderId="1" xfId="0" applyFont="1" applyFill="1" applyBorder="1" applyAlignment="1" applyProtection="1">
      <alignment horizontal="center" vertical="center"/>
    </xf>
    <xf numFmtId="0" fontId="109" fillId="0" borderId="1" xfId="0" applyFont="1" applyBorder="1" applyAlignment="1">
      <alignment horizontal="center" vertical="center"/>
    </xf>
    <xf numFmtId="179" fontId="109" fillId="0" borderId="1" xfId="0" applyNumberFormat="1" applyFont="1" applyBorder="1" applyAlignment="1">
      <alignment horizontal="center" vertical="center"/>
    </xf>
    <xf numFmtId="14" fontId="109" fillId="0" borderId="1" xfId="0" applyNumberFormat="1" applyFont="1" applyBorder="1" applyAlignment="1">
      <alignment horizontal="center" vertical="center"/>
    </xf>
    <xf numFmtId="192" fontId="109" fillId="0" borderId="1" xfId="0" applyNumberFormat="1" applyFont="1" applyBorder="1" applyAlignment="1">
      <alignment horizontal="center" vertical="center"/>
    </xf>
    <xf numFmtId="0" fontId="109" fillId="0" borderId="1" xfId="0" applyFont="1" applyBorder="1" applyAlignment="1">
      <alignment horizontal="center" vertical="center" wrapText="1"/>
    </xf>
    <xf numFmtId="0" fontId="318" fillId="0" borderId="64" xfId="30" applyFont="1" applyBorder="1" applyAlignment="1">
      <alignment horizontal="center" vertical="center"/>
    </xf>
    <xf numFmtId="0" fontId="318" fillId="0" borderId="65" xfId="30" applyFont="1" applyBorder="1" applyAlignment="1">
      <alignment horizontal="center" vertical="center"/>
    </xf>
    <xf numFmtId="0" fontId="318" fillId="0" borderId="24" xfId="30" applyFont="1" applyBorder="1" applyAlignment="1">
      <alignment horizontal="center" vertical="center"/>
    </xf>
    <xf numFmtId="0" fontId="314" fillId="0" borderId="2" xfId="30" applyFont="1" applyBorder="1" applyAlignment="1">
      <alignment horizontal="center" vertical="center"/>
    </xf>
    <xf numFmtId="0" fontId="314" fillId="0" borderId="51" xfId="30" applyFont="1" applyBorder="1" applyAlignment="1">
      <alignment horizontal="center" vertical="center"/>
    </xf>
    <xf numFmtId="0" fontId="314" fillId="0" borderId="3" xfId="30" applyFont="1" applyBorder="1" applyAlignment="1">
      <alignment horizontal="center" vertical="center"/>
    </xf>
    <xf numFmtId="0" fontId="317" fillId="0" borderId="65" xfId="30" applyFont="1" applyBorder="1" applyAlignment="1">
      <alignment horizontal="center" vertical="center"/>
    </xf>
    <xf numFmtId="0" fontId="318" fillId="0" borderId="17" xfId="30" applyFont="1" applyBorder="1" applyAlignment="1">
      <alignment horizontal="center" vertical="center"/>
    </xf>
    <xf numFmtId="0" fontId="318" fillId="0" borderId="3" xfId="30" applyFont="1" applyBorder="1" applyAlignment="1">
      <alignment horizontal="center" vertical="center"/>
    </xf>
    <xf numFmtId="43" fontId="318" fillId="0" borderId="2" xfId="30" applyNumberFormat="1" applyFont="1" applyBorder="1" applyAlignment="1">
      <alignment horizontal="center" vertical="center"/>
    </xf>
    <xf numFmtId="43" fontId="318" fillId="0" borderId="51" xfId="30" applyNumberFormat="1" applyFont="1" applyBorder="1" applyAlignment="1">
      <alignment horizontal="center" vertical="center"/>
    </xf>
    <xf numFmtId="43" fontId="318" fillId="0" borderId="3" xfId="30" applyNumberFormat="1" applyFont="1" applyBorder="1" applyAlignment="1">
      <alignment horizontal="center" vertical="center"/>
    </xf>
    <xf numFmtId="0" fontId="318" fillId="0" borderId="1" xfId="30" applyFont="1" applyBorder="1" applyAlignment="1">
      <alignment horizontal="center" vertical="center"/>
    </xf>
    <xf numFmtId="0" fontId="148" fillId="0" borderId="0" xfId="7" applyFont="1" applyAlignment="1">
      <alignment horizontal="left" vertical="center"/>
    </xf>
    <xf numFmtId="0" fontId="103" fillId="0" borderId="0" xfId="7" applyFont="1" applyAlignment="1">
      <alignment horizontal="left" vertical="center"/>
    </xf>
    <xf numFmtId="0" fontId="151" fillId="12" borderId="139" xfId="7" applyFont="1" applyFill="1" applyBorder="1" applyAlignment="1" applyProtection="1">
      <alignment horizontal="left" vertical="center" wrapText="1"/>
    </xf>
    <xf numFmtId="0" fontId="151" fillId="12" borderId="133" xfId="7" applyFont="1" applyFill="1" applyBorder="1" applyAlignment="1" applyProtection="1">
      <alignment horizontal="left" vertical="center" wrapText="1"/>
    </xf>
    <xf numFmtId="0" fontId="151" fillId="12" borderId="135" xfId="7" applyFont="1" applyFill="1" applyBorder="1" applyAlignment="1" applyProtection="1">
      <alignment horizontal="left" vertical="center" wrapText="1"/>
    </xf>
    <xf numFmtId="0" fontId="149" fillId="0" borderId="0" xfId="7" applyFont="1" applyAlignment="1">
      <alignment horizontal="left" vertical="center"/>
    </xf>
    <xf numFmtId="0" fontId="151" fillId="12" borderId="130" xfId="7" applyFont="1" applyFill="1" applyBorder="1" applyAlignment="1" applyProtection="1">
      <alignment horizontal="left" vertical="center" wrapText="1"/>
    </xf>
    <xf numFmtId="0" fontId="102" fillId="12" borderId="139" xfId="7" applyFont="1" applyFill="1" applyBorder="1" applyAlignment="1" applyProtection="1">
      <alignment horizontal="left" vertical="center" wrapText="1"/>
    </xf>
    <xf numFmtId="0" fontId="102" fillId="12" borderId="133" xfId="7" applyFont="1" applyFill="1" applyBorder="1" applyAlignment="1" applyProtection="1">
      <alignment horizontal="left" vertical="center" wrapText="1"/>
    </xf>
    <xf numFmtId="0" fontId="102" fillId="12" borderId="135" xfId="7" applyFont="1" applyFill="1" applyBorder="1" applyAlignment="1" applyProtection="1">
      <alignment horizontal="left" vertical="center" wrapText="1"/>
    </xf>
    <xf numFmtId="0" fontId="151" fillId="12" borderId="167" xfId="7" applyFont="1" applyFill="1" applyBorder="1" applyAlignment="1" applyProtection="1">
      <alignment horizontal="left" vertical="center" wrapText="1"/>
    </xf>
  </cellXfs>
  <cellStyles count="37">
    <cellStyle name="Normal 22" xfId="35" xr:uid="{00000000-0005-0000-0000-000000000000}"/>
    <cellStyle name="Normal 22 2" xfId="36" xr:uid="{00000000-0005-0000-0000-000001000000}"/>
    <cellStyle name="百分比" xfId="32" builtinId="5"/>
    <cellStyle name="百分比 2" xfId="22" xr:uid="{00000000-0005-0000-0000-000003000000}"/>
    <cellStyle name="差 2" xfId="27" xr:uid="{00000000-0005-0000-0000-000004000000}"/>
    <cellStyle name="常规" xfId="0" builtinId="0"/>
    <cellStyle name="常规 10" xfId="18" xr:uid="{00000000-0005-0000-0000-000006000000}"/>
    <cellStyle name="常规 11" xfId="29" xr:uid="{00000000-0005-0000-0000-000007000000}"/>
    <cellStyle name="常规 12" xfId="25" xr:uid="{00000000-0005-0000-0000-000008000000}"/>
    <cellStyle name="常规 13" xfId="30" xr:uid="{00000000-0005-0000-0000-000009000000}"/>
    <cellStyle name="常规 16" xfId="8" xr:uid="{00000000-0005-0000-0000-00000A000000}"/>
    <cellStyle name="常规 2" xfId="1" xr:uid="{00000000-0005-0000-0000-00000B000000}"/>
    <cellStyle name="常规 2 2" xfId="6" xr:uid="{00000000-0005-0000-0000-00000C000000}"/>
    <cellStyle name="常规 2 3" xfId="23" xr:uid="{00000000-0005-0000-0000-00000D000000}"/>
    <cellStyle name="常规 2 4" xfId="34" xr:uid="{00000000-0005-0000-0000-00000E000000}"/>
    <cellStyle name="常规 22" xfId="33" xr:uid="{00000000-0005-0000-0000-00000F000000}"/>
    <cellStyle name="常规 3" xfId="2" xr:uid="{00000000-0005-0000-0000-000010000000}"/>
    <cellStyle name="常规 3 2" xfId="3" xr:uid="{00000000-0005-0000-0000-000011000000}"/>
    <cellStyle name="常规 4" xfId="4" xr:uid="{00000000-0005-0000-0000-000012000000}"/>
    <cellStyle name="常规 5" xfId="5" xr:uid="{00000000-0005-0000-0000-000013000000}"/>
    <cellStyle name="常规 5 2" xfId="28" xr:uid="{00000000-0005-0000-0000-000014000000}"/>
    <cellStyle name="常规 6" xfId="9" xr:uid="{00000000-0005-0000-0000-000015000000}"/>
    <cellStyle name="常规 6 2" xfId="7" xr:uid="{00000000-0005-0000-0000-000016000000}"/>
    <cellStyle name="常规 6 2 2" xfId="11" xr:uid="{00000000-0005-0000-0000-000017000000}"/>
    <cellStyle name="常规 7" xfId="10" xr:uid="{00000000-0005-0000-0000-000018000000}"/>
    <cellStyle name="常规 8" xfId="12" xr:uid="{00000000-0005-0000-0000-000019000000}"/>
    <cellStyle name="常规 9" xfId="13" xr:uid="{00000000-0005-0000-0000-00001A000000}"/>
    <cellStyle name="常规_Sheet1" xfId="14" xr:uid="{00000000-0005-0000-0000-00001B000000}"/>
    <cellStyle name="常规_Sheet1 2" xfId="24" xr:uid="{00000000-0005-0000-0000-00001C000000}"/>
    <cellStyle name="常规_物业管理费（二）" xfId="15" xr:uid="{00000000-0005-0000-0000-00001D000000}"/>
    <cellStyle name="超链接" xfId="21" builtinId="8"/>
    <cellStyle name="货币 2" xfId="17" xr:uid="{00000000-0005-0000-0000-00001F000000}"/>
    <cellStyle name="千位分隔" xfId="31" builtinId="3"/>
    <cellStyle name="千位分隔 2" xfId="16" xr:uid="{00000000-0005-0000-0000-000021000000}"/>
    <cellStyle name="千位分隔 3" xfId="19" xr:uid="{00000000-0005-0000-0000-000022000000}"/>
    <cellStyle name="千位分隔_综合北_3" xfId="20" xr:uid="{00000000-0005-0000-0000-000023000000}"/>
    <cellStyle name="适中 2 2" xfId="26" xr:uid="{00000000-0005-0000-0000-000024000000}"/>
  </cellStyles>
  <dxfs count="29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4.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externalLink" Target="externalLinks/externalLink9.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5.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6.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CN" altLang="en-US" sz="1800" b="0" i="0" baseline="0">
                <a:effectLst/>
              </a:rPr>
              <a:t>第一太平全市办公</a:t>
            </a:r>
            <a:r>
              <a:rPr lang="zh-CN" altLang="zh-CN" sz="1800" b="0" i="0" baseline="0">
                <a:effectLst/>
              </a:rPr>
              <a:t>市场分析</a:t>
            </a:r>
            <a:endParaRPr lang="zh-CN" altLang="zh-CN">
              <a:effectLst/>
            </a:endParaRPr>
          </a:p>
        </c:rich>
      </c:tx>
      <c:layout>
        <c:manualLayout>
          <c:xMode val="edge"/>
          <c:yMode val="edge"/>
          <c:x val="0.49634034285612399"/>
          <c:y val="3.77759650181038E-3"/>
        </c:manualLayout>
      </c:layout>
      <c:overlay val="0"/>
      <c:spPr>
        <a:noFill/>
        <a:ln>
          <a:noFill/>
        </a:ln>
        <a:effectLst/>
      </c:spPr>
    </c:title>
    <c:autoTitleDeleted val="0"/>
    <c:plotArea>
      <c:layout/>
      <c:barChart>
        <c:barDir val="col"/>
        <c:grouping val="clustered"/>
        <c:varyColors val="0"/>
        <c:dLbls>
          <c:showLegendKey val="0"/>
          <c:showVal val="0"/>
          <c:showCatName val="0"/>
          <c:showSerName val="0"/>
          <c:showPercent val="0"/>
          <c:showBubbleSize val="0"/>
        </c:dLbls>
        <c:gapWidth val="219"/>
        <c:axId val="-464645584"/>
        <c:axId val="-464627840"/>
        <c:extLst>
          <c:ext xmlns:c15="http://schemas.microsoft.com/office/drawing/2012/chart" uri="{02D57815-91ED-43cb-92C2-25804820EDAC}">
            <c15:filteredBarSeries>
              <c15:ser>
                <c:idx val="5"/>
                <c:order val="5"/>
                <c:tx>
                  <c:strRef>
                    <c:extLst>
                      <c:ext uri="{02D57815-91ED-43cb-92C2-25804820EDAC}">
                        <c15:formulaRef>
                          <c15:sqref>写字楼!$AA$3</c15:sqref>
                        </c15:formulaRef>
                      </c:ext>
                    </c:extLst>
                    <c:strCache>
                      <c:ptCount val="1"/>
                      <c:pt idx="0">
                        <c:v>存量（万㎡）</c:v>
                      </c:pt>
                    </c:strCache>
                  </c:strRef>
                </c:tx>
                <c:spPr>
                  <a:solidFill>
                    <a:schemeClr val="accent6"/>
                  </a:solidFill>
                  <a:ln>
                    <a:noFill/>
                  </a:ln>
                  <a:effectLst/>
                </c:spPr>
                <c:invertIfNegative val="0"/>
                <c:cat>
                  <c:strRef>
                    <c:extLst>
                      <c:ext uri="{02D57815-91ED-43cb-92C2-25804820EDAC}">
                        <c15:formulaRef>
                          <c15:sqref>写字楼!$U$4:$U$31</c15:sqref>
                        </c15:formulaRef>
                      </c:ext>
                    </c:extLst>
                    <c:strCache>
                      <c:ptCount val="28"/>
                      <c:pt idx="0">
                        <c:v>2016Q1</c:v>
                      </c:pt>
                      <c:pt idx="1">
                        <c:v>2016Q2</c:v>
                      </c:pt>
                      <c:pt idx="2">
                        <c:v>2016Q3</c:v>
                      </c:pt>
                      <c:pt idx="3">
                        <c:v>2016Q4</c:v>
                      </c:pt>
                      <c:pt idx="4">
                        <c:v>2017Q1</c:v>
                      </c:pt>
                      <c:pt idx="5">
                        <c:v>2017Q2</c:v>
                      </c:pt>
                      <c:pt idx="6">
                        <c:v>2017Q3</c:v>
                      </c:pt>
                      <c:pt idx="7">
                        <c:v>2017Q4</c:v>
                      </c:pt>
                      <c:pt idx="8">
                        <c:v>2018Q1</c:v>
                      </c:pt>
                      <c:pt idx="9">
                        <c:v>2018Q2</c:v>
                      </c:pt>
                      <c:pt idx="10">
                        <c:v>2018Q3</c:v>
                      </c:pt>
                      <c:pt idx="11">
                        <c:v>2018Q4</c:v>
                      </c:pt>
                      <c:pt idx="12">
                        <c:v>2019Q1</c:v>
                      </c:pt>
                      <c:pt idx="13">
                        <c:v>2019Q2</c:v>
                      </c:pt>
                      <c:pt idx="14">
                        <c:v>2019Q3</c:v>
                      </c:pt>
                      <c:pt idx="15">
                        <c:v>2019Q4</c:v>
                      </c:pt>
                      <c:pt idx="16">
                        <c:v>2020Q1</c:v>
                      </c:pt>
                      <c:pt idx="17">
                        <c:v>2020Q2</c:v>
                      </c:pt>
                      <c:pt idx="18">
                        <c:v>2020Q3</c:v>
                      </c:pt>
                      <c:pt idx="19">
                        <c:v>2020Q4</c:v>
                      </c:pt>
                      <c:pt idx="20">
                        <c:v>2021Q1</c:v>
                      </c:pt>
                      <c:pt idx="21">
                        <c:v>2021Q2</c:v>
                      </c:pt>
                      <c:pt idx="22">
                        <c:v>2021Q3</c:v>
                      </c:pt>
                      <c:pt idx="23">
                        <c:v>2021Q4</c:v>
                      </c:pt>
                      <c:pt idx="24">
                        <c:v>2022Q1</c:v>
                      </c:pt>
                      <c:pt idx="25">
                        <c:v>2022Q2</c:v>
                      </c:pt>
                      <c:pt idx="26">
                        <c:v>2022Q3</c:v>
                      </c:pt>
                      <c:pt idx="27">
                        <c:v>2022Q4</c:v>
                      </c:pt>
                    </c:strCache>
                  </c:strRef>
                </c:cat>
                <c:val>
                  <c:numRef>
                    <c:extLst>
                      <c:ext uri="{02D57815-91ED-43cb-92C2-25804820EDAC}">
                        <c15:formulaRef>
                          <c15:sqref>写字楼!$AA$4:$AA$31</c15:sqref>
                        </c15:formulaRef>
                      </c:ext>
                    </c:extLst>
                    <c:numCache>
                      <c:formatCode>General</c:formatCode>
                      <c:ptCount val="28"/>
                      <c:pt idx="0">
                        <c:v>924</c:v>
                      </c:pt>
                      <c:pt idx="1">
                        <c:v>954</c:v>
                      </c:pt>
                      <c:pt idx="2">
                        <c:v>976</c:v>
                      </c:pt>
                      <c:pt idx="3">
                        <c:v>992</c:v>
                      </c:pt>
                      <c:pt idx="4">
                        <c:v>1008</c:v>
                      </c:pt>
                      <c:pt idx="5">
                        <c:v>1020</c:v>
                      </c:pt>
                      <c:pt idx="6">
                        <c:v>1030</c:v>
                      </c:pt>
                      <c:pt idx="7">
                        <c:v>1074</c:v>
                      </c:pt>
                      <c:pt idx="8">
                        <c:v>1065</c:v>
                      </c:pt>
                      <c:pt idx="9">
                        <c:v>1072</c:v>
                      </c:pt>
                      <c:pt idx="10">
                        <c:v>1086.5</c:v>
                      </c:pt>
                      <c:pt idx="11">
                        <c:v>1102.2</c:v>
                      </c:pt>
                      <c:pt idx="12">
                        <c:v>1102.2</c:v>
                      </c:pt>
                      <c:pt idx="13">
                        <c:v>1130.5999999999999</c:v>
                      </c:pt>
                      <c:pt idx="14">
                        <c:v>1148.5999999999999</c:v>
                      </c:pt>
                      <c:pt idx="15">
                        <c:v>1241.9000000000001</c:v>
                      </c:pt>
                      <c:pt idx="16">
                        <c:v>1237.8</c:v>
                      </c:pt>
                      <c:pt idx="17">
                        <c:v>1247.8</c:v>
                      </c:pt>
                      <c:pt idx="18">
                        <c:v>1272.5999999999999</c:v>
                      </c:pt>
                      <c:pt idx="19">
                        <c:v>1289</c:v>
                      </c:pt>
                      <c:pt idx="20">
                        <c:v>1317</c:v>
                      </c:pt>
                      <c:pt idx="21">
                        <c:v>1355</c:v>
                      </c:pt>
                      <c:pt idx="22">
                        <c:v>1396</c:v>
                      </c:pt>
                      <c:pt idx="23">
                        <c:v>1416.4</c:v>
                      </c:pt>
                      <c:pt idx="24">
                        <c:v>1430.5</c:v>
                      </c:pt>
                      <c:pt idx="25">
                        <c:v>1437.9</c:v>
                      </c:pt>
                      <c:pt idx="26">
                        <c:v>1437.9</c:v>
                      </c:pt>
                      <c:pt idx="27">
                        <c:v>1445.6</c:v>
                      </c:pt>
                    </c:numCache>
                  </c:numRef>
                </c:val>
                <c:extLst>
                  <c:ext xmlns:c16="http://schemas.microsoft.com/office/drawing/2014/chart" uri="{C3380CC4-5D6E-409C-BE32-E72D297353CC}">
                    <c16:uniqueId val="{00000000-B932-4772-99A5-357700AE26CC}"/>
                  </c:ext>
                </c:extLst>
              </c15:ser>
            </c15:filteredBarSeries>
          </c:ext>
        </c:extLst>
      </c:barChart>
      <c:lineChart>
        <c:grouping val="standard"/>
        <c:varyColors val="0"/>
        <c:ser>
          <c:idx val="0"/>
          <c:order val="0"/>
          <c:tx>
            <c:strRef>
              <c:f>写字楼!$V$3</c:f>
              <c:strCache>
                <c:ptCount val="1"/>
                <c:pt idx="0">
                  <c:v>平均有效租金</c:v>
                </c:pt>
              </c:strCache>
            </c:strRef>
          </c:tx>
          <c:spPr>
            <a:ln w="28575" cap="rnd">
              <a:solidFill>
                <a:schemeClr val="accent1"/>
              </a:solidFill>
              <a:round/>
            </a:ln>
            <a:effectLst/>
          </c:spPr>
          <c:marker>
            <c:symbol val="none"/>
          </c:marker>
          <c:cat>
            <c:strRef>
              <c:f>写字楼!$U$4:$U$31</c:f>
              <c:strCache>
                <c:ptCount val="28"/>
                <c:pt idx="0">
                  <c:v>2016Q1</c:v>
                </c:pt>
                <c:pt idx="1">
                  <c:v>2016Q2</c:v>
                </c:pt>
                <c:pt idx="2">
                  <c:v>2016Q3</c:v>
                </c:pt>
                <c:pt idx="3">
                  <c:v>2016Q4</c:v>
                </c:pt>
                <c:pt idx="4">
                  <c:v>2017Q1</c:v>
                </c:pt>
                <c:pt idx="5">
                  <c:v>2017Q2</c:v>
                </c:pt>
                <c:pt idx="6">
                  <c:v>2017Q3</c:v>
                </c:pt>
                <c:pt idx="7">
                  <c:v>2017Q4</c:v>
                </c:pt>
                <c:pt idx="8">
                  <c:v>2018Q1</c:v>
                </c:pt>
                <c:pt idx="9">
                  <c:v>2018Q2</c:v>
                </c:pt>
                <c:pt idx="10">
                  <c:v>2018Q3</c:v>
                </c:pt>
                <c:pt idx="11">
                  <c:v>2018Q4</c:v>
                </c:pt>
                <c:pt idx="12">
                  <c:v>2019Q1</c:v>
                </c:pt>
                <c:pt idx="13">
                  <c:v>2019Q2</c:v>
                </c:pt>
                <c:pt idx="14">
                  <c:v>2019Q3</c:v>
                </c:pt>
                <c:pt idx="15">
                  <c:v>2019Q4</c:v>
                </c:pt>
                <c:pt idx="16">
                  <c:v>2020Q1</c:v>
                </c:pt>
                <c:pt idx="17">
                  <c:v>2020Q2</c:v>
                </c:pt>
                <c:pt idx="18">
                  <c:v>2020Q3</c:v>
                </c:pt>
                <c:pt idx="19">
                  <c:v>2020Q4</c:v>
                </c:pt>
                <c:pt idx="20">
                  <c:v>2021Q1</c:v>
                </c:pt>
                <c:pt idx="21">
                  <c:v>2021Q2</c:v>
                </c:pt>
                <c:pt idx="22">
                  <c:v>2021Q3</c:v>
                </c:pt>
                <c:pt idx="23">
                  <c:v>2021Q4</c:v>
                </c:pt>
                <c:pt idx="24">
                  <c:v>2022Q1</c:v>
                </c:pt>
                <c:pt idx="25">
                  <c:v>2022Q2</c:v>
                </c:pt>
                <c:pt idx="26">
                  <c:v>2022Q3</c:v>
                </c:pt>
                <c:pt idx="27">
                  <c:v>2022Q4</c:v>
                </c:pt>
              </c:strCache>
            </c:strRef>
          </c:cat>
          <c:val>
            <c:numRef>
              <c:f>写字楼!$V$4:$V$31</c:f>
              <c:numCache>
                <c:formatCode>General</c:formatCode>
                <c:ptCount val="28"/>
                <c:pt idx="0">
                  <c:v>339.8</c:v>
                </c:pt>
                <c:pt idx="1">
                  <c:v>337.8</c:v>
                </c:pt>
                <c:pt idx="2">
                  <c:v>337.8</c:v>
                </c:pt>
                <c:pt idx="3">
                  <c:v>336.9</c:v>
                </c:pt>
                <c:pt idx="4">
                  <c:v>335.1</c:v>
                </c:pt>
                <c:pt idx="5">
                  <c:v>338.1</c:v>
                </c:pt>
                <c:pt idx="6">
                  <c:v>338.2</c:v>
                </c:pt>
                <c:pt idx="7">
                  <c:v>340</c:v>
                </c:pt>
                <c:pt idx="8">
                  <c:v>345.3</c:v>
                </c:pt>
                <c:pt idx="9">
                  <c:v>355</c:v>
                </c:pt>
                <c:pt idx="10">
                  <c:v>366.9</c:v>
                </c:pt>
                <c:pt idx="11">
                  <c:v>369</c:v>
                </c:pt>
                <c:pt idx="12">
                  <c:v>368</c:v>
                </c:pt>
                <c:pt idx="13">
                  <c:v>368.3</c:v>
                </c:pt>
                <c:pt idx="14">
                  <c:v>367.6</c:v>
                </c:pt>
                <c:pt idx="15">
                  <c:v>364.9</c:v>
                </c:pt>
                <c:pt idx="16">
                  <c:v>363</c:v>
                </c:pt>
                <c:pt idx="17">
                  <c:v>360.5</c:v>
                </c:pt>
                <c:pt idx="18">
                  <c:v>354.8</c:v>
                </c:pt>
                <c:pt idx="19">
                  <c:v>349.2</c:v>
                </c:pt>
                <c:pt idx="20">
                  <c:v>344.9</c:v>
                </c:pt>
                <c:pt idx="21">
                  <c:v>341.3</c:v>
                </c:pt>
                <c:pt idx="22">
                  <c:v>341.7</c:v>
                </c:pt>
                <c:pt idx="23">
                  <c:v>341</c:v>
                </c:pt>
                <c:pt idx="24">
                  <c:v>339</c:v>
                </c:pt>
                <c:pt idx="25">
                  <c:v>337.5</c:v>
                </c:pt>
                <c:pt idx="26">
                  <c:v>331.5</c:v>
                </c:pt>
                <c:pt idx="27">
                  <c:v>325.8</c:v>
                </c:pt>
              </c:numCache>
            </c:numRef>
          </c:val>
          <c:smooth val="0"/>
          <c:extLst>
            <c:ext xmlns:c16="http://schemas.microsoft.com/office/drawing/2014/chart" uri="{C3380CC4-5D6E-409C-BE32-E72D297353CC}">
              <c16:uniqueId val="{00000001-B932-4772-99A5-357700AE26CC}"/>
            </c:ext>
          </c:extLst>
        </c:ser>
        <c:ser>
          <c:idx val="3"/>
          <c:order val="3"/>
          <c:tx>
            <c:strRef>
              <c:f>写字楼!$Y$3</c:f>
              <c:strCache>
                <c:ptCount val="1"/>
                <c:pt idx="0">
                  <c:v>新增供应</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写字楼!$U$4:$U$31</c:f>
              <c:strCache>
                <c:ptCount val="28"/>
                <c:pt idx="0">
                  <c:v>2016Q1</c:v>
                </c:pt>
                <c:pt idx="1">
                  <c:v>2016Q2</c:v>
                </c:pt>
                <c:pt idx="2">
                  <c:v>2016Q3</c:v>
                </c:pt>
                <c:pt idx="3">
                  <c:v>2016Q4</c:v>
                </c:pt>
                <c:pt idx="4">
                  <c:v>2017Q1</c:v>
                </c:pt>
                <c:pt idx="5">
                  <c:v>2017Q2</c:v>
                </c:pt>
                <c:pt idx="6">
                  <c:v>2017Q3</c:v>
                </c:pt>
                <c:pt idx="7">
                  <c:v>2017Q4</c:v>
                </c:pt>
                <c:pt idx="8">
                  <c:v>2018Q1</c:v>
                </c:pt>
                <c:pt idx="9">
                  <c:v>2018Q2</c:v>
                </c:pt>
                <c:pt idx="10">
                  <c:v>2018Q3</c:v>
                </c:pt>
                <c:pt idx="11">
                  <c:v>2018Q4</c:v>
                </c:pt>
                <c:pt idx="12">
                  <c:v>2019Q1</c:v>
                </c:pt>
                <c:pt idx="13">
                  <c:v>2019Q2</c:v>
                </c:pt>
                <c:pt idx="14">
                  <c:v>2019Q3</c:v>
                </c:pt>
                <c:pt idx="15">
                  <c:v>2019Q4</c:v>
                </c:pt>
                <c:pt idx="16">
                  <c:v>2020Q1</c:v>
                </c:pt>
                <c:pt idx="17">
                  <c:v>2020Q2</c:v>
                </c:pt>
                <c:pt idx="18">
                  <c:v>2020Q3</c:v>
                </c:pt>
                <c:pt idx="19">
                  <c:v>2020Q4</c:v>
                </c:pt>
                <c:pt idx="20">
                  <c:v>2021Q1</c:v>
                </c:pt>
                <c:pt idx="21">
                  <c:v>2021Q2</c:v>
                </c:pt>
                <c:pt idx="22">
                  <c:v>2021Q3</c:v>
                </c:pt>
                <c:pt idx="23">
                  <c:v>2021Q4</c:v>
                </c:pt>
                <c:pt idx="24">
                  <c:v>2022Q1</c:v>
                </c:pt>
                <c:pt idx="25">
                  <c:v>2022Q2</c:v>
                </c:pt>
                <c:pt idx="26">
                  <c:v>2022Q3</c:v>
                </c:pt>
                <c:pt idx="27">
                  <c:v>2022Q4</c:v>
                </c:pt>
              </c:strCache>
            </c:strRef>
          </c:cat>
          <c:val>
            <c:numRef>
              <c:f>写字楼!$Y$4:$Y$31</c:f>
            </c:numRef>
          </c:val>
          <c:smooth val="0"/>
          <c:extLst xmlns:c15="http://schemas.microsoft.com/office/drawing/2012/chart">
            <c:ext xmlns:c16="http://schemas.microsoft.com/office/drawing/2014/chart" uri="{C3380CC4-5D6E-409C-BE32-E72D297353CC}">
              <c16:uniqueId val="{00000004-B932-4772-99A5-357700AE26CC}"/>
            </c:ext>
          </c:extLst>
        </c:ser>
        <c:ser>
          <c:idx val="4"/>
          <c:order val="4"/>
          <c:tx>
            <c:strRef>
              <c:f>写字楼!$Z$3</c:f>
              <c:strCache>
                <c:ptCount val="1"/>
                <c:pt idx="0">
                  <c:v>存量（㎡）</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写字楼!$U$4:$U$31</c:f>
              <c:strCache>
                <c:ptCount val="28"/>
                <c:pt idx="0">
                  <c:v>2016Q1</c:v>
                </c:pt>
                <c:pt idx="1">
                  <c:v>2016Q2</c:v>
                </c:pt>
                <c:pt idx="2">
                  <c:v>2016Q3</c:v>
                </c:pt>
                <c:pt idx="3">
                  <c:v>2016Q4</c:v>
                </c:pt>
                <c:pt idx="4">
                  <c:v>2017Q1</c:v>
                </c:pt>
                <c:pt idx="5">
                  <c:v>2017Q2</c:v>
                </c:pt>
                <c:pt idx="6">
                  <c:v>2017Q3</c:v>
                </c:pt>
                <c:pt idx="7">
                  <c:v>2017Q4</c:v>
                </c:pt>
                <c:pt idx="8">
                  <c:v>2018Q1</c:v>
                </c:pt>
                <c:pt idx="9">
                  <c:v>2018Q2</c:v>
                </c:pt>
                <c:pt idx="10">
                  <c:v>2018Q3</c:v>
                </c:pt>
                <c:pt idx="11">
                  <c:v>2018Q4</c:v>
                </c:pt>
                <c:pt idx="12">
                  <c:v>2019Q1</c:v>
                </c:pt>
                <c:pt idx="13">
                  <c:v>2019Q2</c:v>
                </c:pt>
                <c:pt idx="14">
                  <c:v>2019Q3</c:v>
                </c:pt>
                <c:pt idx="15">
                  <c:v>2019Q4</c:v>
                </c:pt>
                <c:pt idx="16">
                  <c:v>2020Q1</c:v>
                </c:pt>
                <c:pt idx="17">
                  <c:v>2020Q2</c:v>
                </c:pt>
                <c:pt idx="18">
                  <c:v>2020Q3</c:v>
                </c:pt>
                <c:pt idx="19">
                  <c:v>2020Q4</c:v>
                </c:pt>
                <c:pt idx="20">
                  <c:v>2021Q1</c:v>
                </c:pt>
                <c:pt idx="21">
                  <c:v>2021Q2</c:v>
                </c:pt>
                <c:pt idx="22">
                  <c:v>2021Q3</c:v>
                </c:pt>
                <c:pt idx="23">
                  <c:v>2021Q4</c:v>
                </c:pt>
                <c:pt idx="24">
                  <c:v>2022Q1</c:v>
                </c:pt>
                <c:pt idx="25">
                  <c:v>2022Q2</c:v>
                </c:pt>
                <c:pt idx="26">
                  <c:v>2022Q3</c:v>
                </c:pt>
                <c:pt idx="27">
                  <c:v>2022Q4</c:v>
                </c:pt>
              </c:strCache>
            </c:strRef>
          </c:cat>
          <c:val>
            <c:numRef>
              <c:f>写字楼!$Z$4:$Z$31</c:f>
            </c:numRef>
          </c:val>
          <c:smooth val="0"/>
          <c:extLst xmlns:c15="http://schemas.microsoft.com/office/drawing/2012/chart">
            <c:ext xmlns:c16="http://schemas.microsoft.com/office/drawing/2014/chart" uri="{C3380CC4-5D6E-409C-BE32-E72D297353CC}">
              <c16:uniqueId val="{00000005-B932-4772-99A5-357700AE26CC}"/>
            </c:ext>
          </c:extLst>
        </c:ser>
        <c:dLbls>
          <c:showLegendKey val="0"/>
          <c:showVal val="0"/>
          <c:showCatName val="0"/>
          <c:showSerName val="0"/>
          <c:showPercent val="0"/>
          <c:showBubbleSize val="0"/>
        </c:dLbls>
        <c:marker val="1"/>
        <c:smooth val="0"/>
        <c:axId val="-464645584"/>
        <c:axId val="-464627840"/>
        <c:extLst>
          <c:ext xmlns:c15="http://schemas.microsoft.com/office/drawing/2012/chart" uri="{02D57815-91ED-43cb-92C2-25804820EDAC}">
            <c15:filteredLineSeries>
              <c15:ser>
                <c:idx val="2"/>
                <c:order val="2"/>
                <c:tx>
                  <c:strRef>
                    <c:extLst>
                      <c:ext uri="{02D57815-91ED-43cb-92C2-25804820EDAC}">
                        <c15:formulaRef>
                          <c15:sqref>写字楼!$X$3</c15:sqref>
                        </c15:formulaRef>
                      </c:ext>
                    </c:extLst>
                    <c:strCache>
                      <c:ptCount val="1"/>
                      <c:pt idx="0">
                        <c:v>租金增长率</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uri="{02D57815-91ED-43cb-92C2-25804820EDAC}">
                        <c15:formulaRef>
                          <c15:sqref>写字楼!$U$4:$U$31</c15:sqref>
                        </c15:formulaRef>
                      </c:ext>
                    </c:extLst>
                    <c:strCache>
                      <c:ptCount val="28"/>
                      <c:pt idx="0">
                        <c:v>2016Q1</c:v>
                      </c:pt>
                      <c:pt idx="1">
                        <c:v>2016Q2</c:v>
                      </c:pt>
                      <c:pt idx="2">
                        <c:v>2016Q3</c:v>
                      </c:pt>
                      <c:pt idx="3">
                        <c:v>2016Q4</c:v>
                      </c:pt>
                      <c:pt idx="4">
                        <c:v>2017Q1</c:v>
                      </c:pt>
                      <c:pt idx="5">
                        <c:v>2017Q2</c:v>
                      </c:pt>
                      <c:pt idx="6">
                        <c:v>2017Q3</c:v>
                      </c:pt>
                      <c:pt idx="7">
                        <c:v>2017Q4</c:v>
                      </c:pt>
                      <c:pt idx="8">
                        <c:v>2018Q1</c:v>
                      </c:pt>
                      <c:pt idx="9">
                        <c:v>2018Q2</c:v>
                      </c:pt>
                      <c:pt idx="10">
                        <c:v>2018Q3</c:v>
                      </c:pt>
                      <c:pt idx="11">
                        <c:v>2018Q4</c:v>
                      </c:pt>
                      <c:pt idx="12">
                        <c:v>2019Q1</c:v>
                      </c:pt>
                      <c:pt idx="13">
                        <c:v>2019Q2</c:v>
                      </c:pt>
                      <c:pt idx="14">
                        <c:v>2019Q3</c:v>
                      </c:pt>
                      <c:pt idx="15">
                        <c:v>2019Q4</c:v>
                      </c:pt>
                      <c:pt idx="16">
                        <c:v>2020Q1</c:v>
                      </c:pt>
                      <c:pt idx="17">
                        <c:v>2020Q2</c:v>
                      </c:pt>
                      <c:pt idx="18">
                        <c:v>2020Q3</c:v>
                      </c:pt>
                      <c:pt idx="19">
                        <c:v>2020Q4</c:v>
                      </c:pt>
                      <c:pt idx="20">
                        <c:v>2021Q1</c:v>
                      </c:pt>
                      <c:pt idx="21">
                        <c:v>2021Q2</c:v>
                      </c:pt>
                      <c:pt idx="22">
                        <c:v>2021Q3</c:v>
                      </c:pt>
                      <c:pt idx="23">
                        <c:v>2021Q4</c:v>
                      </c:pt>
                      <c:pt idx="24">
                        <c:v>2022Q1</c:v>
                      </c:pt>
                      <c:pt idx="25">
                        <c:v>2022Q2</c:v>
                      </c:pt>
                      <c:pt idx="26">
                        <c:v>2022Q3</c:v>
                      </c:pt>
                      <c:pt idx="27">
                        <c:v>2022Q4</c:v>
                      </c:pt>
                    </c:strCache>
                  </c:strRef>
                </c:cat>
                <c:val>
                  <c:numRef>
                    <c:extLst>
                      <c:ext uri="{02D57815-91ED-43cb-92C2-25804820EDAC}">
                        <c15:formulaRef>
                          <c15:sqref>写字楼!$X$4:$X$31</c15:sqref>
                        </c15:formulaRef>
                      </c:ext>
                    </c:extLst>
                    <c:numCache>
                      <c:formatCode>0.00%</c:formatCode>
                      <c:ptCount val="28"/>
                      <c:pt idx="1">
                        <c:v>-5.885815185403178E-3</c:v>
                      </c:pt>
                      <c:pt idx="2">
                        <c:v>0</c:v>
                      </c:pt>
                      <c:pt idx="3">
                        <c:v>-2.6642984014210599E-3</c:v>
                      </c:pt>
                      <c:pt idx="4">
                        <c:v>-5.3428317008012904E-3</c:v>
                      </c:pt>
                      <c:pt idx="5">
                        <c:v>8.9525514771709933E-3</c:v>
                      </c:pt>
                      <c:pt idx="6">
                        <c:v>2.9577048210578492E-4</c:v>
                      </c:pt>
                      <c:pt idx="7">
                        <c:v>5.3222945002957172E-3</c:v>
                      </c:pt>
                      <c:pt idx="8">
                        <c:v>1.558823529411768E-2</c:v>
                      </c:pt>
                      <c:pt idx="9">
                        <c:v>2.8091514624963766E-2</c:v>
                      </c:pt>
                      <c:pt idx="10">
                        <c:v>3.3521126760563319E-2</c:v>
                      </c:pt>
                      <c:pt idx="11">
                        <c:v>5.7236304170074212E-3</c:v>
                      </c:pt>
                      <c:pt idx="12">
                        <c:v>-2.7100271002710027E-3</c:v>
                      </c:pt>
                      <c:pt idx="13">
                        <c:v>8.1521739130437868E-4</c:v>
                      </c:pt>
                      <c:pt idx="14">
                        <c:v>-1.9006244909041232E-3</c:v>
                      </c:pt>
                      <c:pt idx="15">
                        <c:v>-7.344940152339623E-3</c:v>
                      </c:pt>
                      <c:pt idx="16">
                        <c:v>-5.2069060016442245E-3</c:v>
                      </c:pt>
                      <c:pt idx="17">
                        <c:v>-6.8870523415977963E-3</c:v>
                      </c:pt>
                      <c:pt idx="18">
                        <c:v>-1.5811373092926458E-2</c:v>
                      </c:pt>
                      <c:pt idx="19">
                        <c:v>-1.578354002254798E-2</c:v>
                      </c:pt>
                      <c:pt idx="20">
                        <c:v>-1.2313860252004614E-2</c:v>
                      </c:pt>
                      <c:pt idx="21">
                        <c:v>-1.0437808060307236E-2</c:v>
                      </c:pt>
                      <c:pt idx="22">
                        <c:v>1.1719894520948644E-3</c:v>
                      </c:pt>
                      <c:pt idx="23">
                        <c:v>-2.0485806262803296E-3</c:v>
                      </c:pt>
                      <c:pt idx="24">
                        <c:v>-5.8651026392961877E-3</c:v>
                      </c:pt>
                      <c:pt idx="25">
                        <c:v>-4.4247787610619468E-3</c:v>
                      </c:pt>
                      <c:pt idx="26">
                        <c:v>-1.7777777777777778E-2</c:v>
                      </c:pt>
                      <c:pt idx="27">
                        <c:v>-1.7194570135746573E-2</c:v>
                      </c:pt>
                    </c:numCache>
                  </c:numRef>
                </c:val>
                <c:smooth val="0"/>
                <c:extLst>
                  <c:ext xmlns:c16="http://schemas.microsoft.com/office/drawing/2014/chart" uri="{C3380CC4-5D6E-409C-BE32-E72D297353CC}">
                    <c16:uniqueId val="{00000003-B932-4772-99A5-357700AE26CC}"/>
                  </c:ext>
                </c:extLst>
              </c15:ser>
            </c15:filteredLineSeries>
          </c:ext>
        </c:extLst>
      </c:lineChart>
      <c:lineChart>
        <c:grouping val="standard"/>
        <c:varyColors val="0"/>
        <c:ser>
          <c:idx val="1"/>
          <c:order val="1"/>
          <c:tx>
            <c:strRef>
              <c:f>写字楼!$W$3</c:f>
              <c:strCache>
                <c:ptCount val="1"/>
                <c:pt idx="0">
                  <c:v>空置率</c:v>
                </c:pt>
              </c:strCache>
            </c:strRef>
          </c:tx>
          <c:spPr>
            <a:ln w="28575" cap="rnd">
              <a:solidFill>
                <a:schemeClr val="accent2"/>
              </a:solidFill>
              <a:round/>
            </a:ln>
            <a:effectLst/>
          </c:spPr>
          <c:marker>
            <c:symbol val="none"/>
          </c:marker>
          <c:cat>
            <c:strRef>
              <c:f>写字楼!$U$4:$U$31</c:f>
              <c:strCache>
                <c:ptCount val="28"/>
                <c:pt idx="0">
                  <c:v>2016Q1</c:v>
                </c:pt>
                <c:pt idx="1">
                  <c:v>2016Q2</c:v>
                </c:pt>
                <c:pt idx="2">
                  <c:v>2016Q3</c:v>
                </c:pt>
                <c:pt idx="3">
                  <c:v>2016Q4</c:v>
                </c:pt>
                <c:pt idx="4">
                  <c:v>2017Q1</c:v>
                </c:pt>
                <c:pt idx="5">
                  <c:v>2017Q2</c:v>
                </c:pt>
                <c:pt idx="6">
                  <c:v>2017Q3</c:v>
                </c:pt>
                <c:pt idx="7">
                  <c:v>2017Q4</c:v>
                </c:pt>
                <c:pt idx="8">
                  <c:v>2018Q1</c:v>
                </c:pt>
                <c:pt idx="9">
                  <c:v>2018Q2</c:v>
                </c:pt>
                <c:pt idx="10">
                  <c:v>2018Q3</c:v>
                </c:pt>
                <c:pt idx="11">
                  <c:v>2018Q4</c:v>
                </c:pt>
                <c:pt idx="12">
                  <c:v>2019Q1</c:v>
                </c:pt>
                <c:pt idx="13">
                  <c:v>2019Q2</c:v>
                </c:pt>
                <c:pt idx="14">
                  <c:v>2019Q3</c:v>
                </c:pt>
                <c:pt idx="15">
                  <c:v>2019Q4</c:v>
                </c:pt>
                <c:pt idx="16">
                  <c:v>2020Q1</c:v>
                </c:pt>
                <c:pt idx="17">
                  <c:v>2020Q2</c:v>
                </c:pt>
                <c:pt idx="18">
                  <c:v>2020Q3</c:v>
                </c:pt>
                <c:pt idx="19">
                  <c:v>2020Q4</c:v>
                </c:pt>
                <c:pt idx="20">
                  <c:v>2021Q1</c:v>
                </c:pt>
                <c:pt idx="21">
                  <c:v>2021Q2</c:v>
                </c:pt>
                <c:pt idx="22">
                  <c:v>2021Q3</c:v>
                </c:pt>
                <c:pt idx="23">
                  <c:v>2021Q4</c:v>
                </c:pt>
                <c:pt idx="24">
                  <c:v>2022Q1</c:v>
                </c:pt>
                <c:pt idx="25">
                  <c:v>2022Q2</c:v>
                </c:pt>
                <c:pt idx="26">
                  <c:v>2022Q3</c:v>
                </c:pt>
                <c:pt idx="27">
                  <c:v>2022Q4</c:v>
                </c:pt>
              </c:strCache>
            </c:strRef>
          </c:cat>
          <c:val>
            <c:numRef>
              <c:f>写字楼!$W$4:$W$31</c:f>
              <c:numCache>
                <c:formatCode>0.00%</c:formatCode>
                <c:ptCount val="28"/>
                <c:pt idx="0">
                  <c:v>3.9E-2</c:v>
                </c:pt>
                <c:pt idx="1">
                  <c:v>4.3999999999999997E-2</c:v>
                </c:pt>
                <c:pt idx="2">
                  <c:v>4.9000000000000002E-2</c:v>
                </c:pt>
                <c:pt idx="3">
                  <c:v>5.6000000000000001E-2</c:v>
                </c:pt>
                <c:pt idx="4">
                  <c:v>6.0999999999999999E-2</c:v>
                </c:pt>
                <c:pt idx="5">
                  <c:v>6.5000000000000002E-2</c:v>
                </c:pt>
                <c:pt idx="6">
                  <c:v>5.5E-2</c:v>
                </c:pt>
                <c:pt idx="7">
                  <c:v>7.5999999999999998E-2</c:v>
                </c:pt>
                <c:pt idx="8">
                  <c:v>6.8000000000000005E-2</c:v>
                </c:pt>
                <c:pt idx="9">
                  <c:v>5.8000000000000003E-2</c:v>
                </c:pt>
                <c:pt idx="10">
                  <c:v>6.5000000000000002E-2</c:v>
                </c:pt>
                <c:pt idx="11">
                  <c:v>7.0000000000000007E-2</c:v>
                </c:pt>
                <c:pt idx="12">
                  <c:v>6.9000000000000006E-2</c:v>
                </c:pt>
                <c:pt idx="13">
                  <c:v>8.5999999999999993E-2</c:v>
                </c:pt>
                <c:pt idx="14">
                  <c:v>9.1999999999999998E-2</c:v>
                </c:pt>
                <c:pt idx="15">
                  <c:v>0.127</c:v>
                </c:pt>
                <c:pt idx="16">
                  <c:v>0.13200000000000001</c:v>
                </c:pt>
                <c:pt idx="17">
                  <c:v>0.13600000000000001</c:v>
                </c:pt>
                <c:pt idx="18">
                  <c:v>0.15</c:v>
                </c:pt>
                <c:pt idx="19">
                  <c:v>0.158</c:v>
                </c:pt>
                <c:pt idx="20">
                  <c:v>0.16600000000000001</c:v>
                </c:pt>
                <c:pt idx="21">
                  <c:v>0.17299999999999999</c:v>
                </c:pt>
                <c:pt idx="22">
                  <c:v>0.16700000000000001</c:v>
                </c:pt>
                <c:pt idx="23">
                  <c:v>0.15</c:v>
                </c:pt>
                <c:pt idx="24">
                  <c:v>0.153</c:v>
                </c:pt>
                <c:pt idx="25">
                  <c:v>0.158</c:v>
                </c:pt>
                <c:pt idx="26">
                  <c:v>0.158</c:v>
                </c:pt>
                <c:pt idx="27">
                  <c:v>0.16300000000000001</c:v>
                </c:pt>
              </c:numCache>
            </c:numRef>
          </c:val>
          <c:smooth val="0"/>
          <c:extLst>
            <c:ext xmlns:c16="http://schemas.microsoft.com/office/drawing/2014/chart" uri="{C3380CC4-5D6E-409C-BE32-E72D297353CC}">
              <c16:uniqueId val="{00000002-B932-4772-99A5-357700AE26CC}"/>
            </c:ext>
          </c:extLst>
        </c:ser>
        <c:dLbls>
          <c:showLegendKey val="0"/>
          <c:showVal val="0"/>
          <c:showCatName val="0"/>
          <c:showSerName val="0"/>
          <c:showPercent val="0"/>
          <c:showBubbleSize val="0"/>
        </c:dLbls>
        <c:marker val="1"/>
        <c:smooth val="0"/>
        <c:axId val="-464654432"/>
        <c:axId val="-464712992"/>
      </c:lineChart>
      <c:catAx>
        <c:axId val="-464645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464627840"/>
        <c:crosses val="autoZero"/>
        <c:auto val="1"/>
        <c:lblAlgn val="ctr"/>
        <c:lblOffset val="100"/>
        <c:noMultiLvlLbl val="0"/>
      </c:catAx>
      <c:valAx>
        <c:axId val="-464627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464645584"/>
        <c:crosses val="autoZero"/>
        <c:crossBetween val="between"/>
      </c:valAx>
      <c:valAx>
        <c:axId val="-464712992"/>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464654432"/>
        <c:crosses val="max"/>
        <c:crossBetween val="between"/>
      </c:valAx>
      <c:catAx>
        <c:axId val="-464654432"/>
        <c:scaling>
          <c:orientation val="minMax"/>
        </c:scaling>
        <c:delete val="1"/>
        <c:axPos val="b"/>
        <c:numFmt formatCode="General" sourceLinked="1"/>
        <c:majorTickMark val="out"/>
        <c:minorTickMark val="none"/>
        <c:tickLblPos val="nextTo"/>
        <c:crossAx val="-4647129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CN" altLang="en-US"/>
              <a:t>戴德全市甲级及以上办公楼市场分析</a:t>
            </a:r>
          </a:p>
        </c:rich>
      </c:tx>
      <c:layout>
        <c:manualLayout>
          <c:xMode val="edge"/>
          <c:yMode val="edge"/>
          <c:x val="0.26353151200229502"/>
          <c:y val="4.6644457689282298E-2"/>
        </c:manualLayout>
      </c:layout>
      <c:overlay val="0"/>
      <c:spPr>
        <a:noFill/>
        <a:ln>
          <a:noFill/>
        </a:ln>
        <a:effectLst/>
      </c:spPr>
    </c:title>
    <c:autoTitleDeleted val="0"/>
    <c:plotArea>
      <c:layout/>
      <c:barChart>
        <c:barDir val="col"/>
        <c:grouping val="clustered"/>
        <c:varyColors val="0"/>
        <c:dLbls>
          <c:showLegendKey val="0"/>
          <c:showVal val="0"/>
          <c:showCatName val="0"/>
          <c:showSerName val="0"/>
          <c:showPercent val="0"/>
          <c:showBubbleSize val="0"/>
        </c:dLbls>
        <c:gapWidth val="150"/>
        <c:axId val="-464561376"/>
        <c:axId val="-464554224"/>
        <c:extLst>
          <c:ext xmlns:c15="http://schemas.microsoft.com/office/drawing/2012/chart" uri="{02D57815-91ED-43cb-92C2-25804820EDAC}">
            <c15:filteredBarSeries>
              <c15:ser>
                <c:idx val="4"/>
                <c:order val="4"/>
                <c:tx>
                  <c:strRef>
                    <c:extLst>
                      <c:ext uri="{02D57815-91ED-43cb-92C2-25804820EDAC}">
                        <c15:formulaRef>
                          <c15:sqref>写字楼!$G$3</c15:sqref>
                        </c15:formulaRef>
                      </c:ext>
                    </c:extLst>
                    <c:strCache>
                      <c:ptCount val="1"/>
                      <c:pt idx="0">
                        <c:v>库存（万㎡）</c:v>
                      </c:pt>
                    </c:strCache>
                  </c:strRef>
                </c:tx>
                <c:invertIfNegative val="0"/>
                <c:cat>
                  <c:strRef>
                    <c:extLst>
                      <c:ext uri="{02D57815-91ED-43cb-92C2-25804820EDAC}">
                        <c15:fullRef>
                          <c15:sqref>写字楼!$B$4:$B$31</c15:sqref>
                        </c15:fullRef>
                        <c15:formulaRef>
                          <c15:sqref>写字楼!$B$5:$B$31</c15:sqref>
                        </c15:formulaRef>
                      </c:ext>
                    </c:extLst>
                    <c:strCache>
                      <c:ptCount val="27"/>
                      <c:pt idx="0">
                        <c:v>2016Q2</c:v>
                      </c:pt>
                      <c:pt idx="1">
                        <c:v>2016Q3</c:v>
                      </c:pt>
                      <c:pt idx="2">
                        <c:v>2016Q4</c:v>
                      </c:pt>
                      <c:pt idx="3">
                        <c:v>2017Q1</c:v>
                      </c:pt>
                      <c:pt idx="4">
                        <c:v>2017Q2</c:v>
                      </c:pt>
                      <c:pt idx="5">
                        <c:v>2017Q3</c:v>
                      </c:pt>
                      <c:pt idx="6">
                        <c:v>2017Q4</c:v>
                      </c:pt>
                      <c:pt idx="7">
                        <c:v>2018Q1</c:v>
                      </c:pt>
                      <c:pt idx="8">
                        <c:v>2018Q2</c:v>
                      </c:pt>
                      <c:pt idx="9">
                        <c:v>2018Q3</c:v>
                      </c:pt>
                      <c:pt idx="10">
                        <c:v>2018Q4</c:v>
                      </c:pt>
                      <c:pt idx="11">
                        <c:v>2019Q1</c:v>
                      </c:pt>
                      <c:pt idx="12">
                        <c:v>2019Q2</c:v>
                      </c:pt>
                      <c:pt idx="13">
                        <c:v>2019Q3</c:v>
                      </c:pt>
                      <c:pt idx="14">
                        <c:v>2019Q4</c:v>
                      </c:pt>
                      <c:pt idx="15">
                        <c:v>2020Q1</c:v>
                      </c:pt>
                      <c:pt idx="16">
                        <c:v>2020Q2</c:v>
                      </c:pt>
                      <c:pt idx="17">
                        <c:v>2020Q3</c:v>
                      </c:pt>
                      <c:pt idx="18">
                        <c:v>2020Q4</c:v>
                      </c:pt>
                      <c:pt idx="19">
                        <c:v>2021Q1</c:v>
                      </c:pt>
                      <c:pt idx="20">
                        <c:v>2021Q2</c:v>
                      </c:pt>
                      <c:pt idx="21">
                        <c:v>2021Q3</c:v>
                      </c:pt>
                      <c:pt idx="22">
                        <c:v>2021Q4</c:v>
                      </c:pt>
                      <c:pt idx="23">
                        <c:v>2022Q1</c:v>
                      </c:pt>
                      <c:pt idx="24">
                        <c:v>2022Q2</c:v>
                      </c:pt>
                      <c:pt idx="25">
                        <c:v>2022Q3</c:v>
                      </c:pt>
                      <c:pt idx="26">
                        <c:v>2022Q4</c:v>
                      </c:pt>
                    </c:strCache>
                  </c:strRef>
                </c:cat>
                <c:val>
                  <c:numRef>
                    <c:extLst>
                      <c:ext uri="{02D57815-91ED-43cb-92C2-25804820EDAC}">
                        <c15:fullRef>
                          <c15:sqref>写字楼!$G$4:$G$31</c15:sqref>
                        </c15:fullRef>
                        <c15:formulaRef>
                          <c15:sqref>写字楼!$G$5:$G$31</c15:sqref>
                        </c15:formulaRef>
                      </c:ext>
                    </c:extLst>
                    <c:numCache>
                      <c:formatCode>General</c:formatCode>
                      <c:ptCount val="27"/>
                      <c:pt idx="0">
                        <c:v>852.08</c:v>
                      </c:pt>
                      <c:pt idx="1">
                        <c:v>905.39</c:v>
                      </c:pt>
                      <c:pt idx="2">
                        <c:v>930.21</c:v>
                      </c:pt>
                      <c:pt idx="3">
                        <c:v>946</c:v>
                      </c:pt>
                      <c:pt idx="4">
                        <c:v>967.06</c:v>
                      </c:pt>
                      <c:pt idx="5">
                        <c:v>967.06</c:v>
                      </c:pt>
                      <c:pt idx="6">
                        <c:v>1005.54</c:v>
                      </c:pt>
                      <c:pt idx="7">
                        <c:v>1043.6099999999999</c:v>
                      </c:pt>
                      <c:pt idx="8">
                        <c:v>1043.6099999999999</c:v>
                      </c:pt>
                      <c:pt idx="9">
                        <c:v>1048.5999999999999</c:v>
                      </c:pt>
                      <c:pt idx="10">
                        <c:v>1058</c:v>
                      </c:pt>
                      <c:pt idx="11">
                        <c:v>1058</c:v>
                      </c:pt>
                      <c:pt idx="12">
                        <c:v>1034.68</c:v>
                      </c:pt>
                      <c:pt idx="13">
                        <c:v>1055.3800000000001</c:v>
                      </c:pt>
                      <c:pt idx="14">
                        <c:v>1114.18</c:v>
                      </c:pt>
                      <c:pt idx="15">
                        <c:v>1114.18</c:v>
                      </c:pt>
                      <c:pt idx="16">
                        <c:v>1150.42</c:v>
                      </c:pt>
                      <c:pt idx="17">
                        <c:v>1166.92</c:v>
                      </c:pt>
                      <c:pt idx="18">
                        <c:v>1198.4100000000001</c:v>
                      </c:pt>
                      <c:pt idx="19">
                        <c:v>1198.4100000000001</c:v>
                      </c:pt>
                      <c:pt idx="20">
                        <c:v>1245.3599999999999</c:v>
                      </c:pt>
                      <c:pt idx="21">
                        <c:v>1255.1199999999999</c:v>
                      </c:pt>
                      <c:pt idx="22">
                        <c:v>1260.82</c:v>
                      </c:pt>
                      <c:pt idx="23">
                        <c:v>1278.3499999999999</c:v>
                      </c:pt>
                      <c:pt idx="24">
                        <c:v>1280.3499999999999</c:v>
                      </c:pt>
                      <c:pt idx="25">
                        <c:v>1295.5</c:v>
                      </c:pt>
                      <c:pt idx="26">
                        <c:v>1303.2</c:v>
                      </c:pt>
                    </c:numCache>
                  </c:numRef>
                </c:val>
                <c:extLst>
                  <c:ext xmlns:c16="http://schemas.microsoft.com/office/drawing/2014/chart" uri="{C3380CC4-5D6E-409C-BE32-E72D297353CC}">
                    <c16:uniqueId val="{00000000-0E25-4A05-88E5-A0FAB0C5F4FC}"/>
                  </c:ext>
                </c:extLst>
              </c15:ser>
            </c15:filteredBarSeries>
          </c:ext>
        </c:extLst>
      </c:barChart>
      <c:lineChart>
        <c:grouping val="standard"/>
        <c:varyColors val="0"/>
        <c:ser>
          <c:idx val="0"/>
          <c:order val="0"/>
          <c:tx>
            <c:strRef>
              <c:f>写字楼!$C$3</c:f>
              <c:strCache>
                <c:ptCount val="1"/>
                <c:pt idx="0">
                  <c:v>平均有效租金</c:v>
                </c:pt>
              </c:strCache>
            </c:strRef>
          </c:tx>
          <c:spPr>
            <a:effectLst/>
          </c:spPr>
          <c:marker>
            <c:symbol val="none"/>
          </c:marker>
          <c:cat>
            <c:strRef>
              <c:extLst>
                <c:ext xmlns:c15="http://schemas.microsoft.com/office/drawing/2012/chart" uri="{02D57815-91ED-43cb-92C2-25804820EDAC}">
                  <c15:fullRef>
                    <c15:sqref>写字楼!$B$4:$B$31</c15:sqref>
                  </c15:fullRef>
                </c:ext>
              </c:extLst>
              <c:f>写字楼!$B$5:$B$31</c:f>
              <c:strCache>
                <c:ptCount val="27"/>
                <c:pt idx="0">
                  <c:v>2016Q2</c:v>
                </c:pt>
                <c:pt idx="1">
                  <c:v>2016Q3</c:v>
                </c:pt>
                <c:pt idx="2">
                  <c:v>2016Q4</c:v>
                </c:pt>
                <c:pt idx="3">
                  <c:v>2017Q1</c:v>
                </c:pt>
                <c:pt idx="4">
                  <c:v>2017Q2</c:v>
                </c:pt>
                <c:pt idx="5">
                  <c:v>2017Q3</c:v>
                </c:pt>
                <c:pt idx="6">
                  <c:v>2017Q4</c:v>
                </c:pt>
                <c:pt idx="7">
                  <c:v>2018Q1</c:v>
                </c:pt>
                <c:pt idx="8">
                  <c:v>2018Q2</c:v>
                </c:pt>
                <c:pt idx="9">
                  <c:v>2018Q3</c:v>
                </c:pt>
                <c:pt idx="10">
                  <c:v>2018Q4</c:v>
                </c:pt>
                <c:pt idx="11">
                  <c:v>2019Q1</c:v>
                </c:pt>
                <c:pt idx="12">
                  <c:v>2019Q2</c:v>
                </c:pt>
                <c:pt idx="13">
                  <c:v>2019Q3</c:v>
                </c:pt>
                <c:pt idx="14">
                  <c:v>2019Q4</c:v>
                </c:pt>
                <c:pt idx="15">
                  <c:v>2020Q1</c:v>
                </c:pt>
                <c:pt idx="16">
                  <c:v>2020Q2</c:v>
                </c:pt>
                <c:pt idx="17">
                  <c:v>2020Q3</c:v>
                </c:pt>
                <c:pt idx="18">
                  <c:v>2020Q4</c:v>
                </c:pt>
                <c:pt idx="19">
                  <c:v>2021Q1</c:v>
                </c:pt>
                <c:pt idx="20">
                  <c:v>2021Q2</c:v>
                </c:pt>
                <c:pt idx="21">
                  <c:v>2021Q3</c:v>
                </c:pt>
                <c:pt idx="22">
                  <c:v>2021Q4</c:v>
                </c:pt>
                <c:pt idx="23">
                  <c:v>2022Q1</c:v>
                </c:pt>
                <c:pt idx="24">
                  <c:v>2022Q2</c:v>
                </c:pt>
                <c:pt idx="25">
                  <c:v>2022Q3</c:v>
                </c:pt>
                <c:pt idx="26">
                  <c:v>2022Q4</c:v>
                </c:pt>
              </c:strCache>
            </c:strRef>
          </c:cat>
          <c:val>
            <c:numRef>
              <c:extLst>
                <c:ext xmlns:c15="http://schemas.microsoft.com/office/drawing/2012/chart" uri="{02D57815-91ED-43cb-92C2-25804820EDAC}">
                  <c15:fullRef>
                    <c15:sqref>写字楼!$C$4:$C$31</c15:sqref>
                  </c15:fullRef>
                </c:ext>
              </c:extLst>
              <c:f>写字楼!$C$5:$C$31</c:f>
              <c:numCache>
                <c:formatCode>General</c:formatCode>
                <c:ptCount val="27"/>
                <c:pt idx="0">
                  <c:v>378.1</c:v>
                </c:pt>
                <c:pt idx="1">
                  <c:v>383.7</c:v>
                </c:pt>
                <c:pt idx="2">
                  <c:v>387.2</c:v>
                </c:pt>
                <c:pt idx="3">
                  <c:v>388.4</c:v>
                </c:pt>
                <c:pt idx="4">
                  <c:v>392.1</c:v>
                </c:pt>
                <c:pt idx="5">
                  <c:v>391.3</c:v>
                </c:pt>
                <c:pt idx="6">
                  <c:v>395.7</c:v>
                </c:pt>
                <c:pt idx="7">
                  <c:v>391.3</c:v>
                </c:pt>
                <c:pt idx="8">
                  <c:v>394.4</c:v>
                </c:pt>
                <c:pt idx="9">
                  <c:v>403</c:v>
                </c:pt>
                <c:pt idx="10">
                  <c:v>400.1</c:v>
                </c:pt>
                <c:pt idx="11">
                  <c:v>399.75</c:v>
                </c:pt>
                <c:pt idx="12">
                  <c:v>396.19</c:v>
                </c:pt>
                <c:pt idx="13">
                  <c:v>388.16</c:v>
                </c:pt>
                <c:pt idx="14">
                  <c:v>382.4</c:v>
                </c:pt>
                <c:pt idx="15">
                  <c:v>377.49</c:v>
                </c:pt>
                <c:pt idx="16">
                  <c:v>358.51</c:v>
                </c:pt>
                <c:pt idx="17">
                  <c:v>348.4</c:v>
                </c:pt>
                <c:pt idx="18">
                  <c:v>337.2</c:v>
                </c:pt>
                <c:pt idx="19">
                  <c:v>334</c:v>
                </c:pt>
                <c:pt idx="20">
                  <c:v>326</c:v>
                </c:pt>
                <c:pt idx="21">
                  <c:v>332</c:v>
                </c:pt>
                <c:pt idx="22">
                  <c:v>337.6</c:v>
                </c:pt>
                <c:pt idx="23">
                  <c:v>334.6</c:v>
                </c:pt>
                <c:pt idx="24">
                  <c:v>332.7</c:v>
                </c:pt>
                <c:pt idx="25">
                  <c:v>330.8</c:v>
                </c:pt>
                <c:pt idx="26">
                  <c:v>321.5</c:v>
                </c:pt>
              </c:numCache>
            </c:numRef>
          </c:val>
          <c:smooth val="0"/>
          <c:extLst>
            <c:ext xmlns:c16="http://schemas.microsoft.com/office/drawing/2014/chart" uri="{C3380CC4-5D6E-409C-BE32-E72D297353CC}">
              <c16:uniqueId val="{00000001-0E25-4A05-88E5-A0FAB0C5F4FC}"/>
            </c:ext>
          </c:extLst>
        </c:ser>
        <c:dLbls>
          <c:showLegendKey val="0"/>
          <c:showVal val="0"/>
          <c:showCatName val="0"/>
          <c:showSerName val="0"/>
          <c:showPercent val="0"/>
          <c:showBubbleSize val="0"/>
        </c:dLbls>
        <c:marker val="1"/>
        <c:smooth val="0"/>
        <c:axId val="-464561376"/>
        <c:axId val="-464554224"/>
      </c:lineChart>
      <c:lineChart>
        <c:grouping val="standard"/>
        <c:varyColors val="0"/>
        <c:ser>
          <c:idx val="1"/>
          <c:order val="1"/>
          <c:tx>
            <c:strRef>
              <c:f>写字楼!$D$3</c:f>
              <c:strCache>
                <c:ptCount val="1"/>
                <c:pt idx="0">
                  <c:v>空置率</c:v>
                </c:pt>
              </c:strCache>
            </c:strRef>
          </c:tx>
          <c:spPr>
            <a:ln w="28575" cap="rnd">
              <a:solidFill>
                <a:schemeClr val="accent2"/>
              </a:solidFill>
              <a:round/>
            </a:ln>
            <a:effectLst/>
          </c:spPr>
          <c:marker>
            <c:symbol val="none"/>
          </c:marker>
          <c:cat>
            <c:strRef>
              <c:extLst>
                <c:ext xmlns:c15="http://schemas.microsoft.com/office/drawing/2012/chart" uri="{02D57815-91ED-43cb-92C2-25804820EDAC}">
                  <c15:fullRef>
                    <c15:sqref>写字楼!$B$4:$B$31</c15:sqref>
                  </c15:fullRef>
                </c:ext>
              </c:extLst>
              <c:f>写字楼!$B$5:$B$31</c:f>
              <c:strCache>
                <c:ptCount val="27"/>
                <c:pt idx="0">
                  <c:v>2016Q2</c:v>
                </c:pt>
                <c:pt idx="1">
                  <c:v>2016Q3</c:v>
                </c:pt>
                <c:pt idx="2">
                  <c:v>2016Q4</c:v>
                </c:pt>
                <c:pt idx="3">
                  <c:v>2017Q1</c:v>
                </c:pt>
                <c:pt idx="4">
                  <c:v>2017Q2</c:v>
                </c:pt>
                <c:pt idx="5">
                  <c:v>2017Q3</c:v>
                </c:pt>
                <c:pt idx="6">
                  <c:v>2017Q4</c:v>
                </c:pt>
                <c:pt idx="7">
                  <c:v>2018Q1</c:v>
                </c:pt>
                <c:pt idx="8">
                  <c:v>2018Q2</c:v>
                </c:pt>
                <c:pt idx="9">
                  <c:v>2018Q3</c:v>
                </c:pt>
                <c:pt idx="10">
                  <c:v>2018Q4</c:v>
                </c:pt>
                <c:pt idx="11">
                  <c:v>2019Q1</c:v>
                </c:pt>
                <c:pt idx="12">
                  <c:v>2019Q2</c:v>
                </c:pt>
                <c:pt idx="13">
                  <c:v>2019Q3</c:v>
                </c:pt>
                <c:pt idx="14">
                  <c:v>2019Q4</c:v>
                </c:pt>
                <c:pt idx="15">
                  <c:v>2020Q1</c:v>
                </c:pt>
                <c:pt idx="16">
                  <c:v>2020Q2</c:v>
                </c:pt>
                <c:pt idx="17">
                  <c:v>2020Q3</c:v>
                </c:pt>
                <c:pt idx="18">
                  <c:v>2020Q4</c:v>
                </c:pt>
                <c:pt idx="19">
                  <c:v>2021Q1</c:v>
                </c:pt>
                <c:pt idx="20">
                  <c:v>2021Q2</c:v>
                </c:pt>
                <c:pt idx="21">
                  <c:v>2021Q3</c:v>
                </c:pt>
                <c:pt idx="22">
                  <c:v>2021Q4</c:v>
                </c:pt>
                <c:pt idx="23">
                  <c:v>2022Q1</c:v>
                </c:pt>
                <c:pt idx="24">
                  <c:v>2022Q2</c:v>
                </c:pt>
                <c:pt idx="25">
                  <c:v>2022Q3</c:v>
                </c:pt>
                <c:pt idx="26">
                  <c:v>2022Q4</c:v>
                </c:pt>
              </c:strCache>
            </c:strRef>
          </c:cat>
          <c:val>
            <c:numRef>
              <c:extLst>
                <c:ext xmlns:c15="http://schemas.microsoft.com/office/drawing/2012/chart" uri="{02D57815-91ED-43cb-92C2-25804820EDAC}">
                  <c15:fullRef>
                    <c15:sqref>写字楼!$D$4:$D$31</c15:sqref>
                  </c15:fullRef>
                </c:ext>
              </c:extLst>
              <c:f>写字楼!$D$5:$D$31</c:f>
              <c:numCache>
                <c:formatCode>0.00%</c:formatCode>
                <c:ptCount val="27"/>
                <c:pt idx="0">
                  <c:v>7.2999999999999995E-2</c:v>
                </c:pt>
                <c:pt idx="1">
                  <c:v>5.8000000000000003E-2</c:v>
                </c:pt>
                <c:pt idx="2">
                  <c:v>6.6000000000000003E-2</c:v>
                </c:pt>
                <c:pt idx="3">
                  <c:v>6.6000000000000003E-2</c:v>
                </c:pt>
                <c:pt idx="4">
                  <c:v>7.1999999999999995E-2</c:v>
                </c:pt>
                <c:pt idx="5">
                  <c:v>6.3E-2</c:v>
                </c:pt>
                <c:pt idx="6">
                  <c:v>7.6999999999999999E-2</c:v>
                </c:pt>
                <c:pt idx="7">
                  <c:v>8.4000000000000005E-2</c:v>
                </c:pt>
                <c:pt idx="8">
                  <c:v>7.0999999999999994E-2</c:v>
                </c:pt>
                <c:pt idx="9">
                  <c:v>7.9000000000000001E-2</c:v>
                </c:pt>
                <c:pt idx="10">
                  <c:v>8.1000000000000003E-2</c:v>
                </c:pt>
                <c:pt idx="11">
                  <c:v>7.9200000000000007E-2</c:v>
                </c:pt>
                <c:pt idx="12">
                  <c:v>8.8999999999999996E-2</c:v>
                </c:pt>
                <c:pt idx="13">
                  <c:v>0.10150000000000001</c:v>
                </c:pt>
                <c:pt idx="14">
                  <c:v>0.13500000000000001</c:v>
                </c:pt>
                <c:pt idx="15">
                  <c:v>0.13800000000000001</c:v>
                </c:pt>
                <c:pt idx="16">
                  <c:v>0.16200000000000001</c:v>
                </c:pt>
                <c:pt idx="17">
                  <c:v>0.16600000000000001</c:v>
                </c:pt>
                <c:pt idx="18">
                  <c:v>0.17</c:v>
                </c:pt>
                <c:pt idx="19">
                  <c:v>0.17199999999999999</c:v>
                </c:pt>
                <c:pt idx="20">
                  <c:v>0.17499999999999999</c:v>
                </c:pt>
                <c:pt idx="21">
                  <c:v>0.16200000000000001</c:v>
                </c:pt>
                <c:pt idx="22">
                  <c:v>0.14599999999999999</c:v>
                </c:pt>
                <c:pt idx="23">
                  <c:v>0.14299999999999999</c:v>
                </c:pt>
                <c:pt idx="24">
                  <c:v>0.13900000000000001</c:v>
                </c:pt>
                <c:pt idx="25">
                  <c:v>0.14599999999999999</c:v>
                </c:pt>
                <c:pt idx="26">
                  <c:v>0.16</c:v>
                </c:pt>
              </c:numCache>
            </c:numRef>
          </c:val>
          <c:smooth val="0"/>
          <c:extLst>
            <c:ext xmlns:c16="http://schemas.microsoft.com/office/drawing/2014/chart" uri="{C3380CC4-5D6E-409C-BE32-E72D297353CC}">
              <c16:uniqueId val="{00000002-0E25-4A05-88E5-A0FAB0C5F4FC}"/>
            </c:ext>
          </c:extLst>
        </c:ser>
        <c:dLbls>
          <c:showLegendKey val="0"/>
          <c:showVal val="0"/>
          <c:showCatName val="0"/>
          <c:showSerName val="0"/>
          <c:showPercent val="0"/>
          <c:showBubbleSize val="0"/>
        </c:dLbls>
        <c:marker val="1"/>
        <c:smooth val="0"/>
        <c:axId val="-464537296"/>
        <c:axId val="-464546800"/>
        <c:extLst>
          <c:ext xmlns:c15="http://schemas.microsoft.com/office/drawing/2012/chart" uri="{02D57815-91ED-43cb-92C2-25804820EDAC}">
            <c15:filteredLineSeries>
              <c15:ser>
                <c:idx val="2"/>
                <c:order val="2"/>
                <c:tx>
                  <c:strRef>
                    <c:extLst>
                      <c:ext uri="{02D57815-91ED-43cb-92C2-25804820EDAC}">
                        <c15:formulaRef>
                          <c15:sqref>写字楼!$E$3</c15:sqref>
                        </c15:formulaRef>
                      </c:ext>
                    </c:extLst>
                    <c:strCache>
                      <c:ptCount val="1"/>
                      <c:pt idx="0">
                        <c:v>租金增长率（环比）</c:v>
                      </c:pt>
                    </c:strCache>
                  </c:strRef>
                </c:tx>
                <c:marker>
                  <c:symbol val="none"/>
                </c:marker>
                <c:cat>
                  <c:strRef>
                    <c:extLst>
                      <c:ext uri="{02D57815-91ED-43cb-92C2-25804820EDAC}">
                        <c15:fullRef>
                          <c15:sqref>写字楼!$B$4:$B$31</c15:sqref>
                        </c15:fullRef>
                        <c15:formulaRef>
                          <c15:sqref>写字楼!$B$5:$B$31</c15:sqref>
                        </c15:formulaRef>
                      </c:ext>
                    </c:extLst>
                    <c:strCache>
                      <c:ptCount val="27"/>
                      <c:pt idx="0">
                        <c:v>2016Q2</c:v>
                      </c:pt>
                      <c:pt idx="1">
                        <c:v>2016Q3</c:v>
                      </c:pt>
                      <c:pt idx="2">
                        <c:v>2016Q4</c:v>
                      </c:pt>
                      <c:pt idx="3">
                        <c:v>2017Q1</c:v>
                      </c:pt>
                      <c:pt idx="4">
                        <c:v>2017Q2</c:v>
                      </c:pt>
                      <c:pt idx="5">
                        <c:v>2017Q3</c:v>
                      </c:pt>
                      <c:pt idx="6">
                        <c:v>2017Q4</c:v>
                      </c:pt>
                      <c:pt idx="7">
                        <c:v>2018Q1</c:v>
                      </c:pt>
                      <c:pt idx="8">
                        <c:v>2018Q2</c:v>
                      </c:pt>
                      <c:pt idx="9">
                        <c:v>2018Q3</c:v>
                      </c:pt>
                      <c:pt idx="10">
                        <c:v>2018Q4</c:v>
                      </c:pt>
                      <c:pt idx="11">
                        <c:v>2019Q1</c:v>
                      </c:pt>
                      <c:pt idx="12">
                        <c:v>2019Q2</c:v>
                      </c:pt>
                      <c:pt idx="13">
                        <c:v>2019Q3</c:v>
                      </c:pt>
                      <c:pt idx="14">
                        <c:v>2019Q4</c:v>
                      </c:pt>
                      <c:pt idx="15">
                        <c:v>2020Q1</c:v>
                      </c:pt>
                      <c:pt idx="16">
                        <c:v>2020Q2</c:v>
                      </c:pt>
                      <c:pt idx="17">
                        <c:v>2020Q3</c:v>
                      </c:pt>
                      <c:pt idx="18">
                        <c:v>2020Q4</c:v>
                      </c:pt>
                      <c:pt idx="19">
                        <c:v>2021Q1</c:v>
                      </c:pt>
                      <c:pt idx="20">
                        <c:v>2021Q2</c:v>
                      </c:pt>
                      <c:pt idx="21">
                        <c:v>2021Q3</c:v>
                      </c:pt>
                      <c:pt idx="22">
                        <c:v>2021Q4</c:v>
                      </c:pt>
                      <c:pt idx="23">
                        <c:v>2022Q1</c:v>
                      </c:pt>
                      <c:pt idx="24">
                        <c:v>2022Q2</c:v>
                      </c:pt>
                      <c:pt idx="25">
                        <c:v>2022Q3</c:v>
                      </c:pt>
                      <c:pt idx="26">
                        <c:v>2022Q4</c:v>
                      </c:pt>
                    </c:strCache>
                  </c:strRef>
                </c:cat>
                <c:val>
                  <c:numRef>
                    <c:extLst>
                      <c:ext uri="{02D57815-91ED-43cb-92C2-25804820EDAC}">
                        <c15:fullRef>
                          <c15:sqref>写字楼!$E$4:$E$31</c15:sqref>
                        </c15:fullRef>
                        <c15:formulaRef>
                          <c15:sqref>写字楼!$E$5:$E$31</c15:sqref>
                        </c15:formulaRef>
                      </c:ext>
                    </c:extLst>
                    <c:numCache>
                      <c:formatCode>0.00%</c:formatCode>
                      <c:ptCount val="27"/>
                      <c:pt idx="0">
                        <c:v>-3.9515279241306633E-3</c:v>
                      </c:pt>
                      <c:pt idx="1">
                        <c:v>1.4810896588204088E-2</c:v>
                      </c:pt>
                      <c:pt idx="2">
                        <c:v>9.1217096690122488E-3</c:v>
                      </c:pt>
                      <c:pt idx="3">
                        <c:v>3.0991735537189789E-3</c:v>
                      </c:pt>
                      <c:pt idx="4">
                        <c:v>9.5262615859939385E-3</c:v>
                      </c:pt>
                      <c:pt idx="5">
                        <c:v>-2.0402958428972491E-3</c:v>
                      </c:pt>
                      <c:pt idx="6">
                        <c:v>1.124456938410421E-2</c:v>
                      </c:pt>
                      <c:pt idx="7">
                        <c:v>-1.1119535001263526E-2</c:v>
                      </c:pt>
                      <c:pt idx="8">
                        <c:v>7.9223102478915564E-3</c:v>
                      </c:pt>
                      <c:pt idx="9">
                        <c:v>2.1805273833671458E-2</c:v>
                      </c:pt>
                      <c:pt idx="10">
                        <c:v>-7.1960297766748811E-3</c:v>
                      </c:pt>
                      <c:pt idx="11">
                        <c:v>-8.7478130467388837E-4</c:v>
                      </c:pt>
                      <c:pt idx="12">
                        <c:v>-8.9055659787367156E-3</c:v>
                      </c:pt>
                      <c:pt idx="13">
                        <c:v>-2.0268053206794652E-2</c:v>
                      </c:pt>
                      <c:pt idx="14">
                        <c:v>-1.4839241549876462E-2</c:v>
                      </c:pt>
                      <c:pt idx="15">
                        <c:v>-1.2839958158995734E-2</c:v>
                      </c:pt>
                      <c:pt idx="16">
                        <c:v>-5.0279477602055728E-2</c:v>
                      </c:pt>
                      <c:pt idx="17">
                        <c:v>-2.8200050207804563E-2</c:v>
                      </c:pt>
                      <c:pt idx="18">
                        <c:v>-3.2146957520091821E-2</c:v>
                      </c:pt>
                      <c:pt idx="19">
                        <c:v>-9.4899169632265412E-3</c:v>
                      </c:pt>
                      <c:pt idx="20">
                        <c:v>-2.5000000000000001E-2</c:v>
                      </c:pt>
                      <c:pt idx="21">
                        <c:v>1.7999999999999999E-2</c:v>
                      </c:pt>
                      <c:pt idx="22">
                        <c:v>1.7000000000000001E-2</c:v>
                      </c:pt>
                      <c:pt idx="23">
                        <c:v>-8.9999999999999993E-3</c:v>
                      </c:pt>
                      <c:pt idx="24">
                        <c:v>-6.0000000000000001E-3</c:v>
                      </c:pt>
                      <c:pt idx="25">
                        <c:v>-6.0000000000000001E-3</c:v>
                      </c:pt>
                      <c:pt idx="26">
                        <c:v>-2.8000000000000001E-2</c:v>
                      </c:pt>
                    </c:numCache>
                  </c:numRef>
                </c:val>
                <c:smooth val="0"/>
                <c:extLst>
                  <c:ext xmlns:c16="http://schemas.microsoft.com/office/drawing/2014/chart" uri="{C3380CC4-5D6E-409C-BE32-E72D297353CC}">
                    <c16:uniqueId val="{00000003-0E25-4A05-88E5-A0FAB0C5F4FC}"/>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写字楼!$F$3</c15:sqref>
                        </c15:formulaRef>
                      </c:ext>
                    </c:extLst>
                    <c:strCache>
                      <c:ptCount val="1"/>
                      <c:pt idx="0">
                        <c:v>新增供应</c:v>
                      </c:pt>
                    </c:strCache>
                  </c:strRef>
                </c:tx>
                <c:marker>
                  <c:symbol val="none"/>
                </c:marker>
                <c:cat>
                  <c:strRef>
                    <c:extLst>
                      <c:ext xmlns:c15="http://schemas.microsoft.com/office/drawing/2012/chart" uri="{02D57815-91ED-43cb-92C2-25804820EDAC}">
                        <c15:fullRef>
                          <c15:sqref>写字楼!$B$4:$B$31</c15:sqref>
                        </c15:fullRef>
                        <c15:formulaRef>
                          <c15:sqref>写字楼!$B$5:$B$31</c15:sqref>
                        </c15:formulaRef>
                      </c:ext>
                    </c:extLst>
                    <c:strCache>
                      <c:ptCount val="27"/>
                      <c:pt idx="0">
                        <c:v>2016Q2</c:v>
                      </c:pt>
                      <c:pt idx="1">
                        <c:v>2016Q3</c:v>
                      </c:pt>
                      <c:pt idx="2">
                        <c:v>2016Q4</c:v>
                      </c:pt>
                      <c:pt idx="3">
                        <c:v>2017Q1</c:v>
                      </c:pt>
                      <c:pt idx="4">
                        <c:v>2017Q2</c:v>
                      </c:pt>
                      <c:pt idx="5">
                        <c:v>2017Q3</c:v>
                      </c:pt>
                      <c:pt idx="6">
                        <c:v>2017Q4</c:v>
                      </c:pt>
                      <c:pt idx="7">
                        <c:v>2018Q1</c:v>
                      </c:pt>
                      <c:pt idx="8">
                        <c:v>2018Q2</c:v>
                      </c:pt>
                      <c:pt idx="9">
                        <c:v>2018Q3</c:v>
                      </c:pt>
                      <c:pt idx="10">
                        <c:v>2018Q4</c:v>
                      </c:pt>
                      <c:pt idx="11">
                        <c:v>2019Q1</c:v>
                      </c:pt>
                      <c:pt idx="12">
                        <c:v>2019Q2</c:v>
                      </c:pt>
                      <c:pt idx="13">
                        <c:v>2019Q3</c:v>
                      </c:pt>
                      <c:pt idx="14">
                        <c:v>2019Q4</c:v>
                      </c:pt>
                      <c:pt idx="15">
                        <c:v>2020Q1</c:v>
                      </c:pt>
                      <c:pt idx="16">
                        <c:v>2020Q2</c:v>
                      </c:pt>
                      <c:pt idx="17">
                        <c:v>2020Q3</c:v>
                      </c:pt>
                      <c:pt idx="18">
                        <c:v>2020Q4</c:v>
                      </c:pt>
                      <c:pt idx="19">
                        <c:v>2021Q1</c:v>
                      </c:pt>
                      <c:pt idx="20">
                        <c:v>2021Q2</c:v>
                      </c:pt>
                      <c:pt idx="21">
                        <c:v>2021Q3</c:v>
                      </c:pt>
                      <c:pt idx="22">
                        <c:v>2021Q4</c:v>
                      </c:pt>
                      <c:pt idx="23">
                        <c:v>2022Q1</c:v>
                      </c:pt>
                      <c:pt idx="24">
                        <c:v>2022Q2</c:v>
                      </c:pt>
                      <c:pt idx="25">
                        <c:v>2022Q3</c:v>
                      </c:pt>
                      <c:pt idx="26">
                        <c:v>2022Q4</c:v>
                      </c:pt>
                    </c:strCache>
                  </c:strRef>
                </c:cat>
                <c:val>
                  <c:numRef>
                    <c:extLst>
                      <c:ext xmlns:c15="http://schemas.microsoft.com/office/drawing/2012/chart" uri="{02D57815-91ED-43cb-92C2-25804820EDAC}">
                        <c15:fullRef>
                          <c15:sqref>写字楼!$F$4:$F$31</c15:sqref>
                        </c15:fullRef>
                        <c15:formulaRef>
                          <c15:sqref>写字楼!$F$5:$F$31</c15:sqref>
                        </c15:formulaRef>
                      </c:ext>
                    </c:extLst>
                    <c:numCache>
                      <c:formatCode>General</c:formatCode>
                      <c:ptCount val="27"/>
                      <c:pt idx="1">
                        <c:v>53.309999999999945</c:v>
                      </c:pt>
                      <c:pt idx="2">
                        <c:v>24.82000000000005</c:v>
                      </c:pt>
                      <c:pt idx="3">
                        <c:v>15.789999999999964</c:v>
                      </c:pt>
                      <c:pt idx="4">
                        <c:v>21.059999999999945</c:v>
                      </c:pt>
                      <c:pt idx="5">
                        <c:v>0</c:v>
                      </c:pt>
                      <c:pt idx="6">
                        <c:v>38.480000000000018</c:v>
                      </c:pt>
                      <c:pt idx="7">
                        <c:v>38.069999999999936</c:v>
                      </c:pt>
                      <c:pt idx="8">
                        <c:v>0</c:v>
                      </c:pt>
                      <c:pt idx="9">
                        <c:v>4.9900000000000091</c:v>
                      </c:pt>
                      <c:pt idx="10">
                        <c:v>9.4000000000000909</c:v>
                      </c:pt>
                      <c:pt idx="11">
                        <c:v>0</c:v>
                      </c:pt>
                      <c:pt idx="12">
                        <c:v>-23.319999999999936</c:v>
                      </c:pt>
                      <c:pt idx="13">
                        <c:v>20.700000000000045</c:v>
                      </c:pt>
                      <c:pt idx="14">
                        <c:v>58.799999999999955</c:v>
                      </c:pt>
                      <c:pt idx="15">
                        <c:v>0</c:v>
                      </c:pt>
                      <c:pt idx="16">
                        <c:v>36.240000000000009</c:v>
                      </c:pt>
                      <c:pt idx="17">
                        <c:v>16.5</c:v>
                      </c:pt>
                      <c:pt idx="18">
                        <c:v>31.490000000000009</c:v>
                      </c:pt>
                      <c:pt idx="19">
                        <c:v>0</c:v>
                      </c:pt>
                      <c:pt idx="20">
                        <c:v>26.3</c:v>
                      </c:pt>
                      <c:pt idx="21">
                        <c:v>9.6999999999999993</c:v>
                      </c:pt>
                      <c:pt idx="22">
                        <c:v>62.4</c:v>
                      </c:pt>
                      <c:pt idx="23">
                        <c:v>17.5</c:v>
                      </c:pt>
                      <c:pt idx="24">
                        <c:v>0</c:v>
                      </c:pt>
                      <c:pt idx="25">
                        <c:v>15</c:v>
                      </c:pt>
                      <c:pt idx="26">
                        <c:v>7.7</c:v>
                      </c:pt>
                    </c:numCache>
                  </c:numRef>
                </c:val>
                <c:smooth val="0"/>
                <c:extLst xmlns:c15="http://schemas.microsoft.com/office/drawing/2012/chart">
                  <c:ext xmlns:c16="http://schemas.microsoft.com/office/drawing/2014/chart" uri="{C3380CC4-5D6E-409C-BE32-E72D297353CC}">
                    <c16:uniqueId val="{00000004-0E25-4A05-88E5-A0FAB0C5F4FC}"/>
                  </c:ext>
                </c:extLst>
              </c15:ser>
            </c15:filteredLineSeries>
          </c:ext>
        </c:extLst>
      </c:lineChart>
      <c:catAx>
        <c:axId val="-46456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464554224"/>
        <c:crosses val="autoZero"/>
        <c:auto val="1"/>
        <c:lblAlgn val="ctr"/>
        <c:lblOffset val="100"/>
        <c:noMultiLvlLbl val="0"/>
      </c:catAx>
      <c:valAx>
        <c:axId val="-464554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464561376"/>
        <c:crosses val="autoZero"/>
        <c:crossBetween val="between"/>
      </c:valAx>
      <c:valAx>
        <c:axId val="-464546800"/>
        <c:scaling>
          <c:orientation val="minMax"/>
          <c:max val="0.2"/>
        </c:scaling>
        <c:delete val="0"/>
        <c:axPos val="r"/>
        <c:minorGridlines>
          <c:spPr>
            <a:ln>
              <a:noFill/>
            </a:ln>
          </c:spPr>
        </c:min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464537296"/>
        <c:crosses val="max"/>
        <c:crossBetween val="between"/>
      </c:valAx>
      <c:catAx>
        <c:axId val="-464537296"/>
        <c:scaling>
          <c:orientation val="minMax"/>
        </c:scaling>
        <c:delete val="1"/>
        <c:axPos val="b"/>
        <c:numFmt formatCode="General" sourceLinked="1"/>
        <c:majorTickMark val="out"/>
        <c:minorTickMark val="none"/>
        <c:tickLblPos val="nextTo"/>
        <c:crossAx val="-46454680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zh-CN" altLang="en-US" sz="1600" b="0" i="0" baseline="0">
                <a:effectLst/>
              </a:rPr>
              <a:t>仲量北京全市</a:t>
            </a:r>
            <a:r>
              <a:rPr lang="zh-CN" altLang="zh-CN" sz="1600" b="0" i="0" baseline="0">
                <a:effectLst/>
              </a:rPr>
              <a:t>办公楼市场分析</a:t>
            </a:r>
            <a:endParaRPr lang="zh-CN" altLang="zh-CN" sz="1600">
              <a:effectLst/>
            </a:endParaRPr>
          </a:p>
        </c:rich>
      </c:tx>
      <c:layout>
        <c:manualLayout>
          <c:xMode val="edge"/>
          <c:yMode val="edge"/>
          <c:x val="0.27496483825597801"/>
          <c:y val="1.5748031496062999E-2"/>
        </c:manualLayout>
      </c:layout>
      <c:overlay val="0"/>
      <c:spPr>
        <a:noFill/>
        <a:ln>
          <a:noFill/>
        </a:ln>
        <a:effectLst/>
      </c:spPr>
    </c:title>
    <c:autoTitleDeleted val="0"/>
    <c:plotArea>
      <c:layout/>
      <c:barChart>
        <c:barDir val="col"/>
        <c:grouping val="clustered"/>
        <c:varyColors val="0"/>
        <c:ser>
          <c:idx val="5"/>
          <c:order val="5"/>
          <c:tx>
            <c:strRef>
              <c:f>写字楼!$Q$3</c:f>
              <c:strCache>
                <c:ptCount val="1"/>
                <c:pt idx="0">
                  <c:v>存量（万㎡）</c:v>
                </c:pt>
              </c:strCache>
            </c:strRef>
          </c:tx>
          <c:spPr>
            <a:solidFill>
              <a:schemeClr val="accent6"/>
            </a:solidFill>
            <a:ln>
              <a:noFill/>
            </a:ln>
            <a:effectLst/>
          </c:spPr>
          <c:invertIfNegative val="0"/>
          <c:cat>
            <c:multiLvlStrRef>
              <c:f>写字楼!$K$4:$K$23</c:f>
            </c:multiLvlStrRef>
          </c:cat>
          <c:val>
            <c:numRef>
              <c:f>写字楼!$Q$4:$Q$23</c:f>
            </c:numRef>
          </c:val>
          <c:extLst>
            <c:ext xmlns:c16="http://schemas.microsoft.com/office/drawing/2014/chart" uri="{C3380CC4-5D6E-409C-BE32-E72D297353CC}">
              <c16:uniqueId val="{00000000-10B6-49A6-AC1A-A3575E235D85}"/>
            </c:ext>
          </c:extLst>
        </c:ser>
        <c:dLbls>
          <c:showLegendKey val="0"/>
          <c:showVal val="0"/>
          <c:showCatName val="0"/>
          <c:showSerName val="0"/>
          <c:showPercent val="0"/>
          <c:showBubbleSize val="0"/>
        </c:dLbls>
        <c:gapWidth val="219"/>
        <c:axId val="-965144544"/>
        <c:axId val="-965142496"/>
      </c:barChart>
      <c:lineChart>
        <c:grouping val="standard"/>
        <c:varyColors val="0"/>
        <c:ser>
          <c:idx val="2"/>
          <c:order val="2"/>
          <c:tx>
            <c:strRef>
              <c:f>[5]市场走势!$N$3</c:f>
              <c:strCache>
                <c:ptCount val="1"/>
                <c:pt idx="0">
                  <c:v>租金增长率</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[5]市场走势!$K$4:$K$23</c:f>
              <c:strCache>
                <c:ptCount val="20"/>
                <c:pt idx="0">
                  <c:v>2016Q1</c:v>
                </c:pt>
                <c:pt idx="1">
                  <c:v>2016Q2</c:v>
                </c:pt>
                <c:pt idx="2">
                  <c:v>2016Q3</c:v>
                </c:pt>
                <c:pt idx="3">
                  <c:v>2016Q4</c:v>
                </c:pt>
                <c:pt idx="4">
                  <c:v>2017Q1</c:v>
                </c:pt>
                <c:pt idx="5">
                  <c:v>2017Q2</c:v>
                </c:pt>
                <c:pt idx="6">
                  <c:v>2017Q3</c:v>
                </c:pt>
                <c:pt idx="7">
                  <c:v>2017Q4</c:v>
                </c:pt>
                <c:pt idx="8">
                  <c:v>2018Q1</c:v>
                </c:pt>
                <c:pt idx="9">
                  <c:v>2018Q2</c:v>
                </c:pt>
                <c:pt idx="10">
                  <c:v>2018Q3</c:v>
                </c:pt>
                <c:pt idx="11">
                  <c:v>2018Q4</c:v>
                </c:pt>
                <c:pt idx="12">
                  <c:v>2019Q1</c:v>
                </c:pt>
                <c:pt idx="13">
                  <c:v>2019Q2</c:v>
                </c:pt>
                <c:pt idx="14">
                  <c:v>2019Q3</c:v>
                </c:pt>
                <c:pt idx="15">
                  <c:v>2019Q4</c:v>
                </c:pt>
                <c:pt idx="16">
                  <c:v>2021Q1</c:v>
                </c:pt>
                <c:pt idx="17">
                  <c:v>2021Q2</c:v>
                </c:pt>
                <c:pt idx="18">
                  <c:v>2021Q3</c:v>
                </c:pt>
                <c:pt idx="19">
                  <c:v>2021Q4</c:v>
                </c:pt>
              </c:strCache>
            </c:strRef>
          </c:cat>
          <c:val>
            <c:numRef>
              <c:f>[5]市场走势!$N$4:$N$23</c:f>
              <c:numCache>
                <c:formatCode>General</c:formatCode>
                <c:ptCount val="20"/>
                <c:pt idx="1">
                  <c:v>2.6809651474530832E-3</c:v>
                </c:pt>
                <c:pt idx="2">
                  <c:v>-8.0213903743315516E-3</c:v>
                </c:pt>
                <c:pt idx="3">
                  <c:v>5.3908355795148251E-3</c:v>
                </c:pt>
                <c:pt idx="4">
                  <c:v>-5.3619302949061663E-3</c:v>
                </c:pt>
                <c:pt idx="5">
                  <c:v>8.0862533692722376E-3</c:v>
                </c:pt>
                <c:pt idx="6">
                  <c:v>8.0213903743315516E-3</c:v>
                </c:pt>
                <c:pt idx="7">
                  <c:v>-7.9575596816976128E-3</c:v>
                </c:pt>
                <c:pt idx="8">
                  <c:v>-1.06951871657754E-2</c:v>
                </c:pt>
                <c:pt idx="9">
                  <c:v>3.783783783783784E-2</c:v>
                </c:pt>
                <c:pt idx="10">
                  <c:v>1.5625E-2</c:v>
                </c:pt>
                <c:pt idx="11">
                  <c:v>-1.0256410256410256E-2</c:v>
                </c:pt>
                <c:pt idx="12">
                  <c:v>-1.0362694300518135E-2</c:v>
                </c:pt>
                <c:pt idx="13">
                  <c:v>-1.3089005235602094E-2</c:v>
                </c:pt>
                <c:pt idx="14">
                  <c:v>-7.9575596816976128E-3</c:v>
                </c:pt>
                <c:pt idx="15">
                  <c:v>1.3368983957219251E-2</c:v>
                </c:pt>
                <c:pt idx="16">
                  <c:v>-1.3192612137203167E-2</c:v>
                </c:pt>
                <c:pt idx="17">
                  <c:v>-4.8128342245989303E-2</c:v>
                </c:pt>
                <c:pt idx="18">
                  <c:v>-1.1235955056179775E-2</c:v>
                </c:pt>
                <c:pt idx="19">
                  <c:v>-2.8409090909090908E-2</c:v>
                </c:pt>
              </c:numCache>
            </c:numRef>
          </c:val>
          <c:smooth val="0"/>
          <c:extLst>
            <c:ext xmlns:c16="http://schemas.microsoft.com/office/drawing/2014/chart" uri="{C3380CC4-5D6E-409C-BE32-E72D297353CC}">
              <c16:uniqueId val="{00000001-10B6-49A6-AC1A-A3575E235D85}"/>
            </c:ext>
          </c:extLst>
        </c:ser>
        <c:ser>
          <c:idx val="3"/>
          <c:order val="3"/>
          <c:tx>
            <c:strRef>
              <c:f>[5]市场走势!$O$3</c:f>
              <c:strCache>
                <c:ptCount val="1"/>
                <c:pt idx="0">
                  <c:v>新增供应</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[5]市场走势!$K$4:$K$23</c:f>
              <c:strCache>
                <c:ptCount val="20"/>
                <c:pt idx="0">
                  <c:v>2016Q1</c:v>
                </c:pt>
                <c:pt idx="1">
                  <c:v>2016Q2</c:v>
                </c:pt>
                <c:pt idx="2">
                  <c:v>2016Q3</c:v>
                </c:pt>
                <c:pt idx="3">
                  <c:v>2016Q4</c:v>
                </c:pt>
                <c:pt idx="4">
                  <c:v>2017Q1</c:v>
                </c:pt>
                <c:pt idx="5">
                  <c:v>2017Q2</c:v>
                </c:pt>
                <c:pt idx="6">
                  <c:v>2017Q3</c:v>
                </c:pt>
                <c:pt idx="7">
                  <c:v>2017Q4</c:v>
                </c:pt>
                <c:pt idx="8">
                  <c:v>2018Q1</c:v>
                </c:pt>
                <c:pt idx="9">
                  <c:v>2018Q2</c:v>
                </c:pt>
                <c:pt idx="10">
                  <c:v>2018Q3</c:v>
                </c:pt>
                <c:pt idx="11">
                  <c:v>2018Q4</c:v>
                </c:pt>
                <c:pt idx="12">
                  <c:v>2019Q1</c:v>
                </c:pt>
                <c:pt idx="13">
                  <c:v>2019Q2</c:v>
                </c:pt>
                <c:pt idx="14">
                  <c:v>2019Q3</c:v>
                </c:pt>
                <c:pt idx="15">
                  <c:v>2019Q4</c:v>
                </c:pt>
                <c:pt idx="16">
                  <c:v>2021Q1</c:v>
                </c:pt>
                <c:pt idx="17">
                  <c:v>2021Q2</c:v>
                </c:pt>
                <c:pt idx="18">
                  <c:v>2021Q3</c:v>
                </c:pt>
                <c:pt idx="19">
                  <c:v>2021Q4</c:v>
                </c:pt>
              </c:strCache>
            </c:strRef>
          </c:cat>
          <c:val>
            <c:numRef>
              <c:f>[5]市场走势!$O$4:$O$23</c:f>
              <c:numCache>
                <c:formatCode>General</c:formatCode>
                <c:ptCount val="20"/>
                <c:pt idx="1">
                  <c:v>355400</c:v>
                </c:pt>
                <c:pt idx="2">
                  <c:v>134000</c:v>
                </c:pt>
                <c:pt idx="3">
                  <c:v>115500</c:v>
                </c:pt>
                <c:pt idx="4">
                  <c:v>122300</c:v>
                </c:pt>
                <c:pt idx="5">
                  <c:v>267800</c:v>
                </c:pt>
                <c:pt idx="6">
                  <c:v>0</c:v>
                </c:pt>
                <c:pt idx="7">
                  <c:v>430900</c:v>
                </c:pt>
                <c:pt idx="8">
                  <c:v>0</c:v>
                </c:pt>
                <c:pt idx="9">
                  <c:v>80000</c:v>
                </c:pt>
                <c:pt idx="10">
                  <c:v>45700</c:v>
                </c:pt>
                <c:pt idx="11">
                  <c:v>251300</c:v>
                </c:pt>
                <c:pt idx="12">
                  <c:v>125600</c:v>
                </c:pt>
                <c:pt idx="13">
                  <c:v>143000</c:v>
                </c:pt>
                <c:pt idx="14">
                  <c:v>0</c:v>
                </c:pt>
                <c:pt idx="15">
                  <c:v>800700</c:v>
                </c:pt>
                <c:pt idx="16">
                  <c:v>0</c:v>
                </c:pt>
                <c:pt idx="17">
                  <c:v>0</c:v>
                </c:pt>
                <c:pt idx="18">
                  <c:v>10000</c:v>
                </c:pt>
                <c:pt idx="19">
                  <c:v>540700</c:v>
                </c:pt>
              </c:numCache>
            </c:numRef>
          </c:val>
          <c:smooth val="0"/>
          <c:extLst>
            <c:ext xmlns:c16="http://schemas.microsoft.com/office/drawing/2014/chart" uri="{C3380CC4-5D6E-409C-BE32-E72D297353CC}">
              <c16:uniqueId val="{00000002-10B6-49A6-AC1A-A3575E235D85}"/>
            </c:ext>
          </c:extLst>
        </c:ser>
        <c:ser>
          <c:idx val="4"/>
          <c:order val="4"/>
          <c:tx>
            <c:strRef>
              <c:f>[5]市场走势!$P$3</c:f>
              <c:strCache>
                <c:ptCount val="1"/>
                <c:pt idx="0">
                  <c:v>存量（万㎡）</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[5]市场走势!$K$4:$K$23</c:f>
              <c:strCache>
                <c:ptCount val="20"/>
                <c:pt idx="0">
                  <c:v>2016Q1</c:v>
                </c:pt>
                <c:pt idx="1">
                  <c:v>2016Q2</c:v>
                </c:pt>
                <c:pt idx="2">
                  <c:v>2016Q3</c:v>
                </c:pt>
                <c:pt idx="3">
                  <c:v>2016Q4</c:v>
                </c:pt>
                <c:pt idx="4">
                  <c:v>2017Q1</c:v>
                </c:pt>
                <c:pt idx="5">
                  <c:v>2017Q2</c:v>
                </c:pt>
                <c:pt idx="6">
                  <c:v>2017Q3</c:v>
                </c:pt>
                <c:pt idx="7">
                  <c:v>2017Q4</c:v>
                </c:pt>
                <c:pt idx="8">
                  <c:v>2018Q1</c:v>
                </c:pt>
                <c:pt idx="9">
                  <c:v>2018Q2</c:v>
                </c:pt>
                <c:pt idx="10">
                  <c:v>2018Q3</c:v>
                </c:pt>
                <c:pt idx="11">
                  <c:v>2018Q4</c:v>
                </c:pt>
                <c:pt idx="12">
                  <c:v>2019Q1</c:v>
                </c:pt>
                <c:pt idx="13">
                  <c:v>2019Q2</c:v>
                </c:pt>
                <c:pt idx="14">
                  <c:v>2019Q3</c:v>
                </c:pt>
                <c:pt idx="15">
                  <c:v>2019Q4</c:v>
                </c:pt>
                <c:pt idx="16">
                  <c:v>2021Q1</c:v>
                </c:pt>
                <c:pt idx="17">
                  <c:v>2021Q2</c:v>
                </c:pt>
                <c:pt idx="18">
                  <c:v>2021Q3</c:v>
                </c:pt>
                <c:pt idx="19">
                  <c:v>2021Q4</c:v>
                </c:pt>
              </c:strCache>
            </c:strRef>
          </c:cat>
          <c:val>
            <c:numRef>
              <c:f>[5]市场走势!$P$4:$P$23</c:f>
              <c:numCache>
                <c:formatCode>General</c:formatCode>
                <c:ptCount val="20"/>
                <c:pt idx="0">
                  <c:v>6753000</c:v>
                </c:pt>
                <c:pt idx="1">
                  <c:v>7108400</c:v>
                </c:pt>
                <c:pt idx="2">
                  <c:v>7242400</c:v>
                </c:pt>
                <c:pt idx="3">
                  <c:v>7357900</c:v>
                </c:pt>
                <c:pt idx="4">
                  <c:v>7480200</c:v>
                </c:pt>
                <c:pt idx="5">
                  <c:v>7748000</c:v>
                </c:pt>
                <c:pt idx="6">
                  <c:v>7748000</c:v>
                </c:pt>
                <c:pt idx="7">
                  <c:v>8178900</c:v>
                </c:pt>
                <c:pt idx="8">
                  <c:v>8178900</c:v>
                </c:pt>
                <c:pt idx="9">
                  <c:v>8258900</c:v>
                </c:pt>
                <c:pt idx="10">
                  <c:v>8304600</c:v>
                </c:pt>
                <c:pt idx="11">
                  <c:v>8555900</c:v>
                </c:pt>
                <c:pt idx="12">
                  <c:v>8681500</c:v>
                </c:pt>
                <c:pt idx="13">
                  <c:v>8824500</c:v>
                </c:pt>
                <c:pt idx="14">
                  <c:v>8824500</c:v>
                </c:pt>
                <c:pt idx="15">
                  <c:v>9625200</c:v>
                </c:pt>
                <c:pt idx="16">
                  <c:v>9625200</c:v>
                </c:pt>
                <c:pt idx="17">
                  <c:v>9625200</c:v>
                </c:pt>
                <c:pt idx="18">
                  <c:v>9635200</c:v>
                </c:pt>
                <c:pt idx="19">
                  <c:v>10175900</c:v>
                </c:pt>
              </c:numCache>
            </c:numRef>
          </c:val>
          <c:smooth val="0"/>
          <c:extLst>
            <c:ext xmlns:c16="http://schemas.microsoft.com/office/drawing/2014/chart" uri="{C3380CC4-5D6E-409C-BE32-E72D297353CC}">
              <c16:uniqueId val="{00000003-10B6-49A6-AC1A-A3575E235D85}"/>
            </c:ext>
          </c:extLst>
        </c:ser>
        <c:ser>
          <c:idx val="0"/>
          <c:order val="0"/>
          <c:tx>
            <c:strRef>
              <c:f>写字楼!$L$3</c:f>
              <c:strCache>
                <c:ptCount val="1"/>
                <c:pt idx="0">
                  <c:v>平均有效租金</c:v>
                </c:pt>
              </c:strCache>
            </c:strRef>
          </c:tx>
          <c:spPr>
            <a:ln w="28575" cap="rnd">
              <a:solidFill>
                <a:schemeClr val="accent1"/>
              </a:solidFill>
              <a:round/>
            </a:ln>
            <a:effectLst/>
          </c:spPr>
          <c:marker>
            <c:symbol val="none"/>
          </c:marker>
          <c:cat>
            <c:multiLvlStrRef>
              <c:f>写字楼!$K$4:$K$23</c:f>
            </c:multiLvlStrRef>
          </c:cat>
          <c:val>
            <c:numRef>
              <c:f>写字楼!$L$4:$L$23</c:f>
            </c:numRef>
          </c:val>
          <c:smooth val="0"/>
          <c:extLst>
            <c:ext xmlns:c16="http://schemas.microsoft.com/office/drawing/2014/chart" uri="{C3380CC4-5D6E-409C-BE32-E72D297353CC}">
              <c16:uniqueId val="{00000004-10B6-49A6-AC1A-A3575E235D85}"/>
            </c:ext>
          </c:extLst>
        </c:ser>
        <c:dLbls>
          <c:showLegendKey val="0"/>
          <c:showVal val="0"/>
          <c:showCatName val="0"/>
          <c:showSerName val="0"/>
          <c:showPercent val="0"/>
          <c:showBubbleSize val="0"/>
        </c:dLbls>
        <c:marker val="1"/>
        <c:smooth val="0"/>
        <c:axId val="-965144544"/>
        <c:axId val="-965142496"/>
      </c:lineChart>
      <c:lineChart>
        <c:grouping val="standard"/>
        <c:varyColors val="0"/>
        <c:ser>
          <c:idx val="1"/>
          <c:order val="1"/>
          <c:tx>
            <c:strRef>
              <c:f>写字楼!$M$3</c:f>
              <c:strCache>
                <c:ptCount val="1"/>
                <c:pt idx="0">
                  <c:v>空置率</c:v>
                </c:pt>
              </c:strCache>
            </c:strRef>
          </c:tx>
          <c:spPr>
            <a:ln w="28575" cap="rnd">
              <a:solidFill>
                <a:schemeClr val="accent2"/>
              </a:solidFill>
              <a:round/>
            </a:ln>
            <a:effectLst/>
          </c:spPr>
          <c:marker>
            <c:symbol val="none"/>
          </c:marker>
          <c:cat>
            <c:multiLvlStrRef>
              <c:f>写字楼!$K$4:$K$23</c:f>
            </c:multiLvlStrRef>
          </c:cat>
          <c:val>
            <c:numRef>
              <c:f>写字楼!$M$4:$M$23</c:f>
            </c:numRef>
          </c:val>
          <c:smooth val="0"/>
          <c:extLst>
            <c:ext xmlns:c16="http://schemas.microsoft.com/office/drawing/2014/chart" uri="{C3380CC4-5D6E-409C-BE32-E72D297353CC}">
              <c16:uniqueId val="{00000005-10B6-49A6-AC1A-A3575E235D85}"/>
            </c:ext>
          </c:extLst>
        </c:ser>
        <c:dLbls>
          <c:showLegendKey val="0"/>
          <c:showVal val="0"/>
          <c:showCatName val="0"/>
          <c:showSerName val="0"/>
          <c:showPercent val="0"/>
          <c:showBubbleSize val="0"/>
        </c:dLbls>
        <c:marker val="1"/>
        <c:smooth val="0"/>
        <c:axId val="-965329776"/>
        <c:axId val="-965139664"/>
        <c:extLst>
          <c:ext xmlns:c15="http://schemas.microsoft.com/office/drawing/2012/chart" uri="{02D57815-91ED-43cb-92C2-25804820EDAC}">
            <c15:filteredLineSeries>
              <c15:ser>
                <c:idx val="6"/>
                <c:order val="6"/>
                <c:tx>
                  <c:strRef>
                    <c:extLst>
                      <c:ext uri="{02D57815-91ED-43cb-92C2-25804820EDAC}">
                        <c15:formulaRef>
                          <c15:sqref>写字楼!$R$3</c15:sqref>
                        </c15:formulaRef>
                      </c:ext>
                    </c:extLst>
                    <c:strCache>
                      <c:ptCount val="1"/>
                      <c:pt idx="0">
                        <c:v>租金增长率</c:v>
                      </c:pt>
                    </c:strCache>
                  </c:strRef>
                </c:tx>
                <c:spPr>
                  <a:ln w="28575" cap="rnd">
                    <a:solidFill>
                      <a:schemeClr val="accent1">
                        <a:lumMod val="60000"/>
                      </a:schemeClr>
                    </a:solidFill>
                    <a:round/>
                  </a:ln>
                  <a:effectLst/>
                </c:spPr>
                <c:marker>
                  <c:symbol val="none"/>
                </c:marker>
                <c:cat>
                  <c:multiLvlStrRef>
                    <c:extLst>
                      <c:ext uri="{02D57815-91ED-43cb-92C2-25804820EDAC}">
                        <c15:formulaRef>
                          <c15:sqref>写字楼!$K$4:$K$23</c15:sqref>
                        </c15:formulaRef>
                      </c:ext>
                    </c:extLst>
                  </c:multiLvlStrRef>
                </c:cat>
                <c:val>
                  <c:numRef>
                    <c:extLst>
                      <c:ext uri="{02D57815-91ED-43cb-92C2-25804820EDAC}">
                        <c15:formulaRef>
                          <c15:sqref>写字楼!$R$4:$R$23</c15:sqref>
                        </c15:formulaRef>
                      </c:ext>
                    </c:extLst>
                  </c:numRef>
                </c:val>
                <c:smooth val="0"/>
                <c:extLst>
                  <c:ext xmlns:c16="http://schemas.microsoft.com/office/drawing/2014/chart" uri="{C3380CC4-5D6E-409C-BE32-E72D297353CC}">
                    <c16:uniqueId val="{00000006-10B6-49A6-AC1A-A3575E235D85}"/>
                  </c:ext>
                </c:extLst>
              </c15:ser>
            </c15:filteredLineSeries>
          </c:ext>
        </c:extLst>
      </c:lineChart>
      <c:catAx>
        <c:axId val="-96514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965142496"/>
        <c:crosses val="autoZero"/>
        <c:auto val="1"/>
        <c:lblAlgn val="ctr"/>
        <c:lblOffset val="100"/>
        <c:noMultiLvlLbl val="0"/>
      </c:catAx>
      <c:valAx>
        <c:axId val="-965142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965144544"/>
        <c:crosses val="autoZero"/>
        <c:crossBetween val="between"/>
      </c:valAx>
      <c:valAx>
        <c:axId val="-965139664"/>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965329776"/>
        <c:crosses val="max"/>
        <c:crossBetween val="between"/>
      </c:valAx>
      <c:catAx>
        <c:axId val="-965329776"/>
        <c:scaling>
          <c:orientation val="minMax"/>
        </c:scaling>
        <c:delete val="1"/>
        <c:axPos val="b"/>
        <c:numFmt formatCode="General" sourceLinked="1"/>
        <c:majorTickMark val="out"/>
        <c:minorTickMark val="none"/>
        <c:tickLblPos val="nextTo"/>
        <c:crossAx val="-96513966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zh-CN" altLang="en-US" sz="1600" b="0" i="0" baseline="0">
                <a:effectLst/>
              </a:rPr>
              <a:t>北京全市平均（戴德、第一太平）</a:t>
            </a:r>
            <a:r>
              <a:rPr lang="zh-CN" altLang="zh-CN" sz="1600" b="0" i="0" baseline="0">
                <a:effectLst/>
              </a:rPr>
              <a:t>办公楼市场分析</a:t>
            </a:r>
            <a:endParaRPr lang="zh-CN" altLang="zh-CN" sz="1600">
              <a:effectLst/>
            </a:endParaRPr>
          </a:p>
        </c:rich>
      </c:tx>
      <c:layout>
        <c:manualLayout>
          <c:xMode val="edge"/>
          <c:yMode val="edge"/>
          <c:x val="0.18134171907756799"/>
          <c:y val="0"/>
        </c:manualLayout>
      </c:layout>
      <c:overlay val="0"/>
      <c:spPr>
        <a:noFill/>
        <a:ln>
          <a:noFill/>
        </a:ln>
        <a:effectLst/>
      </c:spPr>
    </c:title>
    <c:autoTitleDeleted val="0"/>
    <c:plotArea>
      <c:layout/>
      <c:barChart>
        <c:barDir val="col"/>
        <c:grouping val="clustered"/>
        <c:varyColors val="0"/>
        <c:dLbls>
          <c:showLegendKey val="0"/>
          <c:showVal val="0"/>
          <c:showCatName val="0"/>
          <c:showSerName val="0"/>
          <c:showPercent val="0"/>
          <c:showBubbleSize val="0"/>
        </c:dLbls>
        <c:gapWidth val="150"/>
        <c:axId val="-965667472"/>
        <c:axId val="-911988160"/>
        <c:extLst>
          <c:ext xmlns:c15="http://schemas.microsoft.com/office/drawing/2012/chart" uri="{02D57815-91ED-43cb-92C2-25804820EDAC}">
            <c15:filteredBarSeries>
              <c15:ser>
                <c:idx val="2"/>
                <c:order val="2"/>
                <c:tx>
                  <c:strRef>
                    <c:extLst>
                      <c:ext uri="{02D57815-91ED-43cb-92C2-25804820EDAC}">
                        <c15:formulaRef>
                          <c15:sqref>写字楼!$X$34</c15:sqref>
                        </c15:formulaRef>
                      </c:ext>
                    </c:extLst>
                    <c:strCache>
                      <c:ptCount val="1"/>
                      <c:pt idx="0">
                        <c:v>存量</c:v>
                      </c:pt>
                    </c:strCache>
                  </c:strRef>
                </c:tx>
                <c:spPr>
                  <a:ln w="28575" cap="rnd">
                    <a:solidFill>
                      <a:schemeClr val="accent3"/>
                    </a:solidFill>
                    <a:round/>
                  </a:ln>
                  <a:effectLst/>
                </c:spPr>
                <c:invertIfNegative val="0"/>
                <c:cat>
                  <c:strRef>
                    <c:extLst>
                      <c:ext uri="{02D57815-91ED-43cb-92C2-25804820EDAC}">
                        <c15:formulaRef>
                          <c15:sqref>写字楼!$U$35:$U$62</c15:sqref>
                        </c15:formulaRef>
                      </c:ext>
                    </c:extLst>
                    <c:strCache>
                      <c:ptCount val="28"/>
                      <c:pt idx="0">
                        <c:v>2016Q1</c:v>
                      </c:pt>
                      <c:pt idx="1">
                        <c:v>2016Q2</c:v>
                      </c:pt>
                      <c:pt idx="2">
                        <c:v>2016Q3</c:v>
                      </c:pt>
                      <c:pt idx="3">
                        <c:v>2016Q4</c:v>
                      </c:pt>
                      <c:pt idx="4">
                        <c:v>2017Q1</c:v>
                      </c:pt>
                      <c:pt idx="5">
                        <c:v>2017Q2</c:v>
                      </c:pt>
                      <c:pt idx="6">
                        <c:v>2017Q3</c:v>
                      </c:pt>
                      <c:pt idx="7">
                        <c:v>2017Q4</c:v>
                      </c:pt>
                      <c:pt idx="8">
                        <c:v>2018Q1</c:v>
                      </c:pt>
                      <c:pt idx="9">
                        <c:v>2018Q2</c:v>
                      </c:pt>
                      <c:pt idx="10">
                        <c:v>2018Q3</c:v>
                      </c:pt>
                      <c:pt idx="11">
                        <c:v>2018Q4</c:v>
                      </c:pt>
                      <c:pt idx="12">
                        <c:v>2019Q1</c:v>
                      </c:pt>
                      <c:pt idx="13">
                        <c:v>2019Q2</c:v>
                      </c:pt>
                      <c:pt idx="14">
                        <c:v>2019Q3</c:v>
                      </c:pt>
                      <c:pt idx="15">
                        <c:v>2019Q4</c:v>
                      </c:pt>
                      <c:pt idx="16">
                        <c:v>2020Q1</c:v>
                      </c:pt>
                      <c:pt idx="17">
                        <c:v>2020Q2</c:v>
                      </c:pt>
                      <c:pt idx="18">
                        <c:v>2020Q3</c:v>
                      </c:pt>
                      <c:pt idx="19">
                        <c:v>2020Q4</c:v>
                      </c:pt>
                      <c:pt idx="20">
                        <c:v>2021Q1</c:v>
                      </c:pt>
                      <c:pt idx="21">
                        <c:v>2021Q2</c:v>
                      </c:pt>
                      <c:pt idx="22">
                        <c:v>2021Q3</c:v>
                      </c:pt>
                      <c:pt idx="23">
                        <c:v>2021Q4</c:v>
                      </c:pt>
                      <c:pt idx="24">
                        <c:v>2022Q1</c:v>
                      </c:pt>
                      <c:pt idx="25">
                        <c:v>2022Q2</c:v>
                      </c:pt>
                      <c:pt idx="26">
                        <c:v>2022Q3</c:v>
                      </c:pt>
                      <c:pt idx="27">
                        <c:v>2022Q4</c:v>
                      </c:pt>
                    </c:strCache>
                  </c:strRef>
                </c:cat>
                <c:val>
                  <c:numRef>
                    <c:extLst>
                      <c:ext uri="{02D57815-91ED-43cb-92C2-25804820EDAC}">
                        <c15:formulaRef>
                          <c15:sqref>写字楼!$X$35:$X$62</c15:sqref>
                        </c15:formulaRef>
                      </c:ext>
                    </c:extLst>
                    <c:numCache>
                      <c:formatCode>0.0_);[Red]\(0.0\)</c:formatCode>
                      <c:ptCount val="28"/>
                      <c:pt idx="0">
                        <c:v>924</c:v>
                      </c:pt>
                      <c:pt idx="1">
                        <c:v>903</c:v>
                      </c:pt>
                      <c:pt idx="2">
                        <c:v>940.7</c:v>
                      </c:pt>
                      <c:pt idx="3">
                        <c:v>961.1</c:v>
                      </c:pt>
                      <c:pt idx="4">
                        <c:v>977</c:v>
                      </c:pt>
                      <c:pt idx="5">
                        <c:v>993.5</c:v>
                      </c:pt>
                      <c:pt idx="6">
                        <c:v>998.5</c:v>
                      </c:pt>
                      <c:pt idx="7">
                        <c:v>1039.8</c:v>
                      </c:pt>
                      <c:pt idx="8">
                        <c:v>1054.3</c:v>
                      </c:pt>
                      <c:pt idx="9">
                        <c:v>1057.8</c:v>
                      </c:pt>
                      <c:pt idx="10">
                        <c:v>1067.5999999999999</c:v>
                      </c:pt>
                      <c:pt idx="11">
                        <c:v>1080.0999999999999</c:v>
                      </c:pt>
                      <c:pt idx="12">
                        <c:v>1080.0999999999999</c:v>
                      </c:pt>
                      <c:pt idx="13">
                        <c:v>1082.5999999999999</c:v>
                      </c:pt>
                      <c:pt idx="14">
                        <c:v>1102</c:v>
                      </c:pt>
                      <c:pt idx="15">
                        <c:v>1178</c:v>
                      </c:pt>
                      <c:pt idx="16">
                        <c:v>1176</c:v>
                      </c:pt>
                      <c:pt idx="17">
                        <c:v>1199.0999999999999</c:v>
                      </c:pt>
                      <c:pt idx="18">
                        <c:v>1219.8</c:v>
                      </c:pt>
                      <c:pt idx="19">
                        <c:v>1243.7</c:v>
                      </c:pt>
                      <c:pt idx="20">
                        <c:v>1257.7</c:v>
                      </c:pt>
                      <c:pt idx="21">
                        <c:v>1300.2</c:v>
                      </c:pt>
                      <c:pt idx="22">
                        <c:v>1325.6</c:v>
                      </c:pt>
                      <c:pt idx="23">
                        <c:v>1338.6</c:v>
                      </c:pt>
                      <c:pt idx="24">
                        <c:v>1354.4</c:v>
                      </c:pt>
                      <c:pt idx="25">
                        <c:v>1359.1</c:v>
                      </c:pt>
                      <c:pt idx="26">
                        <c:v>1366.7</c:v>
                      </c:pt>
                      <c:pt idx="27">
                        <c:v>1374.4</c:v>
                      </c:pt>
                    </c:numCache>
                  </c:numRef>
                </c:val>
                <c:extLst>
                  <c:ext xmlns:c16="http://schemas.microsoft.com/office/drawing/2014/chart" uri="{C3380CC4-5D6E-409C-BE32-E72D297353CC}">
                    <c16:uniqueId val="{00000005-094D-4A5E-A0A4-16D0197B2818}"/>
                  </c:ext>
                </c:extLst>
              </c15:ser>
            </c15:filteredBarSeries>
          </c:ext>
        </c:extLst>
      </c:barChart>
      <c:lineChart>
        <c:grouping val="standard"/>
        <c:varyColors val="0"/>
        <c:ser>
          <c:idx val="0"/>
          <c:order val="0"/>
          <c:tx>
            <c:strRef>
              <c:f>写字楼!$V$34</c:f>
              <c:strCache>
                <c:ptCount val="1"/>
                <c:pt idx="0">
                  <c:v>租金</c:v>
                </c:pt>
              </c:strCache>
            </c:strRef>
          </c:tx>
          <c:spPr>
            <a:ln w="28575" cap="rnd">
              <a:solidFill>
                <a:schemeClr val="accent1"/>
              </a:solidFill>
              <a:round/>
            </a:ln>
            <a:effectLst/>
          </c:spPr>
          <c:marker>
            <c:symbol val="none"/>
          </c:marker>
          <c:cat>
            <c:strRef>
              <c:f>写字楼!$U$35:$U$62</c:f>
              <c:strCache>
                <c:ptCount val="28"/>
                <c:pt idx="0">
                  <c:v>2016Q1</c:v>
                </c:pt>
                <c:pt idx="1">
                  <c:v>2016Q2</c:v>
                </c:pt>
                <c:pt idx="2">
                  <c:v>2016Q3</c:v>
                </c:pt>
                <c:pt idx="3">
                  <c:v>2016Q4</c:v>
                </c:pt>
                <c:pt idx="4">
                  <c:v>2017Q1</c:v>
                </c:pt>
                <c:pt idx="5">
                  <c:v>2017Q2</c:v>
                </c:pt>
                <c:pt idx="6">
                  <c:v>2017Q3</c:v>
                </c:pt>
                <c:pt idx="7">
                  <c:v>2017Q4</c:v>
                </c:pt>
                <c:pt idx="8">
                  <c:v>2018Q1</c:v>
                </c:pt>
                <c:pt idx="9">
                  <c:v>2018Q2</c:v>
                </c:pt>
                <c:pt idx="10">
                  <c:v>2018Q3</c:v>
                </c:pt>
                <c:pt idx="11">
                  <c:v>2018Q4</c:v>
                </c:pt>
                <c:pt idx="12">
                  <c:v>2019Q1</c:v>
                </c:pt>
                <c:pt idx="13">
                  <c:v>2019Q2</c:v>
                </c:pt>
                <c:pt idx="14">
                  <c:v>2019Q3</c:v>
                </c:pt>
                <c:pt idx="15">
                  <c:v>2019Q4</c:v>
                </c:pt>
                <c:pt idx="16">
                  <c:v>2020Q1</c:v>
                </c:pt>
                <c:pt idx="17">
                  <c:v>2020Q2</c:v>
                </c:pt>
                <c:pt idx="18">
                  <c:v>2020Q3</c:v>
                </c:pt>
                <c:pt idx="19">
                  <c:v>2020Q4</c:v>
                </c:pt>
                <c:pt idx="20">
                  <c:v>2021Q1</c:v>
                </c:pt>
                <c:pt idx="21">
                  <c:v>2021Q2</c:v>
                </c:pt>
                <c:pt idx="22">
                  <c:v>2021Q3</c:v>
                </c:pt>
                <c:pt idx="23">
                  <c:v>2021Q4</c:v>
                </c:pt>
                <c:pt idx="24">
                  <c:v>2022Q1</c:v>
                </c:pt>
                <c:pt idx="25">
                  <c:v>2022Q2</c:v>
                </c:pt>
                <c:pt idx="26">
                  <c:v>2022Q3</c:v>
                </c:pt>
                <c:pt idx="27">
                  <c:v>2022Q4</c:v>
                </c:pt>
              </c:strCache>
            </c:strRef>
          </c:cat>
          <c:val>
            <c:numRef>
              <c:f>写字楼!$V$35:$V$62</c:f>
              <c:numCache>
                <c:formatCode>General</c:formatCode>
                <c:ptCount val="28"/>
                <c:pt idx="0">
                  <c:v>359.7</c:v>
                </c:pt>
                <c:pt idx="1">
                  <c:v>358</c:v>
                </c:pt>
                <c:pt idx="2">
                  <c:v>360.8</c:v>
                </c:pt>
                <c:pt idx="3">
                  <c:v>362.1</c:v>
                </c:pt>
                <c:pt idx="4">
                  <c:v>361.8</c:v>
                </c:pt>
                <c:pt idx="5">
                  <c:v>365.1</c:v>
                </c:pt>
                <c:pt idx="6">
                  <c:v>364.8</c:v>
                </c:pt>
                <c:pt idx="7">
                  <c:v>367.9</c:v>
                </c:pt>
                <c:pt idx="8">
                  <c:v>368.3</c:v>
                </c:pt>
                <c:pt idx="9">
                  <c:v>374.7</c:v>
                </c:pt>
                <c:pt idx="10">
                  <c:v>385</c:v>
                </c:pt>
                <c:pt idx="11">
                  <c:v>384.6</c:v>
                </c:pt>
                <c:pt idx="12">
                  <c:v>383.9</c:v>
                </c:pt>
                <c:pt idx="13">
                  <c:v>382.2</c:v>
                </c:pt>
                <c:pt idx="14">
                  <c:v>377.9</c:v>
                </c:pt>
                <c:pt idx="15">
                  <c:v>373.7</c:v>
                </c:pt>
                <c:pt idx="16">
                  <c:v>370.2</c:v>
                </c:pt>
                <c:pt idx="17">
                  <c:v>359.5</c:v>
                </c:pt>
                <c:pt idx="18">
                  <c:v>351.6</c:v>
                </c:pt>
                <c:pt idx="19">
                  <c:v>343.2</c:v>
                </c:pt>
                <c:pt idx="20">
                  <c:v>339.5</c:v>
                </c:pt>
                <c:pt idx="21">
                  <c:v>333.7</c:v>
                </c:pt>
                <c:pt idx="22">
                  <c:v>336.9</c:v>
                </c:pt>
                <c:pt idx="23">
                  <c:v>339.3</c:v>
                </c:pt>
                <c:pt idx="24">
                  <c:v>336.8</c:v>
                </c:pt>
                <c:pt idx="25">
                  <c:v>335.1</c:v>
                </c:pt>
                <c:pt idx="26">
                  <c:v>331.2</c:v>
                </c:pt>
                <c:pt idx="27">
                  <c:v>323.7</c:v>
                </c:pt>
              </c:numCache>
            </c:numRef>
          </c:val>
          <c:smooth val="0"/>
          <c:extLst>
            <c:ext xmlns:c16="http://schemas.microsoft.com/office/drawing/2014/chart" uri="{C3380CC4-5D6E-409C-BE32-E72D297353CC}">
              <c16:uniqueId val="{00000003-094D-4A5E-A0A4-16D0197B2818}"/>
            </c:ext>
          </c:extLst>
        </c:ser>
        <c:dLbls>
          <c:showLegendKey val="0"/>
          <c:showVal val="0"/>
          <c:showCatName val="0"/>
          <c:showSerName val="0"/>
          <c:showPercent val="0"/>
          <c:showBubbleSize val="0"/>
        </c:dLbls>
        <c:marker val="1"/>
        <c:smooth val="0"/>
        <c:axId val="-965667472"/>
        <c:axId val="-911988160"/>
        <c:extLst/>
      </c:lineChart>
      <c:lineChart>
        <c:grouping val="standard"/>
        <c:varyColors val="0"/>
        <c:ser>
          <c:idx val="1"/>
          <c:order val="1"/>
          <c:tx>
            <c:strRef>
              <c:f>写字楼!$W$34</c:f>
              <c:strCache>
                <c:ptCount val="1"/>
                <c:pt idx="0">
                  <c:v>空置率</c:v>
                </c:pt>
              </c:strCache>
            </c:strRef>
          </c:tx>
          <c:spPr>
            <a:ln w="28575" cap="rnd">
              <a:solidFill>
                <a:schemeClr val="accent2"/>
              </a:solidFill>
              <a:round/>
            </a:ln>
            <a:effectLst/>
          </c:spPr>
          <c:marker>
            <c:symbol val="none"/>
          </c:marker>
          <c:cat>
            <c:strRef>
              <c:f>写字楼!$U$35:$U$62</c:f>
              <c:strCache>
                <c:ptCount val="28"/>
                <c:pt idx="0">
                  <c:v>2016Q1</c:v>
                </c:pt>
                <c:pt idx="1">
                  <c:v>2016Q2</c:v>
                </c:pt>
                <c:pt idx="2">
                  <c:v>2016Q3</c:v>
                </c:pt>
                <c:pt idx="3">
                  <c:v>2016Q4</c:v>
                </c:pt>
                <c:pt idx="4">
                  <c:v>2017Q1</c:v>
                </c:pt>
                <c:pt idx="5">
                  <c:v>2017Q2</c:v>
                </c:pt>
                <c:pt idx="6">
                  <c:v>2017Q3</c:v>
                </c:pt>
                <c:pt idx="7">
                  <c:v>2017Q4</c:v>
                </c:pt>
                <c:pt idx="8">
                  <c:v>2018Q1</c:v>
                </c:pt>
                <c:pt idx="9">
                  <c:v>2018Q2</c:v>
                </c:pt>
                <c:pt idx="10">
                  <c:v>2018Q3</c:v>
                </c:pt>
                <c:pt idx="11">
                  <c:v>2018Q4</c:v>
                </c:pt>
                <c:pt idx="12">
                  <c:v>2019Q1</c:v>
                </c:pt>
                <c:pt idx="13">
                  <c:v>2019Q2</c:v>
                </c:pt>
                <c:pt idx="14">
                  <c:v>2019Q3</c:v>
                </c:pt>
                <c:pt idx="15">
                  <c:v>2019Q4</c:v>
                </c:pt>
                <c:pt idx="16">
                  <c:v>2020Q1</c:v>
                </c:pt>
                <c:pt idx="17">
                  <c:v>2020Q2</c:v>
                </c:pt>
                <c:pt idx="18">
                  <c:v>2020Q3</c:v>
                </c:pt>
                <c:pt idx="19">
                  <c:v>2020Q4</c:v>
                </c:pt>
                <c:pt idx="20">
                  <c:v>2021Q1</c:v>
                </c:pt>
                <c:pt idx="21">
                  <c:v>2021Q2</c:v>
                </c:pt>
                <c:pt idx="22">
                  <c:v>2021Q3</c:v>
                </c:pt>
                <c:pt idx="23">
                  <c:v>2021Q4</c:v>
                </c:pt>
                <c:pt idx="24">
                  <c:v>2022Q1</c:v>
                </c:pt>
                <c:pt idx="25">
                  <c:v>2022Q2</c:v>
                </c:pt>
                <c:pt idx="26">
                  <c:v>2022Q3</c:v>
                </c:pt>
                <c:pt idx="27">
                  <c:v>2022Q4</c:v>
                </c:pt>
              </c:strCache>
            </c:strRef>
          </c:cat>
          <c:val>
            <c:numRef>
              <c:f>写字楼!$W$35:$W$62</c:f>
              <c:numCache>
                <c:formatCode>0.00%</c:formatCode>
                <c:ptCount val="28"/>
                <c:pt idx="0">
                  <c:v>4.7500000000000001E-2</c:v>
                </c:pt>
                <c:pt idx="1">
                  <c:v>5.8500000000000003E-2</c:v>
                </c:pt>
                <c:pt idx="2">
                  <c:v>5.3499999999999999E-2</c:v>
                </c:pt>
                <c:pt idx="3">
                  <c:v>6.0999999999999999E-2</c:v>
                </c:pt>
                <c:pt idx="4">
                  <c:v>6.3500000000000001E-2</c:v>
                </c:pt>
                <c:pt idx="5">
                  <c:v>6.8500000000000005E-2</c:v>
                </c:pt>
                <c:pt idx="6">
                  <c:v>5.8999999999999997E-2</c:v>
                </c:pt>
                <c:pt idx="7">
                  <c:v>7.6499999999999999E-2</c:v>
                </c:pt>
                <c:pt idx="8">
                  <c:v>7.5999999999999998E-2</c:v>
                </c:pt>
                <c:pt idx="9">
                  <c:v>6.4500000000000002E-2</c:v>
                </c:pt>
                <c:pt idx="10">
                  <c:v>7.1999999999999995E-2</c:v>
                </c:pt>
                <c:pt idx="11">
                  <c:v>7.5499999999999998E-2</c:v>
                </c:pt>
                <c:pt idx="12">
                  <c:v>7.4099999999999999E-2</c:v>
                </c:pt>
                <c:pt idx="13">
                  <c:v>8.7499999999999994E-2</c:v>
                </c:pt>
                <c:pt idx="14">
                  <c:v>9.6799999999999997E-2</c:v>
                </c:pt>
                <c:pt idx="15">
                  <c:v>0.13100000000000001</c:v>
                </c:pt>
                <c:pt idx="16">
                  <c:v>0.13500000000000001</c:v>
                </c:pt>
                <c:pt idx="17">
                  <c:v>0.14899999999999999</c:v>
                </c:pt>
                <c:pt idx="18">
                  <c:v>0.158</c:v>
                </c:pt>
                <c:pt idx="19">
                  <c:v>0.16400000000000001</c:v>
                </c:pt>
                <c:pt idx="20">
                  <c:v>0.16900000000000001</c:v>
                </c:pt>
                <c:pt idx="21">
                  <c:v>0.17399999999999999</c:v>
                </c:pt>
                <c:pt idx="22">
                  <c:v>0.16450000000000001</c:v>
                </c:pt>
                <c:pt idx="23">
                  <c:v>0.14799999999999999</c:v>
                </c:pt>
                <c:pt idx="24">
                  <c:v>0.14799999999999999</c:v>
                </c:pt>
                <c:pt idx="25">
                  <c:v>0.14849999999999999</c:v>
                </c:pt>
                <c:pt idx="26">
                  <c:v>0.152</c:v>
                </c:pt>
                <c:pt idx="27">
                  <c:v>0.1615</c:v>
                </c:pt>
              </c:numCache>
            </c:numRef>
          </c:val>
          <c:smooth val="0"/>
          <c:extLst>
            <c:ext xmlns:c16="http://schemas.microsoft.com/office/drawing/2014/chart" uri="{C3380CC4-5D6E-409C-BE32-E72D297353CC}">
              <c16:uniqueId val="{00000004-094D-4A5E-A0A4-16D0197B2818}"/>
            </c:ext>
          </c:extLst>
        </c:ser>
        <c:dLbls>
          <c:showLegendKey val="0"/>
          <c:showVal val="0"/>
          <c:showCatName val="0"/>
          <c:showSerName val="0"/>
          <c:showPercent val="0"/>
          <c:showBubbleSize val="0"/>
        </c:dLbls>
        <c:marker val="1"/>
        <c:smooth val="0"/>
        <c:axId val="-965597136"/>
        <c:axId val="-911685808"/>
        <c:extLst/>
      </c:lineChart>
      <c:catAx>
        <c:axId val="-96566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911988160"/>
        <c:crosses val="autoZero"/>
        <c:auto val="1"/>
        <c:lblAlgn val="ctr"/>
        <c:lblOffset val="100"/>
        <c:noMultiLvlLbl val="0"/>
      </c:catAx>
      <c:valAx>
        <c:axId val="-911988160"/>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965667472"/>
        <c:crosses val="autoZero"/>
        <c:crossBetween val="between"/>
      </c:valAx>
      <c:valAx>
        <c:axId val="-911685808"/>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965597136"/>
        <c:crosses val="max"/>
        <c:crossBetween val="between"/>
      </c:valAx>
      <c:catAx>
        <c:axId val="-965597136"/>
        <c:scaling>
          <c:orientation val="minMax"/>
        </c:scaling>
        <c:delete val="1"/>
        <c:axPos val="b"/>
        <c:numFmt formatCode="General" sourceLinked="1"/>
        <c:majorTickMark val="out"/>
        <c:minorTickMark val="none"/>
        <c:tickLblPos val="nextTo"/>
        <c:crossAx val="-91168580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CN" altLang="en-US"/>
              <a:t>戴德中关村甲级及以上办公楼市场分析</a:t>
            </a:r>
          </a:p>
        </c:rich>
      </c:tx>
      <c:layout>
        <c:manualLayout>
          <c:xMode val="edge"/>
          <c:yMode val="edge"/>
          <c:x val="0.26353151200229502"/>
          <c:y val="4.6644457689282298E-2"/>
        </c:manualLayout>
      </c:layout>
      <c:overlay val="0"/>
      <c:spPr>
        <a:noFill/>
        <a:ln>
          <a:noFill/>
        </a:ln>
        <a:effectLst/>
      </c:spPr>
    </c:title>
    <c:autoTitleDeleted val="0"/>
    <c:plotArea>
      <c:layout/>
      <c:barChart>
        <c:barDir val="col"/>
        <c:grouping val="clustered"/>
        <c:varyColors val="0"/>
        <c:dLbls>
          <c:showLegendKey val="0"/>
          <c:showVal val="0"/>
          <c:showCatName val="0"/>
          <c:showSerName val="0"/>
          <c:showPercent val="0"/>
          <c:showBubbleSize val="0"/>
        </c:dLbls>
        <c:gapWidth val="150"/>
        <c:axId val="-911785088"/>
        <c:axId val="-911783040"/>
        <c:extLst>
          <c:ext xmlns:c15="http://schemas.microsoft.com/office/drawing/2012/chart" uri="{02D57815-91ED-43cb-92C2-25804820EDAC}">
            <c15:filteredBarSeries>
              <c15:ser>
                <c:idx val="4"/>
                <c:order val="4"/>
                <c:tx>
                  <c:strRef>
                    <c:extLst>
                      <c:ext uri="{02D57815-91ED-43cb-92C2-25804820EDAC}">
                        <c15:formulaRef>
                          <c15:sqref>写字楼!$G$3</c15:sqref>
                        </c15:formulaRef>
                      </c:ext>
                    </c:extLst>
                    <c:strCache>
                      <c:ptCount val="1"/>
                      <c:pt idx="0">
                        <c:v>库存（万㎡）</c:v>
                      </c:pt>
                    </c:strCache>
                  </c:strRef>
                </c:tx>
                <c:invertIfNegative val="0"/>
                <c:cat>
                  <c:strRef>
                    <c:extLst>
                      <c:ext uri="{02D57815-91ED-43cb-92C2-25804820EDAC}">
                        <c15:fullRef>
                          <c15:sqref>写字楼!$B$35:$B$62</c15:sqref>
                        </c15:fullRef>
                        <c15:formulaRef>
                          <c15:sqref>写字楼!$B$36:$B$62</c15:sqref>
                        </c15:formulaRef>
                      </c:ext>
                    </c:extLst>
                    <c:strCache>
                      <c:ptCount val="27"/>
                      <c:pt idx="0">
                        <c:v>2016Q2</c:v>
                      </c:pt>
                      <c:pt idx="1">
                        <c:v>2016Q3</c:v>
                      </c:pt>
                      <c:pt idx="2">
                        <c:v>2016Q4</c:v>
                      </c:pt>
                      <c:pt idx="3">
                        <c:v>2017Q1</c:v>
                      </c:pt>
                      <c:pt idx="4">
                        <c:v>2017Q2</c:v>
                      </c:pt>
                      <c:pt idx="5">
                        <c:v>2017Q3</c:v>
                      </c:pt>
                      <c:pt idx="6">
                        <c:v>2017Q4</c:v>
                      </c:pt>
                      <c:pt idx="7">
                        <c:v>2018Q1</c:v>
                      </c:pt>
                      <c:pt idx="8">
                        <c:v>2018Q2</c:v>
                      </c:pt>
                      <c:pt idx="9">
                        <c:v>2018Q3</c:v>
                      </c:pt>
                      <c:pt idx="10">
                        <c:v>2018Q4</c:v>
                      </c:pt>
                      <c:pt idx="11">
                        <c:v>2019Q1</c:v>
                      </c:pt>
                      <c:pt idx="12">
                        <c:v>2019Q2</c:v>
                      </c:pt>
                      <c:pt idx="13">
                        <c:v>2019Q3</c:v>
                      </c:pt>
                      <c:pt idx="14">
                        <c:v>2019Q4</c:v>
                      </c:pt>
                      <c:pt idx="15">
                        <c:v>2020Q1</c:v>
                      </c:pt>
                      <c:pt idx="16">
                        <c:v>2020Q2</c:v>
                      </c:pt>
                      <c:pt idx="17">
                        <c:v>2020Q3</c:v>
                      </c:pt>
                      <c:pt idx="18">
                        <c:v>2020Q4</c:v>
                      </c:pt>
                      <c:pt idx="19">
                        <c:v>2021Q1</c:v>
                      </c:pt>
                      <c:pt idx="20">
                        <c:v>2021Q2</c:v>
                      </c:pt>
                      <c:pt idx="21">
                        <c:v>2021Q3</c:v>
                      </c:pt>
                      <c:pt idx="22">
                        <c:v>2021Q4</c:v>
                      </c:pt>
                      <c:pt idx="23">
                        <c:v>2022Q1</c:v>
                      </c:pt>
                      <c:pt idx="24">
                        <c:v>2022Q2</c:v>
                      </c:pt>
                      <c:pt idx="25">
                        <c:v>2022Q3</c:v>
                      </c:pt>
                      <c:pt idx="26">
                        <c:v>2022Q4</c:v>
                      </c:pt>
                    </c:strCache>
                  </c:strRef>
                </c:cat>
                <c:val>
                  <c:numRef>
                    <c:extLst>
                      <c:ext uri="{02D57815-91ED-43cb-92C2-25804820EDAC}">
                        <c15:fullRef>
                          <c15:sqref>写字楼!$G$35:$G$62</c15:sqref>
                        </c15:fullRef>
                        <c15:formulaRef>
                          <c15:sqref>写字楼!$G$36:$G$62</c15:sqref>
                        </c15:formulaRef>
                      </c:ext>
                    </c:extLst>
                    <c:numCache>
                      <c:formatCode>General</c:formatCode>
                      <c:ptCount val="27"/>
                      <c:pt idx="0">
                        <c:v>92.4</c:v>
                      </c:pt>
                      <c:pt idx="1">
                        <c:v>99.3</c:v>
                      </c:pt>
                      <c:pt idx="2">
                        <c:v>99.3</c:v>
                      </c:pt>
                      <c:pt idx="3">
                        <c:v>104.7</c:v>
                      </c:pt>
                      <c:pt idx="4">
                        <c:v>104.7</c:v>
                      </c:pt>
                      <c:pt idx="5">
                        <c:v>104.7</c:v>
                      </c:pt>
                      <c:pt idx="6">
                        <c:v>104.7</c:v>
                      </c:pt>
                      <c:pt idx="7">
                        <c:v>104.7</c:v>
                      </c:pt>
                      <c:pt idx="8">
                        <c:v>104.7</c:v>
                      </c:pt>
                      <c:pt idx="9">
                        <c:v>104.7</c:v>
                      </c:pt>
                      <c:pt idx="10">
                        <c:v>104.7</c:v>
                      </c:pt>
                      <c:pt idx="11">
                        <c:v>104.7</c:v>
                      </c:pt>
                      <c:pt idx="12">
                        <c:v>104.7</c:v>
                      </c:pt>
                      <c:pt idx="13">
                        <c:v>104.7</c:v>
                      </c:pt>
                      <c:pt idx="14">
                        <c:v>104.7</c:v>
                      </c:pt>
                      <c:pt idx="15">
                        <c:v>104.7</c:v>
                      </c:pt>
                      <c:pt idx="16">
                        <c:v>104.7</c:v>
                      </c:pt>
                      <c:pt idx="17">
                        <c:v>104.7</c:v>
                      </c:pt>
                      <c:pt idx="18">
                        <c:v>104.7</c:v>
                      </c:pt>
                      <c:pt idx="19">
                        <c:v>104.7</c:v>
                      </c:pt>
                      <c:pt idx="20">
                        <c:v>104.7</c:v>
                      </c:pt>
                      <c:pt idx="21">
                        <c:v>104.7</c:v>
                      </c:pt>
                      <c:pt idx="22">
                        <c:v>110.4</c:v>
                      </c:pt>
                      <c:pt idx="23">
                        <c:v>110.4</c:v>
                      </c:pt>
                      <c:pt idx="24">
                        <c:v>110.4</c:v>
                      </c:pt>
                      <c:pt idx="25">
                        <c:v>118.4</c:v>
                      </c:pt>
                      <c:pt idx="26">
                        <c:v>118.4</c:v>
                      </c:pt>
                    </c:numCache>
                  </c:numRef>
                </c:val>
                <c:extLst>
                  <c:ext xmlns:c16="http://schemas.microsoft.com/office/drawing/2014/chart" uri="{C3380CC4-5D6E-409C-BE32-E72D297353CC}">
                    <c16:uniqueId val="{00000000-46AD-4F6D-BAD6-3D69C1EE6794}"/>
                  </c:ext>
                </c:extLst>
              </c15:ser>
            </c15:filteredBarSeries>
          </c:ext>
        </c:extLst>
      </c:barChart>
      <c:lineChart>
        <c:grouping val="standard"/>
        <c:varyColors val="0"/>
        <c:ser>
          <c:idx val="0"/>
          <c:order val="0"/>
          <c:tx>
            <c:strRef>
              <c:f>写字楼!$C$3</c:f>
              <c:strCache>
                <c:ptCount val="1"/>
                <c:pt idx="0">
                  <c:v>平均有效租金</c:v>
                </c:pt>
              </c:strCache>
            </c:strRef>
          </c:tx>
          <c:spPr>
            <a:effectLst/>
          </c:spPr>
          <c:marker>
            <c:symbol val="none"/>
          </c:marker>
          <c:cat>
            <c:strRef>
              <c:extLst>
                <c:ext xmlns:c15="http://schemas.microsoft.com/office/drawing/2012/chart" uri="{02D57815-91ED-43cb-92C2-25804820EDAC}">
                  <c15:fullRef>
                    <c15:sqref>写字楼!$B$35:$B$62</c15:sqref>
                  </c15:fullRef>
                </c:ext>
              </c:extLst>
              <c:f>写字楼!$B$36:$B$62</c:f>
              <c:strCache>
                <c:ptCount val="27"/>
                <c:pt idx="0">
                  <c:v>2016Q2</c:v>
                </c:pt>
                <c:pt idx="1">
                  <c:v>2016Q3</c:v>
                </c:pt>
                <c:pt idx="2">
                  <c:v>2016Q4</c:v>
                </c:pt>
                <c:pt idx="3">
                  <c:v>2017Q1</c:v>
                </c:pt>
                <c:pt idx="4">
                  <c:v>2017Q2</c:v>
                </c:pt>
                <c:pt idx="5">
                  <c:v>2017Q3</c:v>
                </c:pt>
                <c:pt idx="6">
                  <c:v>2017Q4</c:v>
                </c:pt>
                <c:pt idx="7">
                  <c:v>2018Q1</c:v>
                </c:pt>
                <c:pt idx="8">
                  <c:v>2018Q2</c:v>
                </c:pt>
                <c:pt idx="9">
                  <c:v>2018Q3</c:v>
                </c:pt>
                <c:pt idx="10">
                  <c:v>2018Q4</c:v>
                </c:pt>
                <c:pt idx="11">
                  <c:v>2019Q1</c:v>
                </c:pt>
                <c:pt idx="12">
                  <c:v>2019Q2</c:v>
                </c:pt>
                <c:pt idx="13">
                  <c:v>2019Q3</c:v>
                </c:pt>
                <c:pt idx="14">
                  <c:v>2019Q4</c:v>
                </c:pt>
                <c:pt idx="15">
                  <c:v>2020Q1</c:v>
                </c:pt>
                <c:pt idx="16">
                  <c:v>2020Q2</c:v>
                </c:pt>
                <c:pt idx="17">
                  <c:v>2020Q3</c:v>
                </c:pt>
                <c:pt idx="18">
                  <c:v>2020Q4</c:v>
                </c:pt>
                <c:pt idx="19">
                  <c:v>2021Q1</c:v>
                </c:pt>
                <c:pt idx="20">
                  <c:v>2021Q2</c:v>
                </c:pt>
                <c:pt idx="21">
                  <c:v>2021Q3</c:v>
                </c:pt>
                <c:pt idx="22">
                  <c:v>2021Q4</c:v>
                </c:pt>
                <c:pt idx="23">
                  <c:v>2022Q1</c:v>
                </c:pt>
                <c:pt idx="24">
                  <c:v>2022Q2</c:v>
                </c:pt>
                <c:pt idx="25">
                  <c:v>2022Q3</c:v>
                </c:pt>
                <c:pt idx="26">
                  <c:v>2022Q4</c:v>
                </c:pt>
              </c:strCache>
            </c:strRef>
          </c:cat>
          <c:val>
            <c:numRef>
              <c:extLst>
                <c:ext xmlns:c15="http://schemas.microsoft.com/office/drawing/2012/chart" uri="{02D57815-91ED-43cb-92C2-25804820EDAC}">
                  <c15:fullRef>
                    <c15:sqref>写字楼!$C$35:$C$62</c15:sqref>
                  </c15:fullRef>
                </c:ext>
              </c:extLst>
              <c:f>写字楼!$C$36:$C$62</c:f>
              <c:numCache>
                <c:formatCode>General</c:formatCode>
                <c:ptCount val="27"/>
                <c:pt idx="0">
                  <c:v>311.2</c:v>
                </c:pt>
                <c:pt idx="1">
                  <c:v>330.2</c:v>
                </c:pt>
                <c:pt idx="2">
                  <c:v>358.9</c:v>
                </c:pt>
                <c:pt idx="3">
                  <c:v>351.6</c:v>
                </c:pt>
                <c:pt idx="4">
                  <c:v>354.1</c:v>
                </c:pt>
                <c:pt idx="5">
                  <c:v>359.2</c:v>
                </c:pt>
                <c:pt idx="6">
                  <c:v>380.3</c:v>
                </c:pt>
                <c:pt idx="7">
                  <c:v>387.9</c:v>
                </c:pt>
                <c:pt idx="8">
                  <c:v>387.9</c:v>
                </c:pt>
                <c:pt idx="9">
                  <c:v>402.3</c:v>
                </c:pt>
                <c:pt idx="10">
                  <c:v>401.82</c:v>
                </c:pt>
                <c:pt idx="11">
                  <c:v>400.67</c:v>
                </c:pt>
                <c:pt idx="12">
                  <c:v>403</c:v>
                </c:pt>
                <c:pt idx="13">
                  <c:v>403.09</c:v>
                </c:pt>
                <c:pt idx="14">
                  <c:v>401.97</c:v>
                </c:pt>
                <c:pt idx="15">
                  <c:v>401.79</c:v>
                </c:pt>
                <c:pt idx="16">
                  <c:v>395.69</c:v>
                </c:pt>
                <c:pt idx="17">
                  <c:v>386.09</c:v>
                </c:pt>
                <c:pt idx="18">
                  <c:v>384.99</c:v>
                </c:pt>
                <c:pt idx="19">
                  <c:v>383.95</c:v>
                </c:pt>
                <c:pt idx="20">
                  <c:v>382.34</c:v>
                </c:pt>
                <c:pt idx="21">
                  <c:v>384.91</c:v>
                </c:pt>
                <c:pt idx="22">
                  <c:v>391.71</c:v>
                </c:pt>
                <c:pt idx="23">
                  <c:v>384.64</c:v>
                </c:pt>
                <c:pt idx="24">
                  <c:v>383.67</c:v>
                </c:pt>
                <c:pt idx="25">
                  <c:v>381.22</c:v>
                </c:pt>
                <c:pt idx="26">
                  <c:v>362.87</c:v>
                </c:pt>
              </c:numCache>
            </c:numRef>
          </c:val>
          <c:smooth val="0"/>
          <c:extLst>
            <c:ext xmlns:c16="http://schemas.microsoft.com/office/drawing/2014/chart" uri="{C3380CC4-5D6E-409C-BE32-E72D297353CC}">
              <c16:uniqueId val="{00000001-46AD-4F6D-BAD6-3D69C1EE6794}"/>
            </c:ext>
          </c:extLst>
        </c:ser>
        <c:dLbls>
          <c:showLegendKey val="0"/>
          <c:showVal val="0"/>
          <c:showCatName val="0"/>
          <c:showSerName val="0"/>
          <c:showPercent val="0"/>
          <c:showBubbleSize val="0"/>
        </c:dLbls>
        <c:marker val="1"/>
        <c:smooth val="0"/>
        <c:axId val="-911785088"/>
        <c:axId val="-911783040"/>
      </c:lineChart>
      <c:lineChart>
        <c:grouping val="standard"/>
        <c:varyColors val="0"/>
        <c:ser>
          <c:idx val="1"/>
          <c:order val="1"/>
          <c:tx>
            <c:strRef>
              <c:f>写字楼!$D$3</c:f>
              <c:strCache>
                <c:ptCount val="1"/>
                <c:pt idx="0">
                  <c:v>空置率</c:v>
                </c:pt>
              </c:strCache>
            </c:strRef>
          </c:tx>
          <c:spPr>
            <a:ln w="28575" cap="rnd">
              <a:solidFill>
                <a:schemeClr val="accent2"/>
              </a:solidFill>
              <a:round/>
            </a:ln>
            <a:effectLst/>
          </c:spPr>
          <c:marker>
            <c:symbol val="none"/>
          </c:marker>
          <c:cat>
            <c:strRef>
              <c:extLst>
                <c:ext xmlns:c15="http://schemas.microsoft.com/office/drawing/2012/chart" uri="{02D57815-91ED-43cb-92C2-25804820EDAC}">
                  <c15:fullRef>
                    <c15:sqref>写字楼!$B$35:$B$62</c15:sqref>
                  </c15:fullRef>
                </c:ext>
              </c:extLst>
              <c:f>写字楼!$B$36:$B$62</c:f>
              <c:strCache>
                <c:ptCount val="27"/>
                <c:pt idx="0">
                  <c:v>2016Q2</c:v>
                </c:pt>
                <c:pt idx="1">
                  <c:v>2016Q3</c:v>
                </c:pt>
                <c:pt idx="2">
                  <c:v>2016Q4</c:v>
                </c:pt>
                <c:pt idx="3">
                  <c:v>2017Q1</c:v>
                </c:pt>
                <c:pt idx="4">
                  <c:v>2017Q2</c:v>
                </c:pt>
                <c:pt idx="5">
                  <c:v>2017Q3</c:v>
                </c:pt>
                <c:pt idx="6">
                  <c:v>2017Q4</c:v>
                </c:pt>
                <c:pt idx="7">
                  <c:v>2018Q1</c:v>
                </c:pt>
                <c:pt idx="8">
                  <c:v>2018Q2</c:v>
                </c:pt>
                <c:pt idx="9">
                  <c:v>2018Q3</c:v>
                </c:pt>
                <c:pt idx="10">
                  <c:v>2018Q4</c:v>
                </c:pt>
                <c:pt idx="11">
                  <c:v>2019Q1</c:v>
                </c:pt>
                <c:pt idx="12">
                  <c:v>2019Q2</c:v>
                </c:pt>
                <c:pt idx="13">
                  <c:v>2019Q3</c:v>
                </c:pt>
                <c:pt idx="14">
                  <c:v>2019Q4</c:v>
                </c:pt>
                <c:pt idx="15">
                  <c:v>2020Q1</c:v>
                </c:pt>
                <c:pt idx="16">
                  <c:v>2020Q2</c:v>
                </c:pt>
                <c:pt idx="17">
                  <c:v>2020Q3</c:v>
                </c:pt>
                <c:pt idx="18">
                  <c:v>2020Q4</c:v>
                </c:pt>
                <c:pt idx="19">
                  <c:v>2021Q1</c:v>
                </c:pt>
                <c:pt idx="20">
                  <c:v>2021Q2</c:v>
                </c:pt>
                <c:pt idx="21">
                  <c:v>2021Q3</c:v>
                </c:pt>
                <c:pt idx="22">
                  <c:v>2021Q4</c:v>
                </c:pt>
                <c:pt idx="23">
                  <c:v>2022Q1</c:v>
                </c:pt>
                <c:pt idx="24">
                  <c:v>2022Q2</c:v>
                </c:pt>
                <c:pt idx="25">
                  <c:v>2022Q3</c:v>
                </c:pt>
                <c:pt idx="26">
                  <c:v>2022Q4</c:v>
                </c:pt>
              </c:strCache>
            </c:strRef>
          </c:cat>
          <c:val>
            <c:numRef>
              <c:extLst>
                <c:ext xmlns:c15="http://schemas.microsoft.com/office/drawing/2012/chart" uri="{02D57815-91ED-43cb-92C2-25804820EDAC}">
                  <c15:fullRef>
                    <c15:sqref>写字楼!$D$35:$D$62</c15:sqref>
                  </c15:fullRef>
                </c:ext>
              </c:extLst>
              <c:f>写字楼!$D$36:$D$62</c:f>
              <c:numCache>
                <c:formatCode>0.00%</c:formatCode>
                <c:ptCount val="27"/>
                <c:pt idx="0">
                  <c:v>1.6E-2</c:v>
                </c:pt>
                <c:pt idx="1">
                  <c:v>2.5000000000000001E-2</c:v>
                </c:pt>
                <c:pt idx="2">
                  <c:v>2.5999999999999999E-2</c:v>
                </c:pt>
                <c:pt idx="3">
                  <c:v>2.5999999999999999E-2</c:v>
                </c:pt>
                <c:pt idx="4">
                  <c:v>1.9E-2</c:v>
                </c:pt>
                <c:pt idx="5">
                  <c:v>1.7000000000000001E-2</c:v>
                </c:pt>
                <c:pt idx="6">
                  <c:v>1.2E-2</c:v>
                </c:pt>
                <c:pt idx="7">
                  <c:v>4.0000000000000001E-3</c:v>
                </c:pt>
                <c:pt idx="8">
                  <c:v>1.4E-2</c:v>
                </c:pt>
                <c:pt idx="9">
                  <c:v>7.0000000000000001E-3</c:v>
                </c:pt>
                <c:pt idx="10">
                  <c:v>3.0000000000000001E-3</c:v>
                </c:pt>
                <c:pt idx="11">
                  <c:v>4.1999999999999997E-3</c:v>
                </c:pt>
                <c:pt idx="12">
                  <c:v>1.2E-2</c:v>
                </c:pt>
                <c:pt idx="13">
                  <c:v>1.7000000000000001E-2</c:v>
                </c:pt>
                <c:pt idx="14">
                  <c:v>2.5000000000000001E-2</c:v>
                </c:pt>
                <c:pt idx="15">
                  <c:v>2.1000000000000001E-2</c:v>
                </c:pt>
                <c:pt idx="16">
                  <c:v>2.5000000000000001E-2</c:v>
                </c:pt>
                <c:pt idx="17">
                  <c:v>3.9E-2</c:v>
                </c:pt>
                <c:pt idx="18">
                  <c:v>3.9E-2</c:v>
                </c:pt>
                <c:pt idx="19">
                  <c:v>3.4000000000000002E-2</c:v>
                </c:pt>
                <c:pt idx="20">
                  <c:v>2.1999999999999999E-2</c:v>
                </c:pt>
                <c:pt idx="21">
                  <c:v>1.47E-2</c:v>
                </c:pt>
                <c:pt idx="22">
                  <c:v>5.5899999999999998E-2</c:v>
                </c:pt>
                <c:pt idx="23">
                  <c:v>5.6000000000000001E-2</c:v>
                </c:pt>
                <c:pt idx="24">
                  <c:v>6.2E-2</c:v>
                </c:pt>
                <c:pt idx="25">
                  <c:v>0.111</c:v>
                </c:pt>
                <c:pt idx="26">
                  <c:v>0.14599999999999999</c:v>
                </c:pt>
              </c:numCache>
            </c:numRef>
          </c:val>
          <c:smooth val="0"/>
          <c:extLst>
            <c:ext xmlns:c16="http://schemas.microsoft.com/office/drawing/2014/chart" uri="{C3380CC4-5D6E-409C-BE32-E72D297353CC}">
              <c16:uniqueId val="{00000002-46AD-4F6D-BAD6-3D69C1EE6794}"/>
            </c:ext>
          </c:extLst>
        </c:ser>
        <c:dLbls>
          <c:showLegendKey val="0"/>
          <c:showVal val="0"/>
          <c:showCatName val="0"/>
          <c:showSerName val="0"/>
          <c:showPercent val="0"/>
          <c:showBubbleSize val="0"/>
        </c:dLbls>
        <c:marker val="1"/>
        <c:smooth val="0"/>
        <c:axId val="-518310864"/>
        <c:axId val="-518313184"/>
        <c:extLst>
          <c:ext xmlns:c15="http://schemas.microsoft.com/office/drawing/2012/chart" uri="{02D57815-91ED-43cb-92C2-25804820EDAC}">
            <c15:filteredLineSeries>
              <c15:ser>
                <c:idx val="2"/>
                <c:order val="2"/>
                <c:tx>
                  <c:strRef>
                    <c:extLst>
                      <c:ext uri="{02D57815-91ED-43cb-92C2-25804820EDAC}">
                        <c15:formulaRef>
                          <c15:sqref>写字楼!$E$3</c15:sqref>
                        </c15:formulaRef>
                      </c:ext>
                    </c:extLst>
                    <c:strCache>
                      <c:ptCount val="1"/>
                      <c:pt idx="0">
                        <c:v>租金增长率（环比）</c:v>
                      </c:pt>
                    </c:strCache>
                  </c:strRef>
                </c:tx>
                <c:marker>
                  <c:symbol val="none"/>
                </c:marker>
                <c:cat>
                  <c:strRef>
                    <c:extLst>
                      <c:ext uri="{02D57815-91ED-43cb-92C2-25804820EDAC}">
                        <c15:fullRef>
                          <c15:sqref>写字楼!$B$35:$B$62</c15:sqref>
                        </c15:fullRef>
                        <c15:formulaRef>
                          <c15:sqref>写字楼!$B$36:$B$62</c15:sqref>
                        </c15:formulaRef>
                      </c:ext>
                    </c:extLst>
                    <c:strCache>
                      <c:ptCount val="27"/>
                      <c:pt idx="0">
                        <c:v>2016Q2</c:v>
                      </c:pt>
                      <c:pt idx="1">
                        <c:v>2016Q3</c:v>
                      </c:pt>
                      <c:pt idx="2">
                        <c:v>2016Q4</c:v>
                      </c:pt>
                      <c:pt idx="3">
                        <c:v>2017Q1</c:v>
                      </c:pt>
                      <c:pt idx="4">
                        <c:v>2017Q2</c:v>
                      </c:pt>
                      <c:pt idx="5">
                        <c:v>2017Q3</c:v>
                      </c:pt>
                      <c:pt idx="6">
                        <c:v>2017Q4</c:v>
                      </c:pt>
                      <c:pt idx="7">
                        <c:v>2018Q1</c:v>
                      </c:pt>
                      <c:pt idx="8">
                        <c:v>2018Q2</c:v>
                      </c:pt>
                      <c:pt idx="9">
                        <c:v>2018Q3</c:v>
                      </c:pt>
                      <c:pt idx="10">
                        <c:v>2018Q4</c:v>
                      </c:pt>
                      <c:pt idx="11">
                        <c:v>2019Q1</c:v>
                      </c:pt>
                      <c:pt idx="12">
                        <c:v>2019Q2</c:v>
                      </c:pt>
                      <c:pt idx="13">
                        <c:v>2019Q3</c:v>
                      </c:pt>
                      <c:pt idx="14">
                        <c:v>2019Q4</c:v>
                      </c:pt>
                      <c:pt idx="15">
                        <c:v>2020Q1</c:v>
                      </c:pt>
                      <c:pt idx="16">
                        <c:v>2020Q2</c:v>
                      </c:pt>
                      <c:pt idx="17">
                        <c:v>2020Q3</c:v>
                      </c:pt>
                      <c:pt idx="18">
                        <c:v>2020Q4</c:v>
                      </c:pt>
                      <c:pt idx="19">
                        <c:v>2021Q1</c:v>
                      </c:pt>
                      <c:pt idx="20">
                        <c:v>2021Q2</c:v>
                      </c:pt>
                      <c:pt idx="21">
                        <c:v>2021Q3</c:v>
                      </c:pt>
                      <c:pt idx="22">
                        <c:v>2021Q4</c:v>
                      </c:pt>
                      <c:pt idx="23">
                        <c:v>2022Q1</c:v>
                      </c:pt>
                      <c:pt idx="24">
                        <c:v>2022Q2</c:v>
                      </c:pt>
                      <c:pt idx="25">
                        <c:v>2022Q3</c:v>
                      </c:pt>
                      <c:pt idx="26">
                        <c:v>2022Q4</c:v>
                      </c:pt>
                    </c:strCache>
                  </c:strRef>
                </c:cat>
                <c:val>
                  <c:numRef>
                    <c:extLst>
                      <c:ext uri="{02D57815-91ED-43cb-92C2-25804820EDAC}">
                        <c15:fullRef>
                          <c15:sqref>写字楼!$E$35:$E$62</c15:sqref>
                        </c15:fullRef>
                        <c15:formulaRef>
                          <c15:sqref>写字楼!$E$36:$E$62</c15:sqref>
                        </c15:formulaRef>
                      </c:ext>
                    </c:extLst>
                    <c:numCache>
                      <c:formatCode>0.00%</c:formatCode>
                      <c:ptCount val="27"/>
                      <c:pt idx="0">
                        <c:v>0</c:v>
                      </c:pt>
                      <c:pt idx="1">
                        <c:v>6.1053984575835475E-2</c:v>
                      </c:pt>
                      <c:pt idx="2">
                        <c:v>8.6917019987886104E-2</c:v>
                      </c:pt>
                      <c:pt idx="3">
                        <c:v>-2.0339927556422277E-2</c:v>
                      </c:pt>
                      <c:pt idx="4">
                        <c:v>7.1103526734926049E-3</c:v>
                      </c:pt>
                      <c:pt idx="5">
                        <c:v>1.4402711098559631E-2</c:v>
                      </c:pt>
                      <c:pt idx="6">
                        <c:v>5.8741648106904298E-2</c:v>
                      </c:pt>
                      <c:pt idx="7">
                        <c:v>1.9984222981856339E-2</c:v>
                      </c:pt>
                      <c:pt idx="8">
                        <c:v>0</c:v>
                      </c:pt>
                      <c:pt idx="9">
                        <c:v>3.7122969837587096E-2</c:v>
                      </c:pt>
                      <c:pt idx="10">
                        <c:v>-1.1931394481730505E-3</c:v>
                      </c:pt>
                      <c:pt idx="11">
                        <c:v>-2.8619780000994906E-3</c:v>
                      </c:pt>
                      <c:pt idx="12">
                        <c:v>5.8152594404372272E-3</c:v>
                      </c:pt>
                      <c:pt idx="13">
                        <c:v>2.2332506203467738E-4</c:v>
                      </c:pt>
                      <c:pt idx="14">
                        <c:v>-2.7785358108609686E-3</c:v>
                      </c:pt>
                      <c:pt idx="15">
                        <c:v>-4.4779461153819145E-4</c:v>
                      </c:pt>
                      <c:pt idx="16">
                        <c:v>-1.5182060280245956E-2</c:v>
                      </c:pt>
                      <c:pt idx="17">
                        <c:v>-2.4261416765649937E-2</c:v>
                      </c:pt>
                      <c:pt idx="18">
                        <c:v>-2.8490766401615322E-3</c:v>
                      </c:pt>
                      <c:pt idx="19">
                        <c:v>-2.7013688667238641E-3</c:v>
                      </c:pt>
                      <c:pt idx="20">
                        <c:v>-4.1932543299909196E-3</c:v>
                      </c:pt>
                      <c:pt idx="21">
                        <c:v>6.721765967463645E-3</c:v>
                      </c:pt>
                      <c:pt idx="22">
                        <c:v>1.7666467485905678E-2</c:v>
                      </c:pt>
                      <c:pt idx="23">
                        <c:v>-1.8049066911745917E-2</c:v>
                      </c:pt>
                      <c:pt idx="24">
                        <c:v>-2.5218386023293741E-3</c:v>
                      </c:pt>
                      <c:pt idx="25">
                        <c:v>-6.3856960408684247E-3</c:v>
                      </c:pt>
                      <c:pt idx="26">
                        <c:v>-4.8134935208016427E-2</c:v>
                      </c:pt>
                    </c:numCache>
                  </c:numRef>
                </c:val>
                <c:smooth val="0"/>
                <c:extLst>
                  <c:ext xmlns:c16="http://schemas.microsoft.com/office/drawing/2014/chart" uri="{C3380CC4-5D6E-409C-BE32-E72D297353CC}">
                    <c16:uniqueId val="{00000003-46AD-4F6D-BAD6-3D69C1EE679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写字楼!$F$3</c15:sqref>
                        </c15:formulaRef>
                      </c:ext>
                    </c:extLst>
                    <c:strCache>
                      <c:ptCount val="1"/>
                      <c:pt idx="0">
                        <c:v>新增供应</c:v>
                      </c:pt>
                    </c:strCache>
                  </c:strRef>
                </c:tx>
                <c:marker>
                  <c:symbol val="none"/>
                </c:marker>
                <c:cat>
                  <c:strRef>
                    <c:extLst>
                      <c:ext xmlns:c15="http://schemas.microsoft.com/office/drawing/2012/chart" uri="{02D57815-91ED-43cb-92C2-25804820EDAC}">
                        <c15:fullRef>
                          <c15:sqref>写字楼!$B$35:$B$62</c15:sqref>
                        </c15:fullRef>
                        <c15:formulaRef>
                          <c15:sqref>写字楼!$B$36:$B$62</c15:sqref>
                        </c15:formulaRef>
                      </c:ext>
                    </c:extLst>
                    <c:strCache>
                      <c:ptCount val="27"/>
                      <c:pt idx="0">
                        <c:v>2016Q2</c:v>
                      </c:pt>
                      <c:pt idx="1">
                        <c:v>2016Q3</c:v>
                      </c:pt>
                      <c:pt idx="2">
                        <c:v>2016Q4</c:v>
                      </c:pt>
                      <c:pt idx="3">
                        <c:v>2017Q1</c:v>
                      </c:pt>
                      <c:pt idx="4">
                        <c:v>2017Q2</c:v>
                      </c:pt>
                      <c:pt idx="5">
                        <c:v>2017Q3</c:v>
                      </c:pt>
                      <c:pt idx="6">
                        <c:v>2017Q4</c:v>
                      </c:pt>
                      <c:pt idx="7">
                        <c:v>2018Q1</c:v>
                      </c:pt>
                      <c:pt idx="8">
                        <c:v>2018Q2</c:v>
                      </c:pt>
                      <c:pt idx="9">
                        <c:v>2018Q3</c:v>
                      </c:pt>
                      <c:pt idx="10">
                        <c:v>2018Q4</c:v>
                      </c:pt>
                      <c:pt idx="11">
                        <c:v>2019Q1</c:v>
                      </c:pt>
                      <c:pt idx="12">
                        <c:v>2019Q2</c:v>
                      </c:pt>
                      <c:pt idx="13">
                        <c:v>2019Q3</c:v>
                      </c:pt>
                      <c:pt idx="14">
                        <c:v>2019Q4</c:v>
                      </c:pt>
                      <c:pt idx="15">
                        <c:v>2020Q1</c:v>
                      </c:pt>
                      <c:pt idx="16">
                        <c:v>2020Q2</c:v>
                      </c:pt>
                      <c:pt idx="17">
                        <c:v>2020Q3</c:v>
                      </c:pt>
                      <c:pt idx="18">
                        <c:v>2020Q4</c:v>
                      </c:pt>
                      <c:pt idx="19">
                        <c:v>2021Q1</c:v>
                      </c:pt>
                      <c:pt idx="20">
                        <c:v>2021Q2</c:v>
                      </c:pt>
                      <c:pt idx="21">
                        <c:v>2021Q3</c:v>
                      </c:pt>
                      <c:pt idx="22">
                        <c:v>2021Q4</c:v>
                      </c:pt>
                      <c:pt idx="23">
                        <c:v>2022Q1</c:v>
                      </c:pt>
                      <c:pt idx="24">
                        <c:v>2022Q2</c:v>
                      </c:pt>
                      <c:pt idx="25">
                        <c:v>2022Q3</c:v>
                      </c:pt>
                      <c:pt idx="26">
                        <c:v>2022Q4</c:v>
                      </c:pt>
                    </c:strCache>
                  </c:strRef>
                </c:cat>
                <c:val>
                  <c:numRef>
                    <c:extLst>
                      <c:ext xmlns:c15="http://schemas.microsoft.com/office/drawing/2012/chart" uri="{02D57815-91ED-43cb-92C2-25804820EDAC}">
                        <c15:fullRef>
                          <c15:sqref>写字楼!$F$35:$F$62</c15:sqref>
                        </c15:fullRef>
                        <c15:formulaRef>
                          <c15:sqref>写字楼!$F$36:$F$62</c15:sqref>
                        </c15:formulaRef>
                      </c:ext>
                    </c:extLst>
                    <c:numCache>
                      <c:formatCode>General</c:formatCode>
                      <c:ptCount val="27"/>
                      <c:pt idx="1">
                        <c:v>6.8999999999999915</c:v>
                      </c:pt>
                      <c:pt idx="2">
                        <c:v>0</c:v>
                      </c:pt>
                      <c:pt idx="3">
                        <c:v>5.4000000000000057</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5.7000000000000028</c:v>
                      </c:pt>
                      <c:pt idx="23">
                        <c:v>0</c:v>
                      </c:pt>
                      <c:pt idx="24">
                        <c:v>0</c:v>
                      </c:pt>
                      <c:pt idx="25">
                        <c:v>8</c:v>
                      </c:pt>
                      <c:pt idx="26">
                        <c:v>0</c:v>
                      </c:pt>
                    </c:numCache>
                  </c:numRef>
                </c:val>
                <c:smooth val="0"/>
                <c:extLst xmlns:c15="http://schemas.microsoft.com/office/drawing/2012/chart">
                  <c:ext xmlns:c16="http://schemas.microsoft.com/office/drawing/2014/chart" uri="{C3380CC4-5D6E-409C-BE32-E72D297353CC}">
                    <c16:uniqueId val="{00000004-46AD-4F6D-BAD6-3D69C1EE6794}"/>
                  </c:ext>
                </c:extLst>
              </c15:ser>
            </c15:filteredLineSeries>
          </c:ext>
        </c:extLst>
      </c:lineChart>
      <c:catAx>
        <c:axId val="-91178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911783040"/>
        <c:crosses val="autoZero"/>
        <c:auto val="1"/>
        <c:lblAlgn val="ctr"/>
        <c:lblOffset val="100"/>
        <c:noMultiLvlLbl val="0"/>
      </c:catAx>
      <c:valAx>
        <c:axId val="-911783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911785088"/>
        <c:crosses val="autoZero"/>
        <c:crossBetween val="between"/>
      </c:valAx>
      <c:valAx>
        <c:axId val="-518313184"/>
        <c:scaling>
          <c:orientation val="minMax"/>
          <c:max val="0.2"/>
        </c:scaling>
        <c:delete val="0"/>
        <c:axPos val="r"/>
        <c:minorGridlines>
          <c:spPr>
            <a:ln>
              <a:noFill/>
            </a:ln>
          </c:spPr>
        </c:min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518310864"/>
        <c:crosses val="max"/>
        <c:crossBetween val="between"/>
      </c:valAx>
      <c:catAx>
        <c:axId val="-518310864"/>
        <c:scaling>
          <c:orientation val="minMax"/>
        </c:scaling>
        <c:delete val="1"/>
        <c:axPos val="b"/>
        <c:numFmt formatCode="General" sourceLinked="1"/>
        <c:majorTickMark val="out"/>
        <c:minorTickMark val="none"/>
        <c:tickLblPos val="nextTo"/>
        <c:crossAx val="-51831318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manualLayout>
          <c:layoutTarget val="inner"/>
          <c:xMode val="edge"/>
          <c:yMode val="edge"/>
          <c:x val="8.4246281714785598E-2"/>
          <c:y val="0.15724555263925299"/>
          <c:w val="0.87753018372703395"/>
          <c:h val="0.71220691163604499"/>
        </c:manualLayout>
      </c:layout>
      <c:lineChart>
        <c:grouping val="standard"/>
        <c:varyColors val="0"/>
        <c:ser>
          <c:idx val="0"/>
          <c:order val="0"/>
          <c:spPr>
            <a:ln w="28575" cap="rnd">
              <a:solidFill>
                <a:schemeClr val="accent1"/>
              </a:solidFill>
              <a:round/>
            </a:ln>
            <a:effectLst/>
          </c:spPr>
          <c:marker>
            <c:symbol val="none"/>
          </c:marker>
          <c:cat>
            <c:numRef>
              <c:f>统计表!$B$61:$B$71</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统计表!$C$61:$C$71</c:f>
              <c:numCache>
                <c:formatCode>General</c:formatCode>
                <c:ptCount val="11"/>
                <c:pt idx="0">
                  <c:v>538</c:v>
                </c:pt>
                <c:pt idx="1">
                  <c:v>672</c:v>
                </c:pt>
                <c:pt idx="2">
                  <c:v>729</c:v>
                </c:pt>
                <c:pt idx="3">
                  <c:v>795</c:v>
                </c:pt>
                <c:pt idx="4">
                  <c:v>842</c:v>
                </c:pt>
                <c:pt idx="5">
                  <c:v>860</c:v>
                </c:pt>
                <c:pt idx="6">
                  <c:v>913.4</c:v>
                </c:pt>
                <c:pt idx="7">
                  <c:v>941.4</c:v>
                </c:pt>
                <c:pt idx="8">
                  <c:v>943.5</c:v>
                </c:pt>
                <c:pt idx="9">
                  <c:v>948.2</c:v>
                </c:pt>
                <c:pt idx="10">
                  <c:v>866.2</c:v>
                </c:pt>
              </c:numCache>
            </c:numRef>
          </c:val>
          <c:smooth val="0"/>
          <c:extLst>
            <c:ext xmlns:c16="http://schemas.microsoft.com/office/drawing/2014/chart" uri="{C3380CC4-5D6E-409C-BE32-E72D297353CC}">
              <c16:uniqueId val="{00000000-373F-43A8-BD97-3E6A52EBAD55}"/>
            </c:ext>
          </c:extLst>
        </c:ser>
        <c:dLbls>
          <c:showLegendKey val="0"/>
          <c:showVal val="0"/>
          <c:showCatName val="0"/>
          <c:showSerName val="0"/>
          <c:showPercent val="0"/>
          <c:showBubbleSize val="0"/>
        </c:dLbls>
        <c:smooth val="0"/>
        <c:axId val="-464621328"/>
        <c:axId val="-464619024"/>
      </c:lineChart>
      <c:catAx>
        <c:axId val="-464621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464619024"/>
        <c:crosses val="autoZero"/>
        <c:auto val="1"/>
        <c:lblAlgn val="ctr"/>
        <c:lblOffset val="100"/>
        <c:noMultiLvlLbl val="0"/>
      </c:catAx>
      <c:valAx>
        <c:axId val="-464619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464621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9.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7.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4.png"/><Relationship Id="rId7" Type="http://schemas.openxmlformats.org/officeDocument/2006/relationships/image" Target="../media/image28.png"/><Relationship Id="rId2" Type="http://schemas.openxmlformats.org/officeDocument/2006/relationships/image" Target="../media/image23.png"/><Relationship Id="rId1" Type="http://schemas.openxmlformats.org/officeDocument/2006/relationships/image" Target="../media/image22.png"/><Relationship Id="rId6" Type="http://schemas.openxmlformats.org/officeDocument/2006/relationships/image" Target="../media/image27.png"/><Relationship Id="rId5" Type="http://schemas.openxmlformats.org/officeDocument/2006/relationships/image" Target="../media/image26.png"/><Relationship Id="rId4" Type="http://schemas.openxmlformats.org/officeDocument/2006/relationships/image" Target="../media/image2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256718</xdr:colOff>
      <xdr:row>11</xdr:row>
      <xdr:rowOff>118532</xdr:rowOff>
    </xdr:from>
    <xdr:to>
      <xdr:col>19</xdr:col>
      <xdr:colOff>146407</xdr:colOff>
      <xdr:row>21</xdr:row>
      <xdr:rowOff>42334</xdr:rowOff>
    </xdr:to>
    <xdr:pic>
      <xdr:nvPicPr>
        <xdr:cNvPr id="2" name="图片 1">
          <a:extLst>
            <a:ext uri="{FF2B5EF4-FFF2-40B4-BE49-F238E27FC236}">
              <a16:creationId xmlns:a16="http://schemas.microsoft.com/office/drawing/2014/main" id="{E3792CF0-2A91-4363-B8FC-E705A9E7F076}"/>
            </a:ext>
          </a:extLst>
        </xdr:cNvPr>
        <xdr:cNvPicPr>
          <a:picLocks noChangeAspect="1"/>
        </xdr:cNvPicPr>
      </xdr:nvPicPr>
      <xdr:blipFill>
        <a:blip xmlns:r="http://schemas.openxmlformats.org/officeDocument/2006/relationships" r:embed="rId1"/>
        <a:stretch>
          <a:fillRect/>
        </a:stretch>
      </xdr:blipFill>
      <xdr:spPr>
        <a:xfrm>
          <a:off x="9040885" y="3928532"/>
          <a:ext cx="8282272" cy="2855385"/>
        </a:xfrm>
        <a:prstGeom prst="rect">
          <a:avLst/>
        </a:prstGeom>
      </xdr:spPr>
    </xdr:pic>
    <xdr:clientData/>
  </xdr:twoCellAnchor>
  <xdr:twoCellAnchor editAs="oneCell">
    <xdr:from>
      <xdr:col>13</xdr:col>
      <xdr:colOff>76200</xdr:colOff>
      <xdr:row>0</xdr:row>
      <xdr:rowOff>25400</xdr:rowOff>
    </xdr:from>
    <xdr:to>
      <xdr:col>21</xdr:col>
      <xdr:colOff>657225</xdr:colOff>
      <xdr:row>5</xdr:row>
      <xdr:rowOff>153135</xdr:rowOff>
    </xdr:to>
    <xdr:pic>
      <xdr:nvPicPr>
        <xdr:cNvPr id="3" name="图片 2">
          <a:extLst>
            <a:ext uri="{FF2B5EF4-FFF2-40B4-BE49-F238E27FC236}">
              <a16:creationId xmlns:a16="http://schemas.microsoft.com/office/drawing/2014/main" id="{4D148B48-408E-494B-862D-5B6B1C1BC3C2}"/>
            </a:ext>
          </a:extLst>
        </xdr:cNvPr>
        <xdr:cNvPicPr>
          <a:picLocks noChangeAspect="1"/>
        </xdr:cNvPicPr>
      </xdr:nvPicPr>
      <xdr:blipFill>
        <a:blip xmlns:r="http://schemas.openxmlformats.org/officeDocument/2006/relationships" r:embed="rId2"/>
        <a:stretch>
          <a:fillRect/>
        </a:stretch>
      </xdr:blipFill>
      <xdr:spPr>
        <a:xfrm>
          <a:off x="12315825" y="25400"/>
          <a:ext cx="6067425" cy="21660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317500</xdr:colOff>
      <xdr:row>42</xdr:row>
      <xdr:rowOff>10584</xdr:rowOff>
    </xdr:from>
    <xdr:to>
      <xdr:col>8</xdr:col>
      <xdr:colOff>282821</xdr:colOff>
      <xdr:row>50</xdr:row>
      <xdr:rowOff>74966</xdr:rowOff>
    </xdr:to>
    <xdr:pic>
      <xdr:nvPicPr>
        <xdr:cNvPr id="2" name="图片 1">
          <a:extLst>
            <a:ext uri="{FF2B5EF4-FFF2-40B4-BE49-F238E27FC236}">
              <a16:creationId xmlns:a16="http://schemas.microsoft.com/office/drawing/2014/main" id="{4CB093B8-1B59-4947-9FFD-7E1D49466F8A}"/>
            </a:ext>
          </a:extLst>
        </xdr:cNvPr>
        <xdr:cNvPicPr>
          <a:picLocks noChangeAspect="1"/>
        </xdr:cNvPicPr>
      </xdr:nvPicPr>
      <xdr:blipFill>
        <a:blip xmlns:r="http://schemas.openxmlformats.org/officeDocument/2006/relationships" r:embed="rId1"/>
        <a:stretch>
          <a:fillRect/>
        </a:stretch>
      </xdr:blipFill>
      <xdr:spPr>
        <a:xfrm>
          <a:off x="317500" y="6297084"/>
          <a:ext cx="6495238" cy="1419048"/>
        </a:xfrm>
        <a:prstGeom prst="rect">
          <a:avLst/>
        </a:prstGeom>
      </xdr:spPr>
    </xdr:pic>
    <xdr:clientData/>
  </xdr:twoCellAnchor>
  <xdr:twoCellAnchor editAs="oneCell">
    <xdr:from>
      <xdr:col>0</xdr:col>
      <xdr:colOff>423333</xdr:colOff>
      <xdr:row>51</xdr:row>
      <xdr:rowOff>95250</xdr:rowOff>
    </xdr:from>
    <xdr:to>
      <xdr:col>8</xdr:col>
      <xdr:colOff>341035</xdr:colOff>
      <xdr:row>57</xdr:row>
      <xdr:rowOff>88774</xdr:rowOff>
    </xdr:to>
    <xdr:pic>
      <xdr:nvPicPr>
        <xdr:cNvPr id="3" name="图片 2">
          <a:extLst>
            <a:ext uri="{FF2B5EF4-FFF2-40B4-BE49-F238E27FC236}">
              <a16:creationId xmlns:a16="http://schemas.microsoft.com/office/drawing/2014/main" id="{74A15BB2-901E-4D15-B318-0C10527E6CC6}"/>
            </a:ext>
          </a:extLst>
        </xdr:cNvPr>
        <xdr:cNvPicPr>
          <a:picLocks noChangeAspect="1"/>
        </xdr:cNvPicPr>
      </xdr:nvPicPr>
      <xdr:blipFill>
        <a:blip xmlns:r="http://schemas.openxmlformats.org/officeDocument/2006/relationships" r:embed="rId2"/>
        <a:stretch>
          <a:fillRect/>
        </a:stretch>
      </xdr:blipFill>
      <xdr:spPr>
        <a:xfrm>
          <a:off x="423333" y="7387167"/>
          <a:ext cx="6447619" cy="10095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619125</xdr:colOff>
      <xdr:row>41</xdr:row>
      <xdr:rowOff>152400</xdr:rowOff>
    </xdr:from>
    <xdr:to>
      <xdr:col>13</xdr:col>
      <xdr:colOff>37292</xdr:colOff>
      <xdr:row>62</xdr:row>
      <xdr:rowOff>18642</xdr:rowOff>
    </xdr:to>
    <xdr:pic>
      <xdr:nvPicPr>
        <xdr:cNvPr id="2" name="图片 1">
          <a:extLst>
            <a:ext uri="{FF2B5EF4-FFF2-40B4-BE49-F238E27FC236}">
              <a16:creationId xmlns:a16="http://schemas.microsoft.com/office/drawing/2014/main" id="{D8A3CAF0-4F5C-4F1A-8860-EE9D74E6C97B}"/>
            </a:ext>
          </a:extLst>
        </xdr:cNvPr>
        <xdr:cNvPicPr>
          <a:picLocks noChangeAspect="1"/>
        </xdr:cNvPicPr>
      </xdr:nvPicPr>
      <xdr:blipFill>
        <a:blip xmlns:r="http://schemas.openxmlformats.org/officeDocument/2006/relationships" r:embed="rId1"/>
        <a:stretch>
          <a:fillRect/>
        </a:stretch>
      </xdr:blipFill>
      <xdr:spPr>
        <a:xfrm>
          <a:off x="619125" y="4943475"/>
          <a:ext cx="6466667" cy="32666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60</xdr:row>
      <xdr:rowOff>0</xdr:rowOff>
    </xdr:from>
    <xdr:to>
      <xdr:col>5</xdr:col>
      <xdr:colOff>246739</xdr:colOff>
      <xdr:row>80</xdr:row>
      <xdr:rowOff>18619</xdr:rowOff>
    </xdr:to>
    <xdr:pic>
      <xdr:nvPicPr>
        <xdr:cNvPr id="2" name="图片 1">
          <a:extLst>
            <a:ext uri="{FF2B5EF4-FFF2-40B4-BE49-F238E27FC236}">
              <a16:creationId xmlns:a16="http://schemas.microsoft.com/office/drawing/2014/main" id="{CFF52B7D-749C-40AD-8441-FDA8A9C9152C}"/>
            </a:ext>
          </a:extLst>
        </xdr:cNvPr>
        <xdr:cNvPicPr>
          <a:picLocks noChangeAspect="1"/>
        </xdr:cNvPicPr>
      </xdr:nvPicPr>
      <xdr:blipFill>
        <a:blip xmlns:r="http://schemas.openxmlformats.org/officeDocument/2006/relationships" r:embed="rId1"/>
        <a:stretch>
          <a:fillRect/>
        </a:stretch>
      </xdr:blipFill>
      <xdr:spPr>
        <a:xfrm>
          <a:off x="0" y="10810875"/>
          <a:ext cx="7285714" cy="3447619"/>
        </a:xfrm>
        <a:prstGeom prst="rect">
          <a:avLst/>
        </a:prstGeom>
      </xdr:spPr>
    </xdr:pic>
    <xdr:clientData/>
  </xdr:twoCellAnchor>
  <xdr:twoCellAnchor editAs="oneCell">
    <xdr:from>
      <xdr:col>0</xdr:col>
      <xdr:colOff>0</xdr:colOff>
      <xdr:row>55</xdr:row>
      <xdr:rowOff>85725</xdr:rowOff>
    </xdr:from>
    <xdr:to>
      <xdr:col>6</xdr:col>
      <xdr:colOff>427606</xdr:colOff>
      <xdr:row>59</xdr:row>
      <xdr:rowOff>66592</xdr:rowOff>
    </xdr:to>
    <xdr:pic>
      <xdr:nvPicPr>
        <xdr:cNvPr id="3" name="图片 2">
          <a:extLst>
            <a:ext uri="{FF2B5EF4-FFF2-40B4-BE49-F238E27FC236}">
              <a16:creationId xmlns:a16="http://schemas.microsoft.com/office/drawing/2014/main" id="{BBAEFB39-2570-4CBB-BD92-7774100E8158}"/>
            </a:ext>
          </a:extLst>
        </xdr:cNvPr>
        <xdr:cNvPicPr>
          <a:picLocks noChangeAspect="1"/>
        </xdr:cNvPicPr>
      </xdr:nvPicPr>
      <xdr:blipFill>
        <a:blip xmlns:r="http://schemas.openxmlformats.org/officeDocument/2006/relationships" r:embed="rId2"/>
        <a:stretch>
          <a:fillRect/>
        </a:stretch>
      </xdr:blipFill>
      <xdr:spPr>
        <a:xfrm>
          <a:off x="0" y="10039350"/>
          <a:ext cx="8152381" cy="6666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304800</xdr:colOff>
      <xdr:row>13</xdr:row>
      <xdr:rowOff>8897</xdr:rowOff>
    </xdr:from>
    <xdr:ext cx="7053141" cy="4070124"/>
    <xdr:pic>
      <xdr:nvPicPr>
        <xdr:cNvPr id="2" name="图片 1">
          <a:extLst>
            <a:ext uri="{FF2B5EF4-FFF2-40B4-BE49-F238E27FC236}">
              <a16:creationId xmlns:a16="http://schemas.microsoft.com/office/drawing/2014/main" id="{E6134B5F-D85D-4E90-9BFE-7A82540BAE0C}"/>
            </a:ext>
          </a:extLst>
        </xdr:cNvPr>
        <xdr:cNvPicPr>
          <a:picLocks noChangeAspect="1"/>
        </xdr:cNvPicPr>
      </xdr:nvPicPr>
      <xdr:blipFill>
        <a:blip xmlns:r="http://schemas.openxmlformats.org/officeDocument/2006/relationships" r:embed="rId1"/>
        <a:stretch>
          <a:fillRect/>
        </a:stretch>
      </xdr:blipFill>
      <xdr:spPr>
        <a:xfrm>
          <a:off x="304800" y="2723522"/>
          <a:ext cx="7053141" cy="4070124"/>
        </a:xfrm>
        <a:prstGeom prst="rect">
          <a:avLst/>
        </a:prstGeom>
      </xdr:spPr>
    </xdr:pic>
    <xdr:clientData/>
  </xdr:oneCellAnchor>
  <xdr:twoCellAnchor editAs="oneCell">
    <xdr:from>
      <xdr:col>1</xdr:col>
      <xdr:colOff>219074</xdr:colOff>
      <xdr:row>41</xdr:row>
      <xdr:rowOff>0</xdr:rowOff>
    </xdr:from>
    <xdr:to>
      <xdr:col>3</xdr:col>
      <xdr:colOff>2284901</xdr:colOff>
      <xdr:row>55</xdr:row>
      <xdr:rowOff>132793</xdr:rowOff>
    </xdr:to>
    <xdr:pic>
      <xdr:nvPicPr>
        <xdr:cNvPr id="3" name="图片 2">
          <a:extLst>
            <a:ext uri="{FF2B5EF4-FFF2-40B4-BE49-F238E27FC236}">
              <a16:creationId xmlns:a16="http://schemas.microsoft.com/office/drawing/2014/main" id="{90A293F6-FCBF-4E0A-A754-B48B7A242CC9}"/>
            </a:ext>
          </a:extLst>
        </xdr:cNvPr>
        <xdr:cNvPicPr>
          <a:picLocks noChangeAspect="1"/>
        </xdr:cNvPicPr>
      </xdr:nvPicPr>
      <xdr:blipFill>
        <a:blip xmlns:r="http://schemas.openxmlformats.org/officeDocument/2006/relationships" r:embed="rId2"/>
        <a:stretch>
          <a:fillRect/>
        </a:stretch>
      </xdr:blipFill>
      <xdr:spPr>
        <a:xfrm>
          <a:off x="904874" y="7515225"/>
          <a:ext cx="5190027" cy="2533093"/>
        </a:xfrm>
        <a:prstGeom prst="rect">
          <a:avLst/>
        </a:prstGeom>
      </xdr:spPr>
    </xdr:pic>
    <xdr:clientData/>
  </xdr:twoCellAnchor>
  <xdr:twoCellAnchor editAs="oneCell">
    <xdr:from>
      <xdr:col>1</xdr:col>
      <xdr:colOff>0</xdr:colOff>
      <xdr:row>56</xdr:row>
      <xdr:rowOff>104775</xdr:rowOff>
    </xdr:from>
    <xdr:to>
      <xdr:col>6</xdr:col>
      <xdr:colOff>65781</xdr:colOff>
      <xdr:row>75</xdr:row>
      <xdr:rowOff>142463</xdr:rowOff>
    </xdr:to>
    <xdr:pic>
      <xdr:nvPicPr>
        <xdr:cNvPr id="4" name="图片 3">
          <a:extLst>
            <a:ext uri="{FF2B5EF4-FFF2-40B4-BE49-F238E27FC236}">
              <a16:creationId xmlns:a16="http://schemas.microsoft.com/office/drawing/2014/main" id="{F6E5F5E5-7169-4AFF-B96C-2AAE7654EB85}"/>
            </a:ext>
          </a:extLst>
        </xdr:cNvPr>
        <xdr:cNvPicPr>
          <a:picLocks noChangeAspect="1"/>
        </xdr:cNvPicPr>
      </xdr:nvPicPr>
      <xdr:blipFill>
        <a:blip xmlns:r="http://schemas.openxmlformats.org/officeDocument/2006/relationships" r:embed="rId3"/>
        <a:stretch>
          <a:fillRect/>
        </a:stretch>
      </xdr:blipFill>
      <xdr:spPr>
        <a:xfrm>
          <a:off x="685800" y="10191750"/>
          <a:ext cx="7152381" cy="32952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55</xdr:row>
      <xdr:rowOff>0</xdr:rowOff>
    </xdr:from>
    <xdr:to>
      <xdr:col>7</xdr:col>
      <xdr:colOff>504013</xdr:colOff>
      <xdr:row>63</xdr:row>
      <xdr:rowOff>47448</xdr:rowOff>
    </xdr:to>
    <xdr:pic>
      <xdr:nvPicPr>
        <xdr:cNvPr id="2" name="图片 1">
          <a:extLst>
            <a:ext uri="{FF2B5EF4-FFF2-40B4-BE49-F238E27FC236}">
              <a16:creationId xmlns:a16="http://schemas.microsoft.com/office/drawing/2014/main" id="{AF89B4A4-77EF-4320-AD58-1370B922968A}"/>
            </a:ext>
          </a:extLst>
        </xdr:cNvPr>
        <xdr:cNvPicPr>
          <a:picLocks noChangeAspect="1"/>
        </xdr:cNvPicPr>
      </xdr:nvPicPr>
      <xdr:blipFill>
        <a:blip xmlns:r="http://schemas.openxmlformats.org/officeDocument/2006/relationships" r:embed="rId1"/>
        <a:stretch>
          <a:fillRect/>
        </a:stretch>
      </xdr:blipFill>
      <xdr:spPr>
        <a:xfrm>
          <a:off x="485775" y="7848600"/>
          <a:ext cx="6495238" cy="1419048"/>
        </a:xfrm>
        <a:prstGeom prst="rect">
          <a:avLst/>
        </a:prstGeom>
      </xdr:spPr>
    </xdr:pic>
    <xdr:clientData/>
  </xdr:twoCellAnchor>
  <xdr:twoCellAnchor editAs="oneCell">
    <xdr:from>
      <xdr:col>1</xdr:col>
      <xdr:colOff>105833</xdr:colOff>
      <xdr:row>64</xdr:row>
      <xdr:rowOff>65616</xdr:rowOff>
    </xdr:from>
    <xdr:to>
      <xdr:col>7</xdr:col>
      <xdr:colOff>562227</xdr:colOff>
      <xdr:row>70</xdr:row>
      <xdr:rowOff>46440</xdr:rowOff>
    </xdr:to>
    <xdr:pic>
      <xdr:nvPicPr>
        <xdr:cNvPr id="3" name="图片 2">
          <a:extLst>
            <a:ext uri="{FF2B5EF4-FFF2-40B4-BE49-F238E27FC236}">
              <a16:creationId xmlns:a16="http://schemas.microsoft.com/office/drawing/2014/main" id="{F895C143-8B3D-49CA-BBFC-9C2C971C150B}"/>
            </a:ext>
          </a:extLst>
        </xdr:cNvPr>
        <xdr:cNvPicPr>
          <a:picLocks noChangeAspect="1"/>
        </xdr:cNvPicPr>
      </xdr:nvPicPr>
      <xdr:blipFill>
        <a:blip xmlns:r="http://schemas.openxmlformats.org/officeDocument/2006/relationships" r:embed="rId2"/>
        <a:stretch>
          <a:fillRect/>
        </a:stretch>
      </xdr:blipFill>
      <xdr:spPr>
        <a:xfrm>
          <a:off x="591608" y="9457266"/>
          <a:ext cx="6447619" cy="10095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352425</xdr:colOff>
      <xdr:row>21</xdr:row>
      <xdr:rowOff>190500</xdr:rowOff>
    </xdr:from>
    <xdr:to>
      <xdr:col>9</xdr:col>
      <xdr:colOff>532512</xdr:colOff>
      <xdr:row>39</xdr:row>
      <xdr:rowOff>151894</xdr:rowOff>
    </xdr:to>
    <xdr:pic>
      <xdr:nvPicPr>
        <xdr:cNvPr id="2" name="图片 1">
          <a:extLst>
            <a:ext uri="{FF2B5EF4-FFF2-40B4-BE49-F238E27FC236}">
              <a16:creationId xmlns:a16="http://schemas.microsoft.com/office/drawing/2014/main" id="{E27EEE30-B5DE-4DEB-9AE6-A4BE5FA79E58}"/>
            </a:ext>
          </a:extLst>
        </xdr:cNvPr>
        <xdr:cNvPicPr>
          <a:picLocks noChangeAspect="1"/>
        </xdr:cNvPicPr>
      </xdr:nvPicPr>
      <xdr:blipFill>
        <a:blip xmlns:r="http://schemas.openxmlformats.org/officeDocument/2006/relationships" r:embed="rId1"/>
        <a:stretch>
          <a:fillRect/>
        </a:stretch>
      </xdr:blipFill>
      <xdr:spPr>
        <a:xfrm>
          <a:off x="352425" y="5210175"/>
          <a:ext cx="7104762" cy="40476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1133475</xdr:colOff>
      <xdr:row>23</xdr:row>
      <xdr:rowOff>85725</xdr:rowOff>
    </xdr:from>
    <xdr:to>
      <xdr:col>14</xdr:col>
      <xdr:colOff>560928</xdr:colOff>
      <xdr:row>55</xdr:row>
      <xdr:rowOff>94519</xdr:rowOff>
    </xdr:to>
    <xdr:pic>
      <xdr:nvPicPr>
        <xdr:cNvPr id="2" name="图片 1">
          <a:extLst>
            <a:ext uri="{FF2B5EF4-FFF2-40B4-BE49-F238E27FC236}">
              <a16:creationId xmlns:a16="http://schemas.microsoft.com/office/drawing/2014/main" id="{2DFF827D-23F6-4717-8EC4-E2746B653B86}"/>
            </a:ext>
          </a:extLst>
        </xdr:cNvPr>
        <xdr:cNvPicPr>
          <a:picLocks noChangeAspect="1"/>
        </xdr:cNvPicPr>
      </xdr:nvPicPr>
      <xdr:blipFill>
        <a:blip xmlns:r="http://schemas.openxmlformats.org/officeDocument/2006/relationships" r:embed="rId1"/>
        <a:stretch>
          <a:fillRect/>
        </a:stretch>
      </xdr:blipFill>
      <xdr:spPr>
        <a:xfrm>
          <a:off x="3219450" y="4972050"/>
          <a:ext cx="8371428" cy="58476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581025</xdr:colOff>
      <xdr:row>10</xdr:row>
      <xdr:rowOff>200025</xdr:rowOff>
    </xdr:from>
    <xdr:to>
      <xdr:col>11</xdr:col>
      <xdr:colOff>294442</xdr:colOff>
      <xdr:row>29</xdr:row>
      <xdr:rowOff>75432</xdr:rowOff>
    </xdr:to>
    <xdr:pic>
      <xdr:nvPicPr>
        <xdr:cNvPr id="2" name="图片 1">
          <a:extLst>
            <a:ext uri="{FF2B5EF4-FFF2-40B4-BE49-F238E27FC236}">
              <a16:creationId xmlns:a16="http://schemas.microsoft.com/office/drawing/2014/main" id="{8AA4FD98-4504-4B44-8CB3-EB2B5B7109AB}"/>
            </a:ext>
          </a:extLst>
        </xdr:cNvPr>
        <xdr:cNvPicPr>
          <a:picLocks noChangeAspect="1"/>
        </xdr:cNvPicPr>
      </xdr:nvPicPr>
      <xdr:blipFill>
        <a:blip xmlns:r="http://schemas.openxmlformats.org/officeDocument/2006/relationships" r:embed="rId1"/>
        <a:stretch>
          <a:fillRect/>
        </a:stretch>
      </xdr:blipFill>
      <xdr:spPr>
        <a:xfrm>
          <a:off x="1790700" y="7019925"/>
          <a:ext cx="6666667" cy="614285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466724</xdr:colOff>
      <xdr:row>6</xdr:row>
      <xdr:rowOff>95250</xdr:rowOff>
    </xdr:from>
    <xdr:to>
      <xdr:col>27</xdr:col>
      <xdr:colOff>295274</xdr:colOff>
      <xdr:row>24</xdr:row>
      <xdr:rowOff>114299</xdr:rowOff>
    </xdr:to>
    <xdr:graphicFrame macro="">
      <xdr:nvGraphicFramePr>
        <xdr:cNvPr id="4" name="图表 3">
          <a:extLst>
            <a:ext uri="{FF2B5EF4-FFF2-40B4-BE49-F238E27FC236}">
              <a16:creationId xmlns:a16="http://schemas.microsoft.com/office/drawing/2014/main" id="{8E8BDAE5-5D4E-4DA3-92FB-71DA120154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6</xdr:row>
      <xdr:rowOff>47625</xdr:rowOff>
    </xdr:from>
    <xdr:to>
      <xdr:col>7</xdr:col>
      <xdr:colOff>342900</xdr:colOff>
      <xdr:row>21</xdr:row>
      <xdr:rowOff>85294</xdr:rowOff>
    </xdr:to>
    <xdr:graphicFrame macro="">
      <xdr:nvGraphicFramePr>
        <xdr:cNvPr id="7" name="图表 6">
          <a:extLst>
            <a:ext uri="{FF2B5EF4-FFF2-40B4-BE49-F238E27FC236}">
              <a16:creationId xmlns:a16="http://schemas.microsoft.com/office/drawing/2014/main" id="{4357B667-0029-4A82-9012-C19787EDE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1352550</xdr:colOff>
      <xdr:row>92</xdr:row>
      <xdr:rowOff>76200</xdr:rowOff>
    </xdr:from>
    <xdr:to>
      <xdr:col>18</xdr:col>
      <xdr:colOff>57150</xdr:colOff>
      <xdr:row>106</xdr:row>
      <xdr:rowOff>95250</xdr:rowOff>
    </xdr:to>
    <xdr:graphicFrame macro="">
      <xdr:nvGraphicFramePr>
        <xdr:cNvPr id="8" name="图表 7">
          <a:extLst>
            <a:ext uri="{FF2B5EF4-FFF2-40B4-BE49-F238E27FC236}">
              <a16:creationId xmlns:a16="http://schemas.microsoft.com/office/drawing/2014/main" id="{A0E6CA1D-1770-4FD3-AF2E-2AB909EC31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142875</xdr:colOff>
      <xdr:row>62</xdr:row>
      <xdr:rowOff>133350</xdr:rowOff>
    </xdr:from>
    <xdr:to>
      <xdr:col>27</xdr:col>
      <xdr:colOff>419100</xdr:colOff>
      <xdr:row>86</xdr:row>
      <xdr:rowOff>133350</xdr:rowOff>
    </xdr:to>
    <xdr:graphicFrame macro="">
      <xdr:nvGraphicFramePr>
        <xdr:cNvPr id="13" name="图表 12">
          <a:extLst>
            <a:ext uri="{FF2B5EF4-FFF2-40B4-BE49-F238E27FC236}">
              <a16:creationId xmlns:a16="http://schemas.microsoft.com/office/drawing/2014/main" id="{013C4500-095E-480B-8BF7-FEFA46F8FB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65</xdr:row>
      <xdr:rowOff>28575</xdr:rowOff>
    </xdr:from>
    <xdr:to>
      <xdr:col>7</xdr:col>
      <xdr:colOff>190500</xdr:colOff>
      <xdr:row>80</xdr:row>
      <xdr:rowOff>132920</xdr:rowOff>
    </xdr:to>
    <xdr:graphicFrame macro="">
      <xdr:nvGraphicFramePr>
        <xdr:cNvPr id="15" name="图表 14">
          <a:extLst>
            <a:ext uri="{FF2B5EF4-FFF2-40B4-BE49-F238E27FC236}">
              <a16:creationId xmlns:a16="http://schemas.microsoft.com/office/drawing/2014/main" id="{C7F86662-A5DD-44EF-BF87-1D3A131967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18</xdr:row>
      <xdr:rowOff>38100</xdr:rowOff>
    </xdr:from>
    <xdr:to>
      <xdr:col>4</xdr:col>
      <xdr:colOff>456663</xdr:colOff>
      <xdr:row>33</xdr:row>
      <xdr:rowOff>28255</xdr:rowOff>
    </xdr:to>
    <xdr:pic>
      <xdr:nvPicPr>
        <xdr:cNvPr id="2" name="图片 1">
          <a:extLst>
            <a:ext uri="{FF2B5EF4-FFF2-40B4-BE49-F238E27FC236}">
              <a16:creationId xmlns:a16="http://schemas.microsoft.com/office/drawing/2014/main" id="{FB19DB26-DDD6-45E2-AA1F-FC3EC257CFED}"/>
            </a:ext>
          </a:extLst>
        </xdr:cNvPr>
        <xdr:cNvPicPr>
          <a:picLocks noChangeAspect="1"/>
        </xdr:cNvPicPr>
      </xdr:nvPicPr>
      <xdr:blipFill>
        <a:blip xmlns:r="http://schemas.openxmlformats.org/officeDocument/2006/relationships" r:embed="rId1"/>
        <a:stretch>
          <a:fillRect/>
        </a:stretch>
      </xdr:blipFill>
      <xdr:spPr>
        <a:xfrm>
          <a:off x="0" y="3476625"/>
          <a:ext cx="4295238" cy="2561905"/>
        </a:xfrm>
        <a:prstGeom prst="rect">
          <a:avLst/>
        </a:prstGeom>
      </xdr:spPr>
    </xdr:pic>
    <xdr:clientData/>
  </xdr:twoCellAnchor>
  <xdr:twoCellAnchor>
    <xdr:from>
      <xdr:col>3</xdr:col>
      <xdr:colOff>357187</xdr:colOff>
      <xdr:row>58</xdr:row>
      <xdr:rowOff>119062</xdr:rowOff>
    </xdr:from>
    <xdr:to>
      <xdr:col>7</xdr:col>
      <xdr:colOff>842962</xdr:colOff>
      <xdr:row>73</xdr:row>
      <xdr:rowOff>147637</xdr:rowOff>
    </xdr:to>
    <xdr:graphicFrame macro="">
      <xdr:nvGraphicFramePr>
        <xdr:cNvPr id="3" name="图表 2">
          <a:extLst>
            <a:ext uri="{FF2B5EF4-FFF2-40B4-BE49-F238E27FC236}">
              <a16:creationId xmlns:a16="http://schemas.microsoft.com/office/drawing/2014/main" id="{1F4E18DD-7C0A-41EE-8F62-CA78115ABD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218190</xdr:colOff>
      <xdr:row>16</xdr:row>
      <xdr:rowOff>123467</xdr:rowOff>
    </xdr:to>
    <xdr:pic>
      <xdr:nvPicPr>
        <xdr:cNvPr id="2" name="图片 1">
          <a:extLst>
            <a:ext uri="{FF2B5EF4-FFF2-40B4-BE49-F238E27FC236}">
              <a16:creationId xmlns:a16="http://schemas.microsoft.com/office/drawing/2014/main" id="{D6156900-52FF-4A45-9371-EE2E4DCE22F5}"/>
            </a:ext>
          </a:extLst>
        </xdr:cNvPr>
        <xdr:cNvPicPr>
          <a:picLocks noChangeAspect="1"/>
        </xdr:cNvPicPr>
      </xdr:nvPicPr>
      <xdr:blipFill>
        <a:blip xmlns:r="http://schemas.openxmlformats.org/officeDocument/2006/relationships" r:embed="rId1"/>
        <a:stretch>
          <a:fillRect/>
        </a:stretch>
      </xdr:blipFill>
      <xdr:spPr>
        <a:xfrm>
          <a:off x="0" y="0"/>
          <a:ext cx="7076190" cy="2866667"/>
        </a:xfrm>
        <a:prstGeom prst="rect">
          <a:avLst/>
        </a:prstGeom>
      </xdr:spPr>
    </xdr:pic>
    <xdr:clientData/>
  </xdr:twoCellAnchor>
  <xdr:twoCellAnchor editAs="oneCell">
    <xdr:from>
      <xdr:col>0</xdr:col>
      <xdr:colOff>0</xdr:colOff>
      <xdr:row>17</xdr:row>
      <xdr:rowOff>0</xdr:rowOff>
    </xdr:from>
    <xdr:to>
      <xdr:col>10</xdr:col>
      <xdr:colOff>399143</xdr:colOff>
      <xdr:row>33</xdr:row>
      <xdr:rowOff>171086</xdr:rowOff>
    </xdr:to>
    <xdr:pic>
      <xdr:nvPicPr>
        <xdr:cNvPr id="3" name="图片 2">
          <a:extLst>
            <a:ext uri="{FF2B5EF4-FFF2-40B4-BE49-F238E27FC236}">
              <a16:creationId xmlns:a16="http://schemas.microsoft.com/office/drawing/2014/main" id="{3C54BA7E-31C1-4343-83E0-2061DB18E7A9}"/>
            </a:ext>
          </a:extLst>
        </xdr:cNvPr>
        <xdr:cNvPicPr>
          <a:picLocks noChangeAspect="1"/>
        </xdr:cNvPicPr>
      </xdr:nvPicPr>
      <xdr:blipFill>
        <a:blip xmlns:r="http://schemas.openxmlformats.org/officeDocument/2006/relationships" r:embed="rId2"/>
        <a:stretch>
          <a:fillRect/>
        </a:stretch>
      </xdr:blipFill>
      <xdr:spPr>
        <a:xfrm>
          <a:off x="0" y="2914650"/>
          <a:ext cx="7257143" cy="2914286"/>
        </a:xfrm>
        <a:prstGeom prst="rect">
          <a:avLst/>
        </a:prstGeom>
      </xdr:spPr>
    </xdr:pic>
    <xdr:clientData/>
  </xdr:twoCellAnchor>
  <xdr:twoCellAnchor editAs="oneCell">
    <xdr:from>
      <xdr:col>0</xdr:col>
      <xdr:colOff>0</xdr:colOff>
      <xdr:row>34</xdr:row>
      <xdr:rowOff>0</xdr:rowOff>
    </xdr:from>
    <xdr:to>
      <xdr:col>10</xdr:col>
      <xdr:colOff>84857</xdr:colOff>
      <xdr:row>60</xdr:row>
      <xdr:rowOff>113729</xdr:rowOff>
    </xdr:to>
    <xdr:pic>
      <xdr:nvPicPr>
        <xdr:cNvPr id="4" name="图片 3">
          <a:extLst>
            <a:ext uri="{FF2B5EF4-FFF2-40B4-BE49-F238E27FC236}">
              <a16:creationId xmlns:a16="http://schemas.microsoft.com/office/drawing/2014/main" id="{F0DEA62D-D40F-4E7A-A17C-C4D517BF6E46}"/>
            </a:ext>
          </a:extLst>
        </xdr:cNvPr>
        <xdr:cNvPicPr>
          <a:picLocks noChangeAspect="1"/>
        </xdr:cNvPicPr>
      </xdr:nvPicPr>
      <xdr:blipFill>
        <a:blip xmlns:r="http://schemas.openxmlformats.org/officeDocument/2006/relationships" r:embed="rId3"/>
        <a:stretch>
          <a:fillRect/>
        </a:stretch>
      </xdr:blipFill>
      <xdr:spPr>
        <a:xfrm>
          <a:off x="0" y="5829300"/>
          <a:ext cx="6942857" cy="4571429"/>
        </a:xfrm>
        <a:prstGeom prst="rect">
          <a:avLst/>
        </a:prstGeom>
      </xdr:spPr>
    </xdr:pic>
    <xdr:clientData/>
  </xdr:twoCellAnchor>
  <xdr:twoCellAnchor editAs="oneCell">
    <xdr:from>
      <xdr:col>10</xdr:col>
      <xdr:colOff>133350</xdr:colOff>
      <xdr:row>0</xdr:row>
      <xdr:rowOff>0</xdr:rowOff>
    </xdr:from>
    <xdr:to>
      <xdr:col>20</xdr:col>
      <xdr:colOff>418207</xdr:colOff>
      <xdr:row>9</xdr:row>
      <xdr:rowOff>47426</xdr:rowOff>
    </xdr:to>
    <xdr:pic>
      <xdr:nvPicPr>
        <xdr:cNvPr id="5" name="图片 4">
          <a:extLst>
            <a:ext uri="{FF2B5EF4-FFF2-40B4-BE49-F238E27FC236}">
              <a16:creationId xmlns:a16="http://schemas.microsoft.com/office/drawing/2014/main" id="{F76F4537-D053-45B2-8CCE-12D3B872475A}"/>
            </a:ext>
          </a:extLst>
        </xdr:cNvPr>
        <xdr:cNvPicPr>
          <a:picLocks noChangeAspect="1"/>
        </xdr:cNvPicPr>
      </xdr:nvPicPr>
      <xdr:blipFill>
        <a:blip xmlns:r="http://schemas.openxmlformats.org/officeDocument/2006/relationships" r:embed="rId4"/>
        <a:stretch>
          <a:fillRect/>
        </a:stretch>
      </xdr:blipFill>
      <xdr:spPr>
        <a:xfrm>
          <a:off x="6991350" y="0"/>
          <a:ext cx="7142857" cy="159047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582933</xdr:colOff>
      <xdr:row>18</xdr:row>
      <xdr:rowOff>56561</xdr:rowOff>
    </xdr:to>
    <xdr:pic>
      <xdr:nvPicPr>
        <xdr:cNvPr id="2" name="图片 1">
          <a:extLst>
            <a:ext uri="{FF2B5EF4-FFF2-40B4-BE49-F238E27FC236}">
              <a16:creationId xmlns:a16="http://schemas.microsoft.com/office/drawing/2014/main" id="{4A1BF58C-8777-4442-81B3-321F2922EF9F}"/>
            </a:ext>
          </a:extLst>
        </xdr:cNvPr>
        <xdr:cNvPicPr>
          <a:picLocks noChangeAspect="1"/>
        </xdr:cNvPicPr>
      </xdr:nvPicPr>
      <xdr:blipFill>
        <a:blip xmlns:r="http://schemas.openxmlformats.org/officeDocument/2006/relationships" r:embed="rId1"/>
        <a:stretch>
          <a:fillRect/>
        </a:stretch>
      </xdr:blipFill>
      <xdr:spPr>
        <a:xfrm>
          <a:off x="0" y="0"/>
          <a:ext cx="6755133" cy="3142661"/>
        </a:xfrm>
        <a:prstGeom prst="rect">
          <a:avLst/>
        </a:prstGeom>
      </xdr:spPr>
    </xdr:pic>
    <xdr:clientData/>
  </xdr:twoCellAnchor>
  <xdr:twoCellAnchor editAs="oneCell">
    <xdr:from>
      <xdr:col>0</xdr:col>
      <xdr:colOff>0</xdr:colOff>
      <xdr:row>19</xdr:row>
      <xdr:rowOff>0</xdr:rowOff>
    </xdr:from>
    <xdr:to>
      <xdr:col>14</xdr:col>
      <xdr:colOff>314325</xdr:colOff>
      <xdr:row>23</xdr:row>
      <xdr:rowOff>76105</xdr:rowOff>
    </xdr:to>
    <xdr:pic>
      <xdr:nvPicPr>
        <xdr:cNvPr id="3" name="图片 2">
          <a:extLst>
            <a:ext uri="{FF2B5EF4-FFF2-40B4-BE49-F238E27FC236}">
              <a16:creationId xmlns:a16="http://schemas.microsoft.com/office/drawing/2014/main" id="{B33257C3-64DA-494C-8F97-CCEA55B0966C}"/>
            </a:ext>
          </a:extLst>
        </xdr:cNvPr>
        <xdr:cNvPicPr>
          <a:picLocks noChangeAspect="1"/>
        </xdr:cNvPicPr>
      </xdr:nvPicPr>
      <xdr:blipFill>
        <a:blip xmlns:r="http://schemas.openxmlformats.org/officeDocument/2006/relationships" r:embed="rId2"/>
        <a:stretch>
          <a:fillRect/>
        </a:stretch>
      </xdr:blipFill>
      <xdr:spPr>
        <a:xfrm>
          <a:off x="0" y="3257550"/>
          <a:ext cx="9915525" cy="761905"/>
        </a:xfrm>
        <a:prstGeom prst="rect">
          <a:avLst/>
        </a:prstGeom>
      </xdr:spPr>
    </xdr:pic>
    <xdr:clientData/>
  </xdr:twoCellAnchor>
  <xdr:twoCellAnchor editAs="oneCell">
    <xdr:from>
      <xdr:col>0</xdr:col>
      <xdr:colOff>0</xdr:colOff>
      <xdr:row>24</xdr:row>
      <xdr:rowOff>47625</xdr:rowOff>
    </xdr:from>
    <xdr:to>
      <xdr:col>12</xdr:col>
      <xdr:colOff>519857</xdr:colOff>
      <xdr:row>46</xdr:row>
      <xdr:rowOff>66104</xdr:rowOff>
    </xdr:to>
    <xdr:pic>
      <xdr:nvPicPr>
        <xdr:cNvPr id="4" name="图片 3">
          <a:extLst>
            <a:ext uri="{FF2B5EF4-FFF2-40B4-BE49-F238E27FC236}">
              <a16:creationId xmlns:a16="http://schemas.microsoft.com/office/drawing/2014/main" id="{B4B149DB-7755-4309-88B4-11EDB9E2B7A4}"/>
            </a:ext>
          </a:extLst>
        </xdr:cNvPr>
        <xdr:cNvPicPr>
          <a:picLocks noChangeAspect="1"/>
        </xdr:cNvPicPr>
      </xdr:nvPicPr>
      <xdr:blipFill>
        <a:blip xmlns:r="http://schemas.openxmlformats.org/officeDocument/2006/relationships" r:embed="rId3"/>
        <a:stretch>
          <a:fillRect/>
        </a:stretch>
      </xdr:blipFill>
      <xdr:spPr>
        <a:xfrm>
          <a:off x="0" y="4162425"/>
          <a:ext cx="8749457" cy="3790379"/>
        </a:xfrm>
        <a:prstGeom prst="rect">
          <a:avLst/>
        </a:prstGeom>
      </xdr:spPr>
    </xdr:pic>
    <xdr:clientData/>
  </xdr:twoCellAnchor>
  <xdr:twoCellAnchor editAs="oneCell">
    <xdr:from>
      <xdr:col>0</xdr:col>
      <xdr:colOff>0</xdr:colOff>
      <xdr:row>47</xdr:row>
      <xdr:rowOff>60820</xdr:rowOff>
    </xdr:from>
    <xdr:to>
      <xdr:col>12</xdr:col>
      <xdr:colOff>219075</xdr:colOff>
      <xdr:row>69</xdr:row>
      <xdr:rowOff>104197</xdr:rowOff>
    </xdr:to>
    <xdr:pic>
      <xdr:nvPicPr>
        <xdr:cNvPr id="5" name="图片 4">
          <a:extLst>
            <a:ext uri="{FF2B5EF4-FFF2-40B4-BE49-F238E27FC236}">
              <a16:creationId xmlns:a16="http://schemas.microsoft.com/office/drawing/2014/main" id="{80EEF7DF-6CE3-4D53-84D1-B797240C9D5C}"/>
            </a:ext>
          </a:extLst>
        </xdr:cNvPr>
        <xdr:cNvPicPr>
          <a:picLocks noChangeAspect="1"/>
        </xdr:cNvPicPr>
      </xdr:nvPicPr>
      <xdr:blipFill>
        <a:blip xmlns:r="http://schemas.openxmlformats.org/officeDocument/2006/relationships" r:embed="rId4"/>
        <a:stretch>
          <a:fillRect/>
        </a:stretch>
      </xdr:blipFill>
      <xdr:spPr>
        <a:xfrm>
          <a:off x="0" y="8118970"/>
          <a:ext cx="8448675" cy="3815277"/>
        </a:xfrm>
        <a:prstGeom prst="rect">
          <a:avLst/>
        </a:prstGeom>
      </xdr:spPr>
    </xdr:pic>
    <xdr:clientData/>
  </xdr:twoCellAnchor>
  <xdr:twoCellAnchor editAs="oneCell">
    <xdr:from>
      <xdr:col>0</xdr:col>
      <xdr:colOff>0</xdr:colOff>
      <xdr:row>70</xdr:row>
      <xdr:rowOff>80511</xdr:rowOff>
    </xdr:from>
    <xdr:to>
      <xdr:col>12</xdr:col>
      <xdr:colOff>114300</xdr:colOff>
      <xdr:row>92</xdr:row>
      <xdr:rowOff>151814</xdr:rowOff>
    </xdr:to>
    <xdr:pic>
      <xdr:nvPicPr>
        <xdr:cNvPr id="6" name="图片 5">
          <a:extLst>
            <a:ext uri="{FF2B5EF4-FFF2-40B4-BE49-F238E27FC236}">
              <a16:creationId xmlns:a16="http://schemas.microsoft.com/office/drawing/2014/main" id="{F9391B00-D465-454B-9C15-0416EC553672}"/>
            </a:ext>
          </a:extLst>
        </xdr:cNvPr>
        <xdr:cNvPicPr>
          <a:picLocks noChangeAspect="1"/>
        </xdr:cNvPicPr>
      </xdr:nvPicPr>
      <xdr:blipFill>
        <a:blip xmlns:r="http://schemas.openxmlformats.org/officeDocument/2006/relationships" r:embed="rId5"/>
        <a:stretch>
          <a:fillRect/>
        </a:stretch>
      </xdr:blipFill>
      <xdr:spPr>
        <a:xfrm>
          <a:off x="0" y="12082011"/>
          <a:ext cx="8343900" cy="3843203"/>
        </a:xfrm>
        <a:prstGeom prst="rect">
          <a:avLst/>
        </a:prstGeom>
      </xdr:spPr>
    </xdr:pic>
    <xdr:clientData/>
  </xdr:twoCellAnchor>
  <xdr:twoCellAnchor editAs="oneCell">
    <xdr:from>
      <xdr:col>0</xdr:col>
      <xdr:colOff>0</xdr:colOff>
      <xdr:row>94</xdr:row>
      <xdr:rowOff>1</xdr:rowOff>
    </xdr:from>
    <xdr:to>
      <xdr:col>12</xdr:col>
      <xdr:colOff>447675</xdr:colOff>
      <xdr:row>117</xdr:row>
      <xdr:rowOff>94107</xdr:rowOff>
    </xdr:to>
    <xdr:pic>
      <xdr:nvPicPr>
        <xdr:cNvPr id="7" name="图片 6">
          <a:extLst>
            <a:ext uri="{FF2B5EF4-FFF2-40B4-BE49-F238E27FC236}">
              <a16:creationId xmlns:a16="http://schemas.microsoft.com/office/drawing/2014/main" id="{C2355245-88CE-4D79-AFE2-D977E508B855}"/>
            </a:ext>
          </a:extLst>
        </xdr:cNvPr>
        <xdr:cNvPicPr>
          <a:picLocks noChangeAspect="1"/>
        </xdr:cNvPicPr>
      </xdr:nvPicPr>
      <xdr:blipFill>
        <a:blip xmlns:r="http://schemas.openxmlformats.org/officeDocument/2006/relationships" r:embed="rId6"/>
        <a:stretch>
          <a:fillRect/>
        </a:stretch>
      </xdr:blipFill>
      <xdr:spPr>
        <a:xfrm>
          <a:off x="0" y="16116301"/>
          <a:ext cx="8677275" cy="4037456"/>
        </a:xfrm>
        <a:prstGeom prst="rect">
          <a:avLst/>
        </a:prstGeom>
      </xdr:spPr>
    </xdr:pic>
    <xdr:clientData/>
  </xdr:twoCellAnchor>
  <xdr:twoCellAnchor editAs="oneCell">
    <xdr:from>
      <xdr:col>0</xdr:col>
      <xdr:colOff>0</xdr:colOff>
      <xdr:row>119</xdr:row>
      <xdr:rowOff>0</xdr:rowOff>
    </xdr:from>
    <xdr:to>
      <xdr:col>14</xdr:col>
      <xdr:colOff>598800</xdr:colOff>
      <xdr:row>146</xdr:row>
      <xdr:rowOff>123231</xdr:rowOff>
    </xdr:to>
    <xdr:pic>
      <xdr:nvPicPr>
        <xdr:cNvPr id="8" name="图片 7">
          <a:extLst>
            <a:ext uri="{FF2B5EF4-FFF2-40B4-BE49-F238E27FC236}">
              <a16:creationId xmlns:a16="http://schemas.microsoft.com/office/drawing/2014/main" id="{43EF35A4-2B11-4503-B294-F85EAA25F80A}"/>
            </a:ext>
          </a:extLst>
        </xdr:cNvPr>
        <xdr:cNvPicPr>
          <a:picLocks noChangeAspect="1"/>
        </xdr:cNvPicPr>
      </xdr:nvPicPr>
      <xdr:blipFill>
        <a:blip xmlns:r="http://schemas.openxmlformats.org/officeDocument/2006/relationships" r:embed="rId7"/>
        <a:stretch>
          <a:fillRect/>
        </a:stretch>
      </xdr:blipFill>
      <xdr:spPr>
        <a:xfrm>
          <a:off x="0" y="20402550"/>
          <a:ext cx="10200000" cy="47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425;\2.&#32508;&#21512;\4.&#20854;&#20182;\2022-1-0508&#39318;&#22478;&#22269;&#38469;&#21830;&#19994;&#31199;&#37329;\&#39318;&#22478;&#22269;&#38469;&#31199;&#37329;-&#19968;&#23457;&#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s/&#35799;&#38678;/&#24037;&#20316;/&#39033;&#30446;/&#27494;&#35686;/0303&#27979;&#31639;-&#21452;&#27014;&#26641;&#35199;&#37324;3&#21495;&#27004;1205&#21495;-&#19981;&#21547;&#29289;&#19994;&#12289;&#20379;&#26262;&#3615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2696;\&#26700;&#38754;\2022-1-0649&#19968;&#20307;&#21270;&#24179;&#21488;&#28023;&#28096;\F02&#30408;&#37117;&#22823;&#21414;&#24066;&#22330;&#20215;&#20540;\&#30408;&#37117;&#22823;&#21414;-&#27979;&#31639;-&#19968;&#23457;&#259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hilin/Desktop/&#27979;&#31639;-&#25968;&#23383;&#20256;&#23186;&#22823;&#21414;20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23425;\2.&#32508;&#21512;\2.&#21496;&#27861;\2021-1-0472&#30408;&#22320;&#22823;&#21414;&#31199;&#37329;\F01\&#30408;&#22320;&#22823;&#21414;-12.3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KG/Desktop/&#27979;&#31639;-&#25968;&#23383;&#20256;&#23186;&#22823;&#21414;%20(&#33258;&#21160;&#20445;&#23384;&#3034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2696;\&#26700;&#38754;\2022-1-0649&#19968;&#20307;&#21270;&#24179;&#21488;&#28023;&#28096;\F02&#30408;&#37117;&#22823;&#21414;&#31199;&#37329;\&#24066;&#22330;&#36208;&#21183;&#65288;2007-2022&#65289;&#21152;&#24037;&#200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5253;&#21578;&#20204;\&#27861;&#38498;\2022-1-0524%20&#21271;&#20140;&#24066;&#28023;&#28096;&#21306;&#39640;&#26753;&#26725;&#26012;&#34903;59&#21495;&#38498;6&#21495;&#27004;&#19968;&#23618;&#21830;&#19994;02&#21495;&#25151;&#23627;&#21450;&#19977;&#23618;&#25151;&#23627;\&#27979;&#31639;&#8212;&#8212;&#38271;&#27827;&#28286;-&#24120;&#30021;20230111-1412451&#23457;&#20462;&#259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26446;&#35799;&#38678;\&#35799;&#38678;wuli&#25253;&#21578;&#20204;\2023&#24180;\&#39033;&#30446;\1&#21496;&#27861;\&#27665;&#20107;\&#21496;&#27861;&#19978;&#22320;&#20449;&#24687;&#20013;&#36335;M18&#31199;&#37329;\&#26696;&#20363;\&#12304;&#19978;&#22320;&#39033;&#30446;&#27719;&#24635;&#12305;\2022-1-0345-&#20013;&#20851;&#26449;&#29983;&#29289;&#21307;&#33647;&#22253;\P01DYGJ1\&#36164;&#26009;\&#31199;&#36161;&#21488;&#36134;20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6087;\&#25105;&#30340;&#25991;&#26723;\Downloads\&#21407;&#29256;&#27979;&#31639;\&#26480;&#20255;-&#29579;&#28165;&#38597;-&#20108;&#23457;&#3584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首城国际结果表"/>
      <sheetName val="面积表"/>
      <sheetName val="结果一览表-铂郡"/>
      <sheetName val="比较法-商业铂郡"/>
      <sheetName val="比较法-商业铂郡租金"/>
      <sheetName val="Sheet6"/>
      <sheetName val="结果一览表-商业"/>
      <sheetName val="假设开发法"/>
      <sheetName val="收益法 (元)"/>
      <sheetName val="收益法（汇总）"/>
      <sheetName val="酒店收入计算"/>
      <sheetName val="比较法-住宅"/>
      <sheetName val="比较法-商业售价"/>
      <sheetName val="比较法-办公"/>
      <sheetName val="比较法-工业"/>
      <sheetName val="比较法-车位"/>
      <sheetName val="比较法-商业租金"/>
      <sheetName val="结果一览表-库房"/>
      <sheetName val="成本法"/>
      <sheetName val="土地比较法-住宅、综合"/>
      <sheetName val="土地比较法-工业"/>
      <sheetName val="基准地价修正"/>
      <sheetName val="修正"/>
      <sheetName val="容积率修正"/>
      <sheetName val="基准地价（汇总）"/>
      <sheetName val="成本法 (元)"/>
      <sheetName val="比较法-仓储"/>
      <sheetName val="地价"/>
      <sheetName val="典型户型修正"/>
      <sheetName val="成本法（废）"/>
      <sheetName val="区片价"/>
      <sheetName val="因素修正幅度"/>
      <sheetName val="存贷款利率"/>
      <sheetName val="区片价（范围）"/>
      <sheetName val="收益法"/>
      <sheetName val="租金案例"/>
      <sheetName val="售价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refreshError="1"/>
      <sheetData sheetId="13">
        <row r="17">
          <cell r="C17" t="str">
            <v>项目类型</v>
          </cell>
        </row>
        <row r="19">
          <cell r="C19" t="str">
            <v>商业</v>
          </cell>
        </row>
        <row r="20">
          <cell r="C20" t="str">
            <v>库房</v>
          </cell>
        </row>
        <row r="21">
          <cell r="C21" t="str">
            <v>商业铂郡</v>
          </cell>
        </row>
      </sheetData>
      <sheetData sheetId="14">
        <row r="20">
          <cell r="B20">
            <v>2</v>
          </cell>
        </row>
        <row r="34">
          <cell r="B34">
            <v>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0"/>
      <sheetData sheetId="31">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2">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3">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4">
        <row r="49">
          <cell r="C49">
            <v>6.5</v>
          </cell>
        </row>
        <row r="61">
          <cell r="A61" t="str">
            <v>交易情况</v>
          </cell>
          <cell r="C61" t="str">
            <v>正常</v>
          </cell>
          <cell r="D61" t="str">
            <v>正常（挂牌）</v>
          </cell>
        </row>
        <row r="63">
          <cell r="B63" t="str">
            <v>用途</v>
          </cell>
          <cell r="C63" t="str">
            <v>商业</v>
          </cell>
        </row>
        <row r="86">
          <cell r="B86" t="str">
            <v>临街状况</v>
          </cell>
          <cell r="C86" t="str">
            <v>高速路</v>
          </cell>
          <cell r="D86" t="str">
            <v>快速路</v>
          </cell>
          <cell r="E86" t="str">
            <v>城市主干道</v>
          </cell>
          <cell r="F86" t="str">
            <v>城市次干道</v>
          </cell>
          <cell r="G86" t="str">
            <v>城市支路</v>
          </cell>
        </row>
        <row r="90">
          <cell r="B90" t="str">
            <v>人流量</v>
          </cell>
          <cell r="C90" t="str">
            <v>大</v>
          </cell>
          <cell r="D90" t="str">
            <v>较大</v>
          </cell>
          <cell r="E90" t="str">
            <v>一般</v>
          </cell>
        </row>
        <row r="92">
          <cell r="B92" t="str">
            <v>楼层</v>
          </cell>
          <cell r="C92" t="str">
            <v>1层</v>
          </cell>
        </row>
        <row r="100">
          <cell r="B100" t="str">
            <v>商业类型</v>
          </cell>
          <cell r="C100" t="str">
            <v>住宅底商</v>
          </cell>
          <cell r="D100" t="str">
            <v>办公楼底商</v>
          </cell>
        </row>
        <row r="105">
          <cell r="B105" t="str">
            <v>建筑结构</v>
          </cell>
          <cell r="C105" t="str">
            <v>钢混</v>
          </cell>
        </row>
        <row r="107">
          <cell r="B107" t="str">
            <v>公共部分装修</v>
          </cell>
          <cell r="C107" t="str">
            <v>精装修</v>
          </cell>
        </row>
        <row r="112">
          <cell r="B112" t="str">
            <v>市政基础设施</v>
          </cell>
          <cell r="C112" t="str">
            <v>七通</v>
          </cell>
          <cell r="D112" t="str">
            <v>六通</v>
          </cell>
          <cell r="E112" t="str">
            <v>五通</v>
          </cell>
          <cell r="F112" t="str">
            <v>四通</v>
          </cell>
          <cell r="G112" t="str">
            <v>三通</v>
          </cell>
        </row>
        <row r="114">
          <cell r="B114" t="str">
            <v>业态</v>
          </cell>
        </row>
        <row r="116">
          <cell r="B116" t="str">
            <v>层高</v>
          </cell>
          <cell r="C116" t="str">
            <v>标准层高</v>
          </cell>
        </row>
        <row r="120">
          <cell r="B120" t="str">
            <v>进深比</v>
          </cell>
        </row>
        <row r="122">
          <cell r="B122" t="str">
            <v>内部装修</v>
          </cell>
          <cell r="C122" t="str">
            <v>精装修</v>
          </cell>
          <cell r="D122" t="str">
            <v>普通装修</v>
          </cell>
          <cell r="E122" t="str">
            <v>一般装修</v>
          </cell>
          <cell r="F122" t="str">
            <v>毛坯</v>
          </cell>
        </row>
      </sheetData>
      <sheetData sheetId="35" refreshError="1"/>
      <sheetData sheetId="36" refreshError="1"/>
      <sheetData sheetId="37">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8">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9" refreshError="1"/>
      <sheetData sheetId="40">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41" refreshError="1"/>
      <sheetData sheetId="42" refreshError="1"/>
      <sheetData sheetId="43" refreshError="1"/>
      <sheetData sheetId="44">
        <row r="49">
          <cell r="A49" t="str">
            <v>交易情况</v>
          </cell>
          <cell r="C49" t="str">
            <v>正常</v>
          </cell>
          <cell r="D49" t="str">
            <v>挂牌</v>
          </cell>
        </row>
        <row r="51">
          <cell r="B51" t="str">
            <v>用途</v>
          </cell>
          <cell r="C51" t="str">
            <v>库房</v>
          </cell>
        </row>
        <row r="69">
          <cell r="B69" t="str">
            <v>楼层</v>
          </cell>
        </row>
        <row r="77">
          <cell r="B77" t="str">
            <v>公共部分装修</v>
          </cell>
          <cell r="C77" t="str">
            <v>普通装修</v>
          </cell>
        </row>
        <row r="82">
          <cell r="B82" t="str">
            <v>物业等级</v>
          </cell>
          <cell r="C82" t="str">
            <v>普通</v>
          </cell>
        </row>
        <row r="84">
          <cell r="B84" t="str">
            <v>有无电梯</v>
          </cell>
          <cell r="C84" t="str">
            <v>有</v>
          </cell>
        </row>
        <row r="89">
          <cell r="B89" t="str">
            <v>是否封闭</v>
          </cell>
        </row>
      </sheetData>
      <sheetData sheetId="45" refreshError="1"/>
      <sheetData sheetId="46">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比较法-办公"/>
      <sheetName val="定义"/>
      <sheetName val="比较法-仓储"/>
      <sheetName val="比较法-车位"/>
      <sheetName val="数据-取费表"/>
      <sheetName val="修正"/>
      <sheetName val="比较法-工业"/>
      <sheetName val="比较法-商业"/>
      <sheetName val="土地比较法-工业"/>
      <sheetName val="土地比较法-住宅、综合"/>
      <sheetName val="数据-汇总表"/>
      <sheetName val="典型户型修正"/>
      <sheetName val="估价师及机构信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成本法 (元)"/>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案例"/>
      <sheetName val="市场成交"/>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row r="3">
          <cell r="D3">
            <v>44845</v>
          </cell>
        </row>
        <row r="12">
          <cell r="C12" t="str">
            <v>住宅</v>
          </cell>
          <cell r="D12" t="str">
            <v>商业</v>
          </cell>
          <cell r="E12" t="str">
            <v>办公</v>
          </cell>
          <cell r="F12" t="str">
            <v>车库</v>
          </cell>
          <cell r="G12" t="str">
            <v>仓储</v>
          </cell>
          <cell r="H12" t="str">
            <v>工业</v>
          </cell>
          <cell r="I12" t="str">
            <v>公共服务</v>
          </cell>
        </row>
        <row r="13">
          <cell r="C13">
            <v>62732</v>
          </cell>
          <cell r="E13">
            <v>55652</v>
          </cell>
        </row>
        <row r="14">
          <cell r="C14">
            <v>70</v>
          </cell>
          <cell r="E14">
            <v>50</v>
          </cell>
        </row>
        <row r="15">
          <cell r="C15">
            <v>49</v>
          </cell>
          <cell r="D15" t="str">
            <v/>
          </cell>
          <cell r="E15">
            <v>29.6</v>
          </cell>
          <cell r="F15" t="str">
            <v/>
          </cell>
          <cell r="G15" t="str">
            <v/>
          </cell>
          <cell r="H15" t="str">
            <v/>
          </cell>
          <cell r="I15" t="str">
            <v/>
          </cell>
        </row>
      </sheetData>
      <sheetData sheetId="12"/>
      <sheetData sheetId="13">
        <row r="17">
          <cell r="C17" t="str">
            <v>项目类型</v>
          </cell>
          <cell r="I17" t="str">
            <v>按面积比例</v>
          </cell>
        </row>
        <row r="19">
          <cell r="C19" t="str">
            <v>办公</v>
          </cell>
          <cell r="E19">
            <v>459.68</v>
          </cell>
          <cell r="K19">
            <v>0</v>
          </cell>
          <cell r="R19">
            <v>0</v>
          </cell>
        </row>
        <row r="20">
          <cell r="E20">
            <v>0</v>
          </cell>
          <cell r="K20">
            <v>0</v>
          </cell>
          <cell r="R20">
            <v>0</v>
          </cell>
        </row>
        <row r="21">
          <cell r="E21">
            <v>0</v>
          </cell>
          <cell r="K21">
            <v>0</v>
          </cell>
          <cell r="R21">
            <v>0</v>
          </cell>
        </row>
        <row r="22">
          <cell r="E22">
            <v>0</v>
          </cell>
          <cell r="K22">
            <v>0</v>
          </cell>
          <cell r="R22">
            <v>0</v>
          </cell>
        </row>
        <row r="23">
          <cell r="E23">
            <v>0</v>
          </cell>
          <cell r="K23">
            <v>0</v>
          </cell>
          <cell r="R23">
            <v>0</v>
          </cell>
        </row>
        <row r="24">
          <cell r="E24">
            <v>0</v>
          </cell>
          <cell r="K24">
            <v>0</v>
          </cell>
          <cell r="R24">
            <v>0</v>
          </cell>
        </row>
        <row r="25">
          <cell r="E25">
            <v>0</v>
          </cell>
          <cell r="K25">
            <v>0</v>
          </cell>
          <cell r="R25">
            <v>0</v>
          </cell>
        </row>
        <row r="26">
          <cell r="E26">
            <v>0</v>
          </cell>
          <cell r="K26">
            <v>0</v>
          </cell>
          <cell r="R26">
            <v>0</v>
          </cell>
        </row>
        <row r="27">
          <cell r="C27" t="str">
            <v>小计</v>
          </cell>
          <cell r="E27">
            <v>459.68</v>
          </cell>
          <cell r="K27">
            <v>0</v>
          </cell>
          <cell r="N27">
            <v>0</v>
          </cell>
          <cell r="R27">
            <v>0</v>
          </cell>
        </row>
        <row r="28">
          <cell r="C28" t="str">
            <v>设备及其他</v>
          </cell>
          <cell r="E28">
            <v>0</v>
          </cell>
        </row>
        <row r="29">
          <cell r="C29" t="str">
            <v>公共配套及物业（住宅）</v>
          </cell>
          <cell r="E29">
            <v>0</v>
          </cell>
        </row>
        <row r="30">
          <cell r="C30" t="str">
            <v>小计</v>
          </cell>
          <cell r="E30">
            <v>0</v>
          </cell>
        </row>
        <row r="31">
          <cell r="C31" t="str">
            <v>合计</v>
          </cell>
          <cell r="E31">
            <v>459.68</v>
          </cell>
        </row>
        <row r="32">
          <cell r="E32">
            <v>0</v>
          </cell>
        </row>
      </sheetData>
      <sheetData sheetId="14"/>
      <sheetData sheetId="15"/>
      <sheetData sheetId="16"/>
      <sheetData sheetId="17"/>
      <sheetData sheetId="18"/>
      <sheetData sheetId="19"/>
      <sheetData sheetId="20"/>
      <sheetData sheetId="21"/>
      <sheetData sheetId="22"/>
      <sheetData sheetId="23"/>
      <sheetData sheetId="24">
        <row r="61">
          <cell r="A61" t="str">
            <v>交易情况</v>
          </cell>
          <cell r="C61" t="str">
            <v>正常</v>
          </cell>
        </row>
        <row r="63">
          <cell r="B63" t="str">
            <v>用途</v>
          </cell>
          <cell r="C63" t="str">
            <v>住宅</v>
          </cell>
        </row>
        <row r="86">
          <cell r="B86" t="str">
            <v>楼层-1</v>
          </cell>
        </row>
        <row r="88">
          <cell r="B88" t="str">
            <v>朝向</v>
          </cell>
          <cell r="C88" t="str">
            <v>南北</v>
          </cell>
        </row>
        <row r="100">
          <cell r="B100" t="str">
            <v>建筑类型</v>
          </cell>
          <cell r="C100" t="str">
            <v>双拼</v>
          </cell>
        </row>
        <row r="105">
          <cell r="B105" t="str">
            <v>建筑结构</v>
          </cell>
          <cell r="C105" t="str">
            <v>钢混</v>
          </cell>
        </row>
        <row r="107">
          <cell r="B107" t="str">
            <v>建筑品质</v>
          </cell>
          <cell r="C107" t="str">
            <v>高档</v>
          </cell>
        </row>
        <row r="109">
          <cell r="B109" t="str">
            <v>公共部分装修</v>
          </cell>
          <cell r="C109" t="str">
            <v>精装修</v>
          </cell>
        </row>
        <row r="114">
          <cell r="B114" t="str">
            <v>物业管理</v>
          </cell>
          <cell r="C114" t="str">
            <v>物业公司管理</v>
          </cell>
        </row>
        <row r="116">
          <cell r="B116" t="str">
            <v>市政基础设施</v>
          </cell>
          <cell r="C116" t="str">
            <v>七通</v>
          </cell>
        </row>
        <row r="118">
          <cell r="B118" t="str">
            <v>房型</v>
          </cell>
        </row>
        <row r="122">
          <cell r="B122" t="str">
            <v>内部装修</v>
          </cell>
          <cell r="C122" t="str">
            <v>精装修</v>
          </cell>
          <cell r="D122" t="str">
            <v>普通装修</v>
          </cell>
        </row>
      </sheetData>
      <sheetData sheetId="25">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6">
        <row r="62">
          <cell r="A62" t="str">
            <v>交易情况</v>
          </cell>
          <cell r="C62" t="str">
            <v>正常</v>
          </cell>
        </row>
        <row r="64">
          <cell r="B64" t="str">
            <v>用途</v>
          </cell>
          <cell r="C64" t="str">
            <v>办公</v>
          </cell>
        </row>
        <row r="87">
          <cell r="B87" t="str">
            <v>毗邻道路的类型与等级</v>
          </cell>
          <cell r="C87" t="str">
            <v>城市主干道</v>
          </cell>
          <cell r="D87" t="str">
            <v>城市次干道-大钟寺东路</v>
          </cell>
        </row>
        <row r="89">
          <cell r="B89" t="str">
            <v>楼层</v>
          </cell>
          <cell r="C89" t="str">
            <v>高楼层</v>
          </cell>
          <cell r="D89" t="str">
            <v>中楼层</v>
          </cell>
          <cell r="E89" t="str">
            <v>低楼层</v>
          </cell>
        </row>
        <row r="91">
          <cell r="B91" t="str">
            <v>朝向</v>
          </cell>
          <cell r="C91" t="str">
            <v>东南</v>
          </cell>
          <cell r="D91" t="str">
            <v>西南</v>
          </cell>
          <cell r="E91" t="str">
            <v>南</v>
          </cell>
          <cell r="F91" t="str">
            <v>东西</v>
          </cell>
          <cell r="G91" t="str">
            <v>北</v>
          </cell>
        </row>
        <row r="101">
          <cell r="B101" t="str">
            <v>建筑类型</v>
          </cell>
          <cell r="C101" t="str">
            <v>高层塔楼</v>
          </cell>
        </row>
        <row r="106">
          <cell r="B106" t="str">
            <v>建筑结构</v>
          </cell>
          <cell r="C106" t="str">
            <v>钢混</v>
          </cell>
        </row>
        <row r="108">
          <cell r="B108" t="str">
            <v>公共部分装修</v>
          </cell>
          <cell r="C108" t="str">
            <v>精装修</v>
          </cell>
        </row>
        <row r="113">
          <cell r="B113" t="str">
            <v>写字楼等级</v>
          </cell>
          <cell r="C113" t="str">
            <v>甲级</v>
          </cell>
          <cell r="D113" t="str">
            <v>乙级</v>
          </cell>
        </row>
        <row r="115">
          <cell r="B115" t="str">
            <v>物业管理</v>
          </cell>
          <cell r="C115" t="str">
            <v>物业公司管理</v>
          </cell>
        </row>
        <row r="117">
          <cell r="B117" t="str">
            <v>市政基础设施</v>
          </cell>
          <cell r="C117" t="str">
            <v>七通</v>
          </cell>
          <cell r="D117" t="str">
            <v>六通</v>
          </cell>
          <cell r="E117" t="str">
            <v>五通</v>
          </cell>
        </row>
        <row r="119">
          <cell r="B119" t="str">
            <v>层高</v>
          </cell>
        </row>
        <row r="123">
          <cell r="B123" t="str">
            <v>内部装修</v>
          </cell>
          <cell r="C123" t="str">
            <v>精装修</v>
          </cell>
          <cell r="D123" t="str">
            <v>一般装修</v>
          </cell>
        </row>
      </sheetData>
      <sheetData sheetId="27">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8">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29">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0">
        <row r="72">
          <cell r="A72" t="str">
            <v>交易情况</v>
          </cell>
          <cell r="C72" t="str">
            <v>正常</v>
          </cell>
        </row>
        <row r="74">
          <cell r="B74" t="str">
            <v>用途</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row>
        <row r="124">
          <cell r="B124" t="str">
            <v>工程地质条件</v>
          </cell>
        </row>
      </sheetData>
      <sheetData sheetId="31">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2">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3"/>
      <sheetData sheetId="34"/>
      <sheetData sheetId="35"/>
      <sheetData sheetId="36">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7"/>
      <sheetData sheetId="38"/>
      <sheetData sheetId="39"/>
      <sheetData sheetId="40"/>
      <sheetData sheetId="41"/>
      <sheetData sheetId="42"/>
      <sheetData sheetId="43"/>
      <sheetData sheetId="44">
        <row r="1">
          <cell r="G1">
            <v>3.6499999999999998E-2</v>
          </cell>
          <cell r="I1">
            <v>1.4999999999999999E-2</v>
          </cell>
        </row>
      </sheetData>
      <sheetData sheetId="45">
        <row r="6">
          <cell r="I6">
            <v>5.4</v>
          </cell>
        </row>
      </sheetData>
      <sheetData sheetId="4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比较法-办公"/>
      <sheetName val="定义"/>
      <sheetName val="比较法-仓储"/>
      <sheetName val="比较法-车位"/>
      <sheetName val="数据-取费表"/>
      <sheetName val="修正"/>
      <sheetName val="比较法-工业"/>
      <sheetName val="比较法-商业"/>
      <sheetName val="土地比较法-工业"/>
      <sheetName val="土地比较法-住宅、综合"/>
      <sheetName val="典型户型修正"/>
      <sheetName val="比较法-住宅"/>
      <sheetName val="估价师及机构信息"/>
      <sheetName val="区片价"/>
      <sheetName val="因素修正幅度"/>
      <sheetName val="项目基本情况"/>
      <sheetName val="地价"/>
      <sheetName val="容积率修正"/>
      <sheetName val="估价对象房地状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一览表"/>
      <sheetName val="结果表"/>
      <sheetName val="成本法"/>
      <sheetName val="成本法 (元)"/>
      <sheetName val="假设开发法"/>
      <sheetName val="收益法 (元)"/>
      <sheetName val="收益法（汇总）"/>
      <sheetName val="酒店收入计算"/>
      <sheetName val="比较法-住宅"/>
      <sheetName val="比较法-工业"/>
      <sheetName val="比较法-仓储"/>
      <sheetName val="土地比较法-住宅、综合"/>
      <sheetName val="土地比较法-工业"/>
      <sheetName val="基准地价（汇总）"/>
      <sheetName val="基准地价修正-办公"/>
      <sheetName val="修正"/>
      <sheetName val="容积率修正"/>
      <sheetName val="基准地价修正-商业"/>
      <sheetName val="收益法"/>
      <sheetName val="比较法-商业"/>
      <sheetName val="比较法-大宗交易"/>
      <sheetName val="比较法-商业租金"/>
      <sheetName val="比较法-地下商业租金"/>
      <sheetName val="比较法租金-办公"/>
      <sheetName val="比较法-车位租金"/>
      <sheetName val="面积表及结果"/>
      <sheetName val="案例-租金"/>
      <sheetName val="案例-销售"/>
      <sheetName val="Sheet1"/>
      <sheetName val="市场走势"/>
      <sheetName val="Sheet2"/>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row r="3">
          <cell r="A3" t="str">
            <v>注册房地产估价师</v>
          </cell>
        </row>
      </sheetData>
      <sheetData sheetId="9">
        <row r="1">
          <cell r="A1" t="str">
            <v>用途类型</v>
          </cell>
        </row>
      </sheetData>
      <sheetData sheetId="10"/>
      <sheetData sheetId="11"/>
      <sheetData sheetId="12"/>
      <sheetData sheetId="13">
        <row r="17">
          <cell r="C17" t="str">
            <v>项目类型</v>
          </cell>
        </row>
        <row r="19">
          <cell r="C19" t="str">
            <v>地上办公</v>
          </cell>
        </row>
        <row r="20">
          <cell r="C20" t="str">
            <v>1层商业</v>
          </cell>
        </row>
        <row r="21">
          <cell r="C21" t="str">
            <v>2层商业</v>
          </cell>
        </row>
        <row r="22">
          <cell r="C22" t="str">
            <v>3-4层商业</v>
          </cell>
        </row>
        <row r="23">
          <cell r="C23" t="str">
            <v>5层商业</v>
          </cell>
        </row>
        <row r="24">
          <cell r="C24" t="str">
            <v>地下车库</v>
          </cell>
        </row>
        <row r="25">
          <cell r="C25" t="str">
            <v>地下办公</v>
          </cell>
        </row>
      </sheetData>
      <sheetData sheetId="14">
        <row r="53">
          <cell r="A53" t="str">
            <v>城镇土地纳税等级分级范围</v>
          </cell>
        </row>
      </sheetData>
      <sheetData sheetId="15"/>
      <sheetData sheetId="16"/>
      <sheetData sheetId="17"/>
      <sheetData sheetId="18"/>
      <sheetData sheetId="19"/>
      <sheetData sheetId="20"/>
      <sheetData sheetId="21"/>
      <sheetData sheetId="22"/>
      <sheetData sheetId="23"/>
      <sheetData sheetId="24"/>
      <sheetData sheetId="25">
        <row r="61">
          <cell r="A61" t="str">
            <v>交易情况</v>
          </cell>
        </row>
      </sheetData>
      <sheetData sheetId="26">
        <row r="55">
          <cell r="A55" t="str">
            <v>交易情况</v>
          </cell>
        </row>
      </sheetData>
      <sheetData sheetId="27">
        <row r="49">
          <cell r="A49" t="str">
            <v>交易情况</v>
          </cell>
        </row>
      </sheetData>
      <sheetData sheetId="28">
        <row r="73">
          <cell r="A73" t="str">
            <v>交易情况</v>
          </cell>
        </row>
      </sheetData>
      <sheetData sheetId="29">
        <row r="70">
          <cell r="B70" t="str">
            <v>用途</v>
          </cell>
        </row>
        <row r="112">
          <cell r="B112" t="str">
            <v>宗地开发程度</v>
          </cell>
        </row>
      </sheetData>
      <sheetData sheetId="30"/>
      <sheetData sheetId="31"/>
      <sheetData sheetId="32">
        <row r="6">
          <cell r="A6" t="str">
            <v>通路</v>
          </cell>
        </row>
      </sheetData>
      <sheetData sheetId="33"/>
      <sheetData sheetId="34"/>
      <sheetData sheetId="35"/>
      <sheetData sheetId="36"/>
      <sheetData sheetId="37">
        <row r="49">
          <cell r="C49">
            <v>37323</v>
          </cell>
        </row>
      </sheetData>
      <sheetData sheetId="38">
        <row r="61">
          <cell r="A61" t="str">
            <v>交易情况</v>
          </cell>
        </row>
      </sheetData>
      <sheetData sheetId="39"/>
      <sheetData sheetId="40">
        <row r="62">
          <cell r="A62" t="str">
            <v>交易情况</v>
          </cell>
        </row>
      </sheetData>
      <sheetData sheetId="41">
        <row r="51">
          <cell r="A51" t="str">
            <v>交易情况</v>
          </cell>
        </row>
      </sheetData>
      <sheetData sheetId="42"/>
      <sheetData sheetId="43"/>
      <sheetData sheetId="44"/>
      <sheetData sheetId="45"/>
      <sheetData sheetId="46">
        <row r="3">
          <cell r="C3" t="str">
            <v>平均有效租金</v>
          </cell>
          <cell r="N3" t="str">
            <v>租金增长率</v>
          </cell>
          <cell r="O3" t="str">
            <v>新增供应</v>
          </cell>
          <cell r="P3" t="str">
            <v>存量（万㎡）</v>
          </cell>
        </row>
        <row r="4">
          <cell r="K4" t="str">
            <v>2016Q1</v>
          </cell>
          <cell r="P4">
            <v>6753000</v>
          </cell>
        </row>
        <row r="5">
          <cell r="K5" t="str">
            <v>2016Q2</v>
          </cell>
          <cell r="N5">
            <v>2.6809651474530832E-3</v>
          </cell>
          <cell r="O5">
            <v>355400</v>
          </cell>
          <cell r="P5">
            <v>7108400</v>
          </cell>
        </row>
        <row r="6">
          <cell r="K6" t="str">
            <v>2016Q3</v>
          </cell>
          <cell r="N6">
            <v>-8.0213903743315516E-3</v>
          </cell>
          <cell r="O6">
            <v>134000</v>
          </cell>
          <cell r="P6">
            <v>7242400</v>
          </cell>
        </row>
        <row r="7">
          <cell r="K7" t="str">
            <v>2016Q4</v>
          </cell>
          <cell r="N7">
            <v>5.3908355795148251E-3</v>
          </cell>
          <cell r="O7">
            <v>115500</v>
          </cell>
          <cell r="P7">
            <v>7357900</v>
          </cell>
        </row>
        <row r="8">
          <cell r="K8" t="str">
            <v>2017Q1</v>
          </cell>
          <cell r="N8">
            <v>-5.3619302949061663E-3</v>
          </cell>
          <cell r="O8">
            <v>122300</v>
          </cell>
          <cell r="P8">
            <v>7480200</v>
          </cell>
        </row>
        <row r="9">
          <cell r="K9" t="str">
            <v>2017Q2</v>
          </cell>
          <cell r="N9">
            <v>8.0862533692722376E-3</v>
          </cell>
          <cell r="O9">
            <v>267800</v>
          </cell>
          <cell r="P9">
            <v>7748000</v>
          </cell>
        </row>
        <row r="10">
          <cell r="K10" t="str">
            <v>2017Q3</v>
          </cell>
          <cell r="N10">
            <v>8.0213903743315516E-3</v>
          </cell>
          <cell r="O10">
            <v>0</v>
          </cell>
          <cell r="P10">
            <v>7748000</v>
          </cell>
        </row>
        <row r="11">
          <cell r="K11" t="str">
            <v>2017Q4</v>
          </cell>
          <cell r="N11">
            <v>-7.9575596816976128E-3</v>
          </cell>
          <cell r="O11">
            <v>430900</v>
          </cell>
          <cell r="P11">
            <v>8178900</v>
          </cell>
        </row>
        <row r="12">
          <cell r="K12" t="str">
            <v>2018Q1</v>
          </cell>
          <cell r="N12">
            <v>-1.06951871657754E-2</v>
          </cell>
          <cell r="O12">
            <v>0</v>
          </cell>
          <cell r="P12">
            <v>8178900</v>
          </cell>
        </row>
        <row r="13">
          <cell r="K13" t="str">
            <v>2018Q2</v>
          </cell>
          <cell r="N13">
            <v>3.783783783783784E-2</v>
          </cell>
          <cell r="O13">
            <v>80000</v>
          </cell>
          <cell r="P13">
            <v>8258900</v>
          </cell>
        </row>
        <row r="14">
          <cell r="K14" t="str">
            <v>2018Q3</v>
          </cell>
          <cell r="N14">
            <v>1.5625E-2</v>
          </cell>
          <cell r="O14">
            <v>45700</v>
          </cell>
          <cell r="P14">
            <v>8304600</v>
          </cell>
        </row>
        <row r="15">
          <cell r="K15" t="str">
            <v>2018Q4</v>
          </cell>
          <cell r="N15">
            <v>-1.0256410256410256E-2</v>
          </cell>
          <cell r="O15">
            <v>251300</v>
          </cell>
          <cell r="P15">
            <v>8555900</v>
          </cell>
        </row>
        <row r="16">
          <cell r="K16" t="str">
            <v>2019Q1</v>
          </cell>
          <cell r="N16">
            <v>-1.0362694300518135E-2</v>
          </cell>
          <cell r="O16">
            <v>125600</v>
          </cell>
          <cell r="P16">
            <v>8681500</v>
          </cell>
        </row>
        <row r="17">
          <cell r="K17" t="str">
            <v>2019Q2</v>
          </cell>
          <cell r="N17">
            <v>-1.3089005235602094E-2</v>
          </cell>
          <cell r="O17">
            <v>143000</v>
          </cell>
          <cell r="P17">
            <v>8824500</v>
          </cell>
        </row>
        <row r="18">
          <cell r="K18" t="str">
            <v>2019Q3</v>
          </cell>
          <cell r="N18">
            <v>-7.9575596816976128E-3</v>
          </cell>
          <cell r="O18">
            <v>0</v>
          </cell>
          <cell r="P18">
            <v>8824500</v>
          </cell>
        </row>
        <row r="19">
          <cell r="K19" t="str">
            <v>2019Q4</v>
          </cell>
          <cell r="N19">
            <v>1.3368983957219251E-2</v>
          </cell>
          <cell r="O19">
            <v>800700</v>
          </cell>
          <cell r="P19">
            <v>9625200</v>
          </cell>
        </row>
        <row r="20">
          <cell r="K20" t="str">
            <v>2021Q1</v>
          </cell>
          <cell r="N20">
            <v>-1.3192612137203167E-2</v>
          </cell>
          <cell r="O20">
            <v>0</v>
          </cell>
          <cell r="P20">
            <v>9625200</v>
          </cell>
        </row>
        <row r="21">
          <cell r="K21" t="str">
            <v>2021Q2</v>
          </cell>
          <cell r="N21">
            <v>-4.8128342245989303E-2</v>
          </cell>
          <cell r="O21">
            <v>0</v>
          </cell>
          <cell r="P21">
            <v>9625200</v>
          </cell>
        </row>
        <row r="22">
          <cell r="K22" t="str">
            <v>2021Q3</v>
          </cell>
          <cell r="N22">
            <v>-1.1235955056179775E-2</v>
          </cell>
          <cell r="O22">
            <v>10000</v>
          </cell>
          <cell r="P22">
            <v>9635200</v>
          </cell>
        </row>
        <row r="23">
          <cell r="K23" t="str">
            <v>2021Q4</v>
          </cell>
          <cell r="N23">
            <v>-2.8409090909090908E-2</v>
          </cell>
          <cell r="O23">
            <v>540700</v>
          </cell>
          <cell r="P23">
            <v>10175900</v>
          </cell>
        </row>
      </sheetData>
      <sheetData sheetId="47"/>
      <sheetData sheetId="48"/>
      <sheetData sheetId="49">
        <row r="5">
          <cell r="B5" t="str">
            <v>修正项2</v>
          </cell>
        </row>
      </sheetData>
      <sheetData sheetId="50"/>
      <sheetData sheetId="51"/>
      <sheetData sheetId="52"/>
      <sheetData sheetId="53"/>
      <sheetData sheetId="5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Sheet1"/>
      <sheetName val="工作表1"/>
      <sheetName val="数据-汇总表"/>
      <sheetName val="数据-取费表"/>
      <sheetName val="估价对象房地状况"/>
      <sheetName val="结果表"/>
      <sheetName val="成本法"/>
      <sheetName val="假设开发法"/>
      <sheetName val="收益法"/>
      <sheetName val="收益法-酒店模型"/>
      <sheetName val="收益法（汇总）"/>
      <sheetName val="比较法-住宅"/>
      <sheetName val="比较法-商业"/>
      <sheetName val="比较法-办公"/>
      <sheetName val="Sheet1 (2)"/>
      <sheetName val="租约"/>
      <sheetName val="比较法-工业"/>
      <sheetName val="比较法-车位"/>
      <sheetName val="比较法-仓储"/>
      <sheetName val="土地比较法-住宅、综合"/>
      <sheetName val="土地比较法-工业"/>
      <sheetName val="典型户型修正"/>
      <sheetName val="基准地价（汇总）"/>
      <sheetName val="收益法倒推"/>
      <sheetName val="成本法 (元)"/>
      <sheetName val="2014基准地价修正 (2)"/>
      <sheetName val="地价 (2)"/>
      <sheetName val="修正 (2)"/>
      <sheetName val="基准地价修正"/>
      <sheetName val="收益法 (元)"/>
      <sheetName val="系统读取表"/>
      <sheetName val="工作表2"/>
      <sheetName val="工作表3"/>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ow r="4">
          <cell r="E4">
            <v>1088.48</v>
          </cell>
        </row>
        <row r="5">
          <cell r="E5">
            <v>306.19</v>
          </cell>
        </row>
        <row r="6">
          <cell r="E6">
            <v>1091.49</v>
          </cell>
        </row>
        <row r="7">
          <cell r="E7">
            <v>311.33999999999997</v>
          </cell>
        </row>
      </sheetData>
      <sheetData sheetId="15"/>
      <sheetData sheetId="16">
        <row r="6">
          <cell r="L6">
            <v>5000</v>
          </cell>
          <cell r="Q6">
            <v>0.15</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50">
          <cell r="C50">
            <v>6</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商业"/>
      <sheetName val="写字楼"/>
      <sheetName val="统计表"/>
    </sheetNames>
    <sheetDataSet>
      <sheetData sheetId="0">
        <row r="11">
          <cell r="AA11">
            <v>913.4</v>
          </cell>
          <cell r="AB11">
            <v>5.2999999999999999E-2</v>
          </cell>
        </row>
        <row r="15">
          <cell r="AA15">
            <v>941.4</v>
          </cell>
          <cell r="AB15">
            <v>6.7000000000000004E-2</v>
          </cell>
        </row>
        <row r="19">
          <cell r="AA19">
            <v>943.5</v>
          </cell>
          <cell r="AB19">
            <v>6.7000000000000004E-2</v>
          </cell>
        </row>
        <row r="23">
          <cell r="AA23">
            <v>948.2</v>
          </cell>
          <cell r="AB23">
            <v>6.7000000000000004E-2</v>
          </cell>
        </row>
        <row r="27">
          <cell r="AA27">
            <v>866.2</v>
          </cell>
          <cell r="AB27">
            <v>0.08</v>
          </cell>
        </row>
        <row r="31">
          <cell r="H31">
            <v>2400</v>
          </cell>
          <cell r="I31">
            <v>0.1</v>
          </cell>
        </row>
        <row r="35">
          <cell r="H35">
            <v>2312.5</v>
          </cell>
          <cell r="I35">
            <v>9.9000000000000005E-2</v>
          </cell>
        </row>
      </sheetData>
      <sheetData sheetId="1">
        <row r="3">
          <cell r="C3" t="str">
            <v>平均有效租金</v>
          </cell>
        </row>
      </sheetData>
      <sheetData sheetId="2">
        <row r="61">
          <cell r="B61">
            <v>2010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结果汇总"/>
      <sheetName val="成本法"/>
      <sheetName val="成本法 (3层) "/>
      <sheetName val="比较法-租金（1层）2022"/>
      <sheetName val="成本法 (1层)"/>
      <sheetName val="假设开发法"/>
      <sheetName val="收益法"/>
      <sheetName val="收益法 (1层)"/>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49">
          <cell r="C49">
            <v>12.2</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
    </sheetNames>
    <sheetDataSet>
      <sheetData sheetId="0">
        <row r="86">
          <cell r="F86">
            <v>13527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清单"/>
      <sheetName val="数据-汇总表"/>
      <sheetName val="数据-取费表"/>
      <sheetName val="杰伟科技"/>
      <sheetName val="估价对象房地状况"/>
      <sheetName val="系统读取表"/>
      <sheetName val="结果表净值"/>
      <sheetName val="结果表"/>
      <sheetName val="比较法-办公"/>
      <sheetName val="案例"/>
      <sheetName val="典型户型修正"/>
      <sheetName val="收益法"/>
      <sheetName val="结果表仓储"/>
      <sheetName val="成本法仓储"/>
      <sheetName val="基准地价修正"/>
      <sheetName val="收益法仓储"/>
      <sheetName val="结果表车库"/>
      <sheetName val="成本法车库"/>
      <sheetName val="收益法车库"/>
      <sheetName val="收益法（汇总）"/>
      <sheetName val="成本法 (元)"/>
      <sheetName val="假设开发法"/>
      <sheetName val="收益法 (元)"/>
      <sheetName val="收益法-酒店模型"/>
      <sheetName val="比较法-住宅"/>
      <sheetName val="比较法-商业"/>
      <sheetName val="比较法-工业"/>
      <sheetName val="比较法-车位"/>
      <sheetName val="比较法-仓储"/>
      <sheetName val="土地比较法-住宅、综合"/>
      <sheetName val="土地比较法-工业"/>
      <sheetName val="修正"/>
      <sheetName val="容积率修正"/>
      <sheetName val="基准地价（汇总）"/>
      <sheetName val="地价"/>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B1">
            <v>41293.96</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8.xml"/><Relationship Id="rId1" Type="http://schemas.openxmlformats.org/officeDocument/2006/relationships/printerSettings" Target="../printerSettings/printerSettings34.bin"/><Relationship Id="rId4" Type="http://schemas.openxmlformats.org/officeDocument/2006/relationships/comments" Target="../comments23.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9.xml"/><Relationship Id="rId1" Type="http://schemas.openxmlformats.org/officeDocument/2006/relationships/printerSettings" Target="../printerSettings/printerSettings35.bin"/><Relationship Id="rId4" Type="http://schemas.openxmlformats.org/officeDocument/2006/relationships/comments" Target="../comments24.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10.xml"/><Relationship Id="rId1" Type="http://schemas.openxmlformats.org/officeDocument/2006/relationships/printerSettings" Target="../printerSettings/printerSettings36.bin"/><Relationship Id="rId4" Type="http://schemas.openxmlformats.org/officeDocument/2006/relationships/comments" Target="../comments25.xml"/></Relationships>
</file>

<file path=xl/worksheets/_rels/sheet45.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0.v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8" Type="http://schemas.openxmlformats.org/officeDocument/2006/relationships/hyperlink" Target="http://bj.cityhouse.cn/lmarketha/pa00022566dc977/" TargetMode="External"/><Relationship Id="rId3" Type="http://schemas.openxmlformats.org/officeDocument/2006/relationships/hyperlink" Target="http://bj.cityhouse.cn/lmarketha/pa00024376dc680/" TargetMode="External"/><Relationship Id="rId7" Type="http://schemas.openxmlformats.org/officeDocument/2006/relationships/hyperlink" Target="http://bj.cityhouse.cn/lmarketha/0163022498/" TargetMode="External"/><Relationship Id="rId2" Type="http://schemas.openxmlformats.org/officeDocument/2006/relationships/hyperlink" Target="http://bj.cityhouse.cn/lmarketha/pa00022420dc689/" TargetMode="External"/><Relationship Id="rId1" Type="http://schemas.openxmlformats.org/officeDocument/2006/relationships/hyperlink" Target="http://bj.cityhouse.cn/lmarketha/pa00025093dc043/" TargetMode="External"/><Relationship Id="rId6" Type="http://schemas.openxmlformats.org/officeDocument/2006/relationships/hyperlink" Target="http://bj.cityhouse.cn/lmarketha/sa0036900dc705/" TargetMode="External"/><Relationship Id="rId11" Type="http://schemas.openxmlformats.org/officeDocument/2006/relationships/drawing" Target="../drawings/drawing11.xml"/><Relationship Id="rId5" Type="http://schemas.openxmlformats.org/officeDocument/2006/relationships/hyperlink" Target="http://bj.cityhouse.cn/lmarketha/pa0123004cy866/" TargetMode="External"/><Relationship Id="rId10" Type="http://schemas.openxmlformats.org/officeDocument/2006/relationships/hyperlink" Target="http://bj.cityhouse.cn/lmarketha/pa00023555dc402/" TargetMode="External"/><Relationship Id="rId4" Type="http://schemas.openxmlformats.org/officeDocument/2006/relationships/hyperlink" Target="http://bj.cityhouse.cn/lmarketha/pa00024048dc020/" TargetMode="External"/><Relationship Id="rId9" Type="http://schemas.openxmlformats.org/officeDocument/2006/relationships/hyperlink" Target="http://bj.cityhouse.cn/lmarketha/pa00025908dc061/" TargetMode="Externa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060"/>
  </sheetPr>
  <dimension ref="A1:B70"/>
  <sheetViews>
    <sheetView topLeftCell="A10" zoomScale="80" zoomScaleNormal="80" workbookViewId="0">
      <selection activeCell="B10" sqref="B10"/>
    </sheetView>
  </sheetViews>
  <sheetFormatPr defaultColWidth="9" defaultRowHeight="15.75"/>
  <cols>
    <col min="1" max="1" width="32.5" style="1216" customWidth="1"/>
    <col min="2" max="2" width="94.875" style="1202" customWidth="1"/>
    <col min="3" max="16384" width="9" style="1212"/>
  </cols>
  <sheetData>
    <row r="1" spans="1:2" s="1207" customFormat="1" ht="16.5" thickBot="1">
      <c r="A1" s="1205" t="s">
        <v>1094</v>
      </c>
      <c r="B1" s="1206" t="s">
        <v>1156</v>
      </c>
    </row>
    <row r="2" spans="1:2" s="1209" customFormat="1" ht="16.5" thickTop="1">
      <c r="A2" s="1208" t="s">
        <v>1095</v>
      </c>
      <c r="B2" s="1194" t="str">
        <f>'预评函-封皮'!B9</f>
        <v>北京市房地产市场价值预评估</v>
      </c>
    </row>
    <row r="3" spans="1:2" s="1209" customFormat="1">
      <c r="A3" s="1210" t="s">
        <v>1096</v>
      </c>
      <c r="B3" s="1195">
        <f>'预评函-封皮'!B12</f>
        <v>0</v>
      </c>
    </row>
    <row r="4" spans="1:2" s="1209" customFormat="1">
      <c r="A4" s="1210" t="s">
        <v>1097</v>
      </c>
      <c r="B4" s="1195" t="str">
        <f>'预评函-封皮'!B18</f>
        <v>（注册号:0）、（注册号:0)</v>
      </c>
    </row>
    <row r="5" spans="1:2" s="1207" customFormat="1" ht="16.5" thickBot="1">
      <c r="A5" s="1211" t="s">
        <v>1098</v>
      </c>
      <c r="B5" s="1196" t="str">
        <f>'预评函-封皮'!B21</f>
        <v>康正预评字号</v>
      </c>
    </row>
    <row r="6" spans="1:2" s="1209" customFormat="1" ht="16.5" thickTop="1">
      <c r="A6" s="1210" t="s">
        <v>1099</v>
      </c>
      <c r="B6" s="1194" t="str">
        <f>'预评函-1'!A4</f>
        <v>受您的委托，我公司对北京市房地产进行了预评估。</v>
      </c>
    </row>
    <row r="7" spans="1:2">
      <c r="A7" s="1210" t="s">
        <v>1100</v>
      </c>
      <c r="B7" s="1197" t="str">
        <f>'预评函-1'!A6</f>
        <v>估价对象为北京市房地产，为所有。根据《》[]，估价对象建筑面积为1088.48平方米。根据《》[]，估价对象（分摊）出让国有建设用地使用权面积为平方米。估价对象用途为。</v>
      </c>
    </row>
    <row r="8" spans="1:2">
      <c r="A8" s="1210" t="s">
        <v>1101</v>
      </c>
      <c r="B8" s="1197" t="str">
        <f>'预评函-1'!A8</f>
        <v>为估价委托人了解估价对象房地产市场价值提供参考依据。</v>
      </c>
    </row>
    <row r="9" spans="1:2">
      <c r="A9" s="1210" t="s">
        <v>1102</v>
      </c>
      <c r="B9" s="1197" t="str">
        <f>'预评函-1'!A10</f>
        <v>2016年2月2日</v>
      </c>
    </row>
    <row r="10" spans="1:2">
      <c r="A10" s="1210" t="s">
        <v>1103</v>
      </c>
      <c r="B10" s="1197" t="str">
        <f>'预评函-1'!A13</f>
        <v>本次估价的“房地产价值”是指在正常市场情况下，在价值时点2016年2月2日，估价对象规划用途为，假定未设立法定优先受偿款下的房地产市场价值。</v>
      </c>
    </row>
    <row r="11" spans="1:2">
      <c r="A11" s="1210" t="s">
        <v>1104</v>
      </c>
      <c r="B11" s="1197"/>
    </row>
    <row r="12" spans="1:2">
      <c r="A12" s="1210" t="s">
        <v>1105</v>
      </c>
      <c r="B12" s="1197" t="str">
        <f>'预评函-1'!A14</f>
        <v>——</v>
      </c>
    </row>
    <row r="13" spans="1:2">
      <c r="A13" s="1210" t="s">
        <v>1106</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1107</v>
      </c>
      <c r="B14" s="1197" t="str">
        <f>'预评函-1'!A16</f>
        <v>——</v>
      </c>
    </row>
    <row r="15" spans="1:2" s="1207" customFormat="1" ht="16.5" thickBot="1">
      <c r="A15" s="1211" t="s">
        <v>1108</v>
      </c>
      <c r="B15" s="1198" t="str">
        <f>'预评函-1'!A18</f>
        <v>本次评估采用的主估价方法为成本法和收益法。</v>
      </c>
    </row>
    <row r="16" spans="1:2" ht="16.5" thickTop="1">
      <c r="A16" s="1208" t="s">
        <v>1109</v>
      </c>
      <c r="B16" s="1196"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210" t="s">
        <v>1110</v>
      </c>
      <c r="B17" s="1197" t="str">
        <f>'预评函-2（1）'!B6</f>
        <v>北京市房地产</v>
      </c>
    </row>
    <row r="18" spans="1:2">
      <c r="A18" s="1210" t="s">
        <v>1111</v>
      </c>
      <c r="B18" s="1197">
        <f>'预评函-2（1）'!C6</f>
        <v>1088.48</v>
      </c>
    </row>
    <row r="19" spans="1:2">
      <c r="A19" s="1210" t="s">
        <v>1112</v>
      </c>
      <c r="B19" s="1197">
        <f ca="1">'预评函-2（1）'!D7</f>
        <v>5848403</v>
      </c>
    </row>
    <row r="20" spans="1:2">
      <c r="A20" s="1210" t="s">
        <v>1150</v>
      </c>
      <c r="B20" s="1197" t="str">
        <f>'预评函-2（1）'!C7</f>
        <v>总价（元）</v>
      </c>
    </row>
    <row r="21" spans="1:2">
      <c r="A21" s="1210" t="s">
        <v>1113</v>
      </c>
      <c r="B21" s="1197">
        <f ca="1">'预评函-2（1）'!D9</f>
        <v>5373</v>
      </c>
    </row>
    <row r="22" spans="1:2">
      <c r="A22" s="1210" t="s">
        <v>1114</v>
      </c>
      <c r="B22" s="1197" t="str">
        <f ca="1">'预评函-2（1）'!D8</f>
        <v>伍佰捌拾肆万捌仟肆佰零叁元整</v>
      </c>
    </row>
    <row r="23" spans="1:2">
      <c r="A23" s="1210" t="s">
        <v>1151</v>
      </c>
      <c r="B23" s="1197">
        <f>'预评函-2（1）'!D10</f>
        <v>0</v>
      </c>
    </row>
    <row r="24" spans="1:2">
      <c r="A24" s="1210" t="s">
        <v>1152</v>
      </c>
      <c r="B24" s="1197" t="str">
        <f>'预评函-2（1）'!C10</f>
        <v>总额（元）</v>
      </c>
    </row>
    <row r="25" spans="1:2">
      <c r="A25" s="1210" t="s">
        <v>1115</v>
      </c>
      <c r="B25" s="1197" t="str">
        <f>'预评函-2（1）'!D11</f>
        <v>零元整</v>
      </c>
    </row>
    <row r="26" spans="1:2">
      <c r="A26" s="1210" t="s">
        <v>1116</v>
      </c>
      <c r="B26" s="1197">
        <f>'预评函-2（1）'!D12</f>
        <v>0</v>
      </c>
    </row>
    <row r="27" spans="1:2">
      <c r="A27" s="1210" t="s">
        <v>1117</v>
      </c>
      <c r="B27" s="1197">
        <f>'预评函-2（1）'!D13</f>
        <v>0</v>
      </c>
    </row>
    <row r="28" spans="1:2">
      <c r="A28" s="1210" t="s">
        <v>1118</v>
      </c>
      <c r="B28" s="1197">
        <f>'预评函-2（1）'!D14</f>
        <v>0</v>
      </c>
    </row>
    <row r="29" spans="1:2">
      <c r="A29" s="1210" t="s">
        <v>1119</v>
      </c>
      <c r="B29" s="1197">
        <f ca="1">'预评函-2（1）'!D15</f>
        <v>5848403</v>
      </c>
    </row>
    <row r="30" spans="1:2">
      <c r="A30" s="1210" t="s">
        <v>1120</v>
      </c>
      <c r="B30" s="1197" t="str">
        <f ca="1">'预评函-2（1）'!D16</f>
        <v>伍佰捌拾肆万捌仟肆佰零叁元整</v>
      </c>
    </row>
    <row r="31" spans="1:2">
      <c r="A31" s="1210" t="s">
        <v>1121</v>
      </c>
      <c r="B31" s="1197" t="str">
        <f>'预评函-2（1）'!D18</f>
        <v>——</v>
      </c>
    </row>
    <row r="32" spans="1:2">
      <c r="A32" s="1210" t="s">
        <v>1122</v>
      </c>
      <c r="B32" s="1197" t="e">
        <f>'预评函-2（1）'!D19</f>
        <v>#VALUE!</v>
      </c>
    </row>
    <row r="33" spans="1:2">
      <c r="A33" s="1210" t="s">
        <v>1123</v>
      </c>
      <c r="B33" s="1197" t="str">
        <f>'预评函-2（1）'!D21</f>
        <v>——</v>
      </c>
    </row>
    <row r="34" spans="1:2">
      <c r="A34" s="1210" t="s">
        <v>1124</v>
      </c>
      <c r="B34" s="1197" t="str">
        <f ca="1">'预评函-2（1）'!D23</f>
        <v>——</v>
      </c>
    </row>
    <row r="35" spans="1:2">
      <c r="A35" s="1210" t="s">
        <v>1125</v>
      </c>
      <c r="B35" s="1197" t="e">
        <f>'预评函-2（1）'!D22</f>
        <v>#VALUE!</v>
      </c>
    </row>
    <row r="36" spans="1:2">
      <c r="A36" s="1210" t="s">
        <v>1126</v>
      </c>
      <c r="B36" s="1197">
        <f>'预评函-2（2）'!C4</f>
        <v>0</v>
      </c>
    </row>
    <row r="37" spans="1:2">
      <c r="A37" s="1210" t="s">
        <v>1127</v>
      </c>
      <c r="B37" s="1197">
        <f ca="1">'预评函-2（2）'!D4</f>
        <v>16322846</v>
      </c>
    </row>
    <row r="38" spans="1:2">
      <c r="A38" s="1210" t="s">
        <v>1128</v>
      </c>
      <c r="B38" s="1197">
        <f ca="1">'预评函-2（2）'!E4</f>
        <v>14996</v>
      </c>
    </row>
    <row r="39" spans="1:2">
      <c r="A39" s="1210" t="s">
        <v>1129</v>
      </c>
      <c r="B39" s="1197" t="str">
        <f ca="1">'预评函-2（2）'!D5</f>
        <v>壹仟陆佰叁拾贰万贰仟捌佰肆拾陆元整</v>
      </c>
    </row>
    <row r="40" spans="1:2">
      <c r="A40" s="1210" t="s">
        <v>1130</v>
      </c>
      <c r="B40" s="1197">
        <f ca="1">'预评函-2（2）'!F4</f>
        <v>-10474443</v>
      </c>
    </row>
    <row r="41" spans="1:2">
      <c r="A41" s="1210" t="s">
        <v>1131</v>
      </c>
      <c r="B41" s="1197">
        <f ca="1">'预评函-2（2）'!G4</f>
        <v>-9623</v>
      </c>
    </row>
    <row r="42" spans="1:2" s="1207" customFormat="1" ht="16.5" thickBot="1">
      <c r="A42" s="1211" t="s">
        <v>1132</v>
      </c>
      <c r="B42" s="1199" t="e">
        <f ca="1">'预评函-2（2）'!F5</f>
        <v>#NUM!</v>
      </c>
    </row>
    <row r="43" spans="1:2" ht="16.5" thickTop="1">
      <c r="A43" s="1208" t="s">
        <v>1133</v>
      </c>
      <c r="B43" s="1200" t="str">
        <f>'预评函-3'!A13</f>
        <v>2.本次评估设定估价对象房地产权属无争议，未被查封或者以其他形式限制其房地产权利，未设定抵押权等他项权利，不涉及第三方权利义务。</v>
      </c>
    </row>
    <row r="44" spans="1:2">
      <c r="A44" s="1210" t="s">
        <v>1134</v>
      </c>
      <c r="B44" s="1197" t="str">
        <f>'预评函-3'!A14</f>
        <v>——</v>
      </c>
    </row>
    <row r="45" spans="1:2">
      <c r="A45" s="1210" t="s">
        <v>1135</v>
      </c>
      <c r="B45" s="1197" t="str">
        <f>'预评函-3'!A15</f>
        <v>——</v>
      </c>
    </row>
    <row r="46" spans="1:2">
      <c r="A46" s="1210" t="s">
        <v>1136</v>
      </c>
      <c r="B46" s="1197" t="str">
        <f>'预评函-3'!A16</f>
        <v>——</v>
      </c>
    </row>
    <row r="47" spans="1:2">
      <c r="A47" s="1210" t="s">
        <v>1137</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1148</v>
      </c>
      <c r="B48" s="1197" t="str">
        <f>'预评函-3'!A18</f>
        <v>——</v>
      </c>
    </row>
    <row r="49" spans="1:2">
      <c r="A49" s="1210" t="s">
        <v>1138</v>
      </c>
      <c r="B49" s="1197"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1139</v>
      </c>
      <c r="B50" s="1197" t="str">
        <f>'预评函-3'!A20</f>
        <v>6.其他需特殊说明事项：（没有时删除此项；注意修改序号）</v>
      </c>
    </row>
    <row r="51" spans="1:2" s="1207" customFormat="1" ht="16.5" thickBot="1">
      <c r="A51" s="1211" t="s">
        <v>1140</v>
      </c>
      <c r="B51" s="1204">
        <f>'预评函-3'!D29</f>
        <v>42551</v>
      </c>
    </row>
    <row r="52" spans="1:2" ht="16.5" thickTop="1">
      <c r="A52" s="1208" t="s">
        <v>1141</v>
      </c>
      <c r="B52" s="1203">
        <f>'预评函-3'!A4</f>
        <v>0</v>
      </c>
    </row>
    <row r="53" spans="1:2">
      <c r="A53" s="1210" t="s">
        <v>1142</v>
      </c>
      <c r="B53" s="1197">
        <f>'预评函-3'!B4</f>
        <v>0</v>
      </c>
    </row>
    <row r="54" spans="1:2">
      <c r="A54" s="1210" t="s">
        <v>1143</v>
      </c>
      <c r="B54" s="1201">
        <f>'预评函-3'!A5</f>
        <v>0</v>
      </c>
    </row>
    <row r="55" spans="1:2" s="1207" customFormat="1" ht="16.5" thickBot="1">
      <c r="A55" s="1211" t="s">
        <v>1144</v>
      </c>
      <c r="B55" s="1199">
        <f>'预评函-3'!B5</f>
        <v>0</v>
      </c>
    </row>
    <row r="56" spans="1:2" ht="16.5" thickTop="1">
      <c r="A56" s="1213" t="s">
        <v>1153</v>
      </c>
      <c r="B56" s="1197" t="str">
        <f>'预评函-2（1）'!B15</f>
        <v>3.房地产抵押价值</v>
      </c>
    </row>
    <row r="57" spans="1:2">
      <c r="A57" s="1213" t="s">
        <v>1154</v>
      </c>
      <c r="B57" s="1197" t="str">
        <f>'预评函-2（1）'!B18</f>
        <v>——</v>
      </c>
    </row>
    <row r="58" spans="1:2" s="1207" customFormat="1" ht="16.5" thickBot="1">
      <c r="A58" s="1214" t="s">
        <v>1155</v>
      </c>
      <c r="B58" s="1198" t="str">
        <f>'预评函-2（1）'!B21</f>
        <v>——</v>
      </c>
    </row>
    <row r="59" spans="1:2" ht="16.5" thickTop="1">
      <c r="A59" s="1215" t="s">
        <v>1157</v>
      </c>
      <c r="B59" s="1195" t="str">
        <f>'预评函-2（1）'!B45</f>
        <v>单位：元、元/平方米（单位：人民币）</v>
      </c>
    </row>
    <row r="60" spans="1:2">
      <c r="A60" s="1213" t="s">
        <v>1158</v>
      </c>
      <c r="B60" s="1197" t="str">
        <f>'预评函-2（2）'!D2</f>
        <v>出让国有建设用地使用权价值</v>
      </c>
    </row>
    <row r="61" spans="1:2" s="1209" customFormat="1">
      <c r="A61" s="1213" t="s">
        <v>1159</v>
      </c>
      <c r="B61" s="1197" t="str">
        <f>'预评函-2（2）'!A14</f>
        <v>单位：平方米、元、元/平方米（币种：人民币）</v>
      </c>
    </row>
    <row r="62" spans="1:2" ht="31.5">
      <c r="A62" s="1213" t="s">
        <v>1243</v>
      </c>
      <c r="B62" s="1197">
        <f ca="1">'预评函-2（1）'!D38</f>
        <v>5373</v>
      </c>
    </row>
    <row r="63" spans="1:2" s="1209" customFormat="1" ht="31.5">
      <c r="A63" s="1213" t="s">
        <v>1244</v>
      </c>
      <c r="B63" s="1197" t="str">
        <f>'预评函-2（1）'!D41</f>
        <v>——</v>
      </c>
    </row>
    <row r="64" spans="1:2">
      <c r="A64" s="1213" t="s">
        <v>1167</v>
      </c>
      <c r="B64" s="1197" t="str">
        <f>'预评函-2（2）'!A6</f>
        <v>——</v>
      </c>
    </row>
    <row r="65" spans="1:2">
      <c r="A65" s="1213" t="s">
        <v>1168</v>
      </c>
      <c r="B65" s="1197" t="str">
        <f>'预评函-2（2）'!A8</f>
        <v>——</v>
      </c>
    </row>
    <row r="66" spans="1:2">
      <c r="A66" s="1213" t="s">
        <v>1169</v>
      </c>
      <c r="B66" s="1197" t="str">
        <f>'预评函-2（2）'!A10</f>
        <v>——</v>
      </c>
    </row>
    <row r="67" spans="1:2" s="1207" customFormat="1" ht="16.5" thickBot="1">
      <c r="A67" s="1214" t="s">
        <v>1170</v>
      </c>
      <c r="B67" s="1198" t="str">
        <f>'预评函-2（2）'!A12</f>
        <v>——</v>
      </c>
    </row>
    <row r="68" spans="1:2" ht="16.5" thickTop="1">
      <c r="A68" s="1216" t="s">
        <v>1171</v>
      </c>
      <c r="B68" s="1202" t="str">
        <f>'预评函-3'!A9</f>
        <v>XX</v>
      </c>
    </row>
    <row r="69" spans="1:2">
      <c r="A69" s="1210" t="s">
        <v>1242</v>
      </c>
    </row>
    <row r="70" spans="1:2">
      <c r="A70" s="1210" t="s">
        <v>1241</v>
      </c>
    </row>
  </sheetData>
  <sheetProtection password="C66D" sheet="1" objects="1" scenarios="1"/>
  <phoneticPr fontId="15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2060"/>
  </sheetPr>
  <dimension ref="A1:G23"/>
  <sheetViews>
    <sheetView view="pageLayout" zoomScale="80" zoomScaleSheetLayoutView="110" zoomScalePageLayoutView="80" workbookViewId="0">
      <selection activeCell="B18" sqref="B18"/>
    </sheetView>
  </sheetViews>
  <sheetFormatPr defaultColWidth="8.125" defaultRowHeight="14.25"/>
  <cols>
    <col min="1" max="1" width="1.62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北京市房地产市场价值预评估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f>项目基本情况!B4</f>
        <v>0</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ht="13.5">
      <c r="A18" s="904"/>
      <c r="B18" s="1340"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40" t="str">
        <f>"康正预评字"&amp;项目基本情况!G1&amp;"号"</f>
        <v>康正预评字号</v>
      </c>
    </row>
    <row r="22" spans="1:5">
      <c r="A22" s="903"/>
      <c r="B22" s="704"/>
    </row>
    <row r="23" spans="1:5">
      <c r="B23" s="832"/>
    </row>
  </sheetData>
  <sheetProtection sheet="1" objects="1" scenarios="1" formatCells="0" formatRows="0" insertRows="0" deleteRows="0"/>
  <phoneticPr fontId="82" type="noConversion"/>
  <printOptions horizontalCentered="1"/>
  <pageMargins left="0.98425196850393704" right="0.78740157480314965" top="0.98425196850393704" bottom="0.98425196850393704" header="0.59055118110236227" footer="0.59055118110236227"/>
  <pageSetup paperSize="9" orientation="portrait" r:id="rId1"/>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2060"/>
  </sheetPr>
  <dimension ref="A1:G18"/>
  <sheetViews>
    <sheetView view="pageLayout" topLeftCell="A10" zoomScale="80" zoomScaleSheetLayoutView="100" zoomScalePageLayoutView="80" workbookViewId="0">
      <selection activeCell="A12" sqref="A12"/>
    </sheetView>
  </sheetViews>
  <sheetFormatPr defaultColWidth="8.125" defaultRowHeight="14.25"/>
  <cols>
    <col min="1" max="1" width="85.125" style="1344" customWidth="1"/>
    <col min="2" max="3" width="12.5" style="1344" customWidth="1"/>
    <col min="4" max="6" width="8.125" style="1344"/>
    <col min="7" max="7" width="17.5" style="1344" customWidth="1"/>
    <col min="8" max="16384" width="8.125" style="1344"/>
  </cols>
  <sheetData>
    <row r="1" spans="1:7" ht="23.25">
      <c r="A1" s="1342" t="s">
        <v>1253</v>
      </c>
      <c r="B1" s="1343"/>
      <c r="C1" s="1343"/>
      <c r="D1" s="1343"/>
      <c r="E1" s="1343"/>
      <c r="F1" s="1343"/>
      <c r="G1" s="1343"/>
    </row>
    <row r="2" spans="1:7">
      <c r="A2" s="1345"/>
    </row>
    <row r="3" spans="1:7" s="1348" customFormat="1" ht="18">
      <c r="A3" s="1346" t="str">
        <f>IF(ISNUMBER(FIND("公司",项目基本情况!B4)),项目基本情况!B4&amp;"：",项目基本情况!B4&amp;"  先生/女士：")</f>
        <v xml:space="preserve">  先生/女士：</v>
      </c>
      <c r="B3" s="1347"/>
      <c r="C3" s="1347"/>
      <c r="D3" s="1347"/>
      <c r="E3" s="1347"/>
      <c r="F3" s="1347"/>
      <c r="G3" s="1347"/>
    </row>
    <row r="4" spans="1:7" ht="18">
      <c r="A4" s="1349" t="str">
        <f>IF(ISNUMBER(FIND("公司",A3)),"受贵公司委托，我公司对"&amp;项目基本情况!I1&amp;"进行了预评估。","受您的委托，我公司对"&amp;项目基本情况!I1&amp;"进行了预评估。")</f>
        <v>受您的委托，我公司对北京市房地产进行了预评估。</v>
      </c>
      <c r="B4" s="1349"/>
      <c r="C4" s="1349"/>
      <c r="D4" s="1349"/>
      <c r="E4" s="1349"/>
      <c r="F4" s="1349"/>
      <c r="G4" s="1349"/>
    </row>
    <row r="5" spans="1:7" ht="18.75">
      <c r="A5" s="1350" t="s">
        <v>1254</v>
      </c>
    </row>
    <row r="6" spans="1:7" s="1351" customFormat="1" ht="54">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估价对象为北京市房地产，为所有。根据《》[]，估价对象建筑面积为1088.48平方米。根据《》[]，估价对象（分摊）出让国有建设用地使用权面积为平方米。估价对象用途为。</v>
      </c>
      <c r="B6" s="1349"/>
      <c r="C6" s="1349"/>
      <c r="D6" s="1349"/>
      <c r="E6" s="1349"/>
      <c r="F6" s="1349"/>
      <c r="G6" s="1349"/>
    </row>
    <row r="7" spans="1:7" ht="18.75">
      <c r="A7" s="1350" t="s">
        <v>1255</v>
      </c>
    </row>
    <row r="8" spans="1:7" ht="18">
      <c r="A8" s="1352" t="str">
        <f>IF(项目基本情况!D4="抵押",IF(项目基本情况!B4=项目基本情况!B5,定义!C51,定义!B51),定义!D51)</f>
        <v>为估价委托人了解估价对象房地产市场价值提供参考依据。</v>
      </c>
      <c r="B8" s="1353"/>
      <c r="C8" s="1349"/>
      <c r="D8" s="1349"/>
      <c r="E8" s="1349"/>
      <c r="F8" s="1349"/>
      <c r="G8" s="1349"/>
    </row>
    <row r="9" spans="1:7" ht="18.75">
      <c r="A9" s="1347" t="s">
        <v>1256</v>
      </c>
      <c r="B9" s="1354"/>
    </row>
    <row r="10" spans="1:7" ht="18">
      <c r="A10" s="1355" t="str">
        <f>TEXT(项目基本情况!D2,"yyyy年m月d日;;")&amp;IF(项目基本情况!B2=项目基本情况!D2,"（评估专业人员实地查勘之日）","")</f>
        <v>2016年2月2日</v>
      </c>
      <c r="B10" s="1356"/>
      <c r="C10" s="1356"/>
      <c r="D10" s="1356"/>
      <c r="E10" s="1356"/>
      <c r="F10" s="1356"/>
      <c r="G10" s="1356"/>
    </row>
    <row r="11" spans="1:7" ht="18.75">
      <c r="A11" s="1347" t="s">
        <v>1257</v>
      </c>
    </row>
    <row r="12" spans="1:7" ht="75">
      <c r="A12" s="1349" t="s">
        <v>1258</v>
      </c>
      <c r="B12" s="1349"/>
      <c r="C12" s="1349"/>
      <c r="D12" s="1349"/>
      <c r="E12" s="1349"/>
      <c r="F12" s="1349"/>
      <c r="G12" s="1349"/>
    </row>
    <row r="13" spans="1:7" ht="36">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本次估价的“房地产价值”是指在正常市场情况下，在价值时点2016年2月2日，估价对象规划用途为，假定未设立法定优先受偿款下的房地产市场价值。</v>
      </c>
      <c r="B13" s="1349"/>
      <c r="C13" s="1349"/>
      <c r="D13" s="1349"/>
      <c r="E13" s="1349"/>
      <c r="F13" s="1349"/>
      <c r="G13" s="1349"/>
    </row>
    <row r="14" spans="1:7" ht="18">
      <c r="A14" s="1352" t="str">
        <f>IF(项目基本情况!D5="房地产市场价值","——",IF(项目基本情况!F5="房地产抵押价值",定义!C54,IF(项目基本情况!F5="已注销",定义!C55,定义!C56)))</f>
        <v>——</v>
      </c>
      <c r="B14" s="1357"/>
      <c r="C14" s="1357"/>
      <c r="D14" s="1357"/>
      <c r="E14" s="1357"/>
      <c r="F14" s="1357"/>
      <c r="G14" s="1357"/>
    </row>
    <row r="15" spans="1:7" ht="56.25">
      <c r="A15" s="1349" t="s">
        <v>1252</v>
      </c>
      <c r="B15" s="1349"/>
      <c r="C15" s="1349"/>
      <c r="D15" s="1349"/>
      <c r="E15" s="1349"/>
      <c r="F15" s="1349"/>
      <c r="G15" s="1349"/>
    </row>
    <row r="16" spans="1:7" ht="18">
      <c r="A16" s="1353" t="str">
        <f>IF(项目基本情况!D5="房地产市场价值","——",IF(项目基本情况!G5="——","",定义!C57))</f>
        <v>——</v>
      </c>
      <c r="B16" s="1357"/>
      <c r="C16" s="1357"/>
      <c r="D16" s="1357"/>
      <c r="E16" s="1357"/>
      <c r="F16" s="1357"/>
      <c r="G16" s="1357"/>
    </row>
    <row r="17" spans="1:1" ht="18.75">
      <c r="A17" s="1347" t="s">
        <v>1251</v>
      </c>
    </row>
    <row r="18" spans="1:1" ht="18">
      <c r="A18" s="1358" t="str">
        <f>"本次评估采用的主估价方法为"&amp;IF('数据-取费表'!E3="否",结果表!L4&amp;"和"&amp;结果表!M4,'结果表 (1修多)'!L4&amp;"和"&amp;'结果表 (1修多)'!M4)&amp;"。"</f>
        <v>本次评估采用的主估价方法为成本法和收益法。</v>
      </c>
    </row>
  </sheetData>
  <sheetProtection sheet="1" objects="1" scenarios="1" formatCells="0" formatRows="0" insertRows="0" deleteRows="0"/>
  <phoneticPr fontId="87"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rgb="FF002060"/>
  </sheetPr>
  <dimension ref="A1:E46"/>
  <sheetViews>
    <sheetView view="pageLayout" zoomScale="80" zoomScalePageLayoutView="80" workbookViewId="0">
      <selection activeCell="A2" sqref="A2:E2"/>
    </sheetView>
  </sheetViews>
  <sheetFormatPr defaultColWidth="9" defaultRowHeight="14.25"/>
  <cols>
    <col min="1" max="1" width="4.125" style="1341" customWidth="1"/>
    <col min="2" max="2" width="37.875" style="1341" customWidth="1"/>
    <col min="3" max="3" width="16.125" style="1341" customWidth="1"/>
    <col min="4" max="4" width="22.125" style="1341" customWidth="1"/>
    <col min="5" max="5" width="4.125" style="1341" customWidth="1"/>
    <col min="6" max="7" width="13" style="1341" customWidth="1"/>
    <col min="8" max="16384" width="9" style="1341"/>
  </cols>
  <sheetData>
    <row r="1" spans="1:5" ht="18">
      <c r="A1" s="1361" t="s">
        <v>774</v>
      </c>
      <c r="B1" s="1359"/>
      <c r="C1" s="1359"/>
      <c r="D1" s="1359"/>
      <c r="E1" s="1359"/>
    </row>
    <row r="2" spans="1:5" ht="78.75" customHeight="1">
      <c r="A2" s="4241"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4241"/>
      <c r="C2" s="4241"/>
      <c r="D2" s="4241"/>
      <c r="E2" s="4241"/>
    </row>
    <row r="3" spans="1:5" ht="13.5" customHeight="1">
      <c r="A3" s="1362"/>
      <c r="B3" s="1362"/>
      <c r="C3" s="1362"/>
      <c r="D3" s="1362"/>
      <c r="E3" s="1362"/>
    </row>
    <row r="4" spans="1:5" ht="18.75" thickBot="1">
      <c r="A4" s="4242" t="str">
        <f>IF(项目基本情况!D5="房地产市场价值","估价结果一览表（市场价值不需本页表格)","估价结果一览表")</f>
        <v>估价结果一览表（市场价值不需本页表格)</v>
      </c>
      <c r="B4" s="4242"/>
      <c r="C4" s="4242"/>
      <c r="D4" s="4242"/>
      <c r="E4" s="4242"/>
    </row>
    <row r="5" spans="1:5" ht="14.25" customHeight="1" thickTop="1">
      <c r="A5" s="1359"/>
      <c r="B5" s="1363" t="s">
        <v>742</v>
      </c>
      <c r="C5" s="4243" t="s">
        <v>775</v>
      </c>
      <c r="D5" s="4244"/>
      <c r="E5" s="1359"/>
    </row>
    <row r="6" spans="1:5" ht="15.75">
      <c r="A6" s="1359"/>
      <c r="B6" s="1364" t="str">
        <f>项目基本情况!I1</f>
        <v>北京市房地产</v>
      </c>
      <c r="C6" s="4245">
        <f>项目基本情况!C12</f>
        <v>1088.48</v>
      </c>
      <c r="D6" s="4245"/>
      <c r="E6" s="1359"/>
    </row>
    <row r="7" spans="1:5" ht="15.75">
      <c r="A7" s="1359"/>
      <c r="B7" s="4239" t="s">
        <v>776</v>
      </c>
      <c r="C7" s="1365" t="str">
        <f>IF('数据-取费表'!B3="万元","总价（万元）","总价（元）")</f>
        <v>总价（元）</v>
      </c>
      <c r="D7" s="1366">
        <f ca="1">IF('数据-取费表'!E3="否",结果表!I102,'结果表 (1修多)'!I104)</f>
        <v>5848403</v>
      </c>
      <c r="E7" s="1359"/>
    </row>
    <row r="8" spans="1:5" ht="31.5">
      <c r="A8" s="1359"/>
      <c r="B8" s="4239"/>
      <c r="C8" s="1367" t="s">
        <v>1162</v>
      </c>
      <c r="D8" s="1368" t="str">
        <f ca="1">IF('数据-取费表'!B3="万元",NUMBERSTRING(INT(D7*10000),2)&amp;"元整",NUMBERSTRING(INT(D7),2)&amp;"元整")</f>
        <v>伍佰捌拾肆万捌仟肆佰零叁元整</v>
      </c>
      <c r="E8" s="1359"/>
    </row>
    <row r="9" spans="1:5" ht="15.75">
      <c r="A9" s="1359"/>
      <c r="B9" s="4239"/>
      <c r="C9" s="1369" t="s">
        <v>1259</v>
      </c>
      <c r="D9" s="1366">
        <f ca="1">IF('数据-取费表'!E3="否",结果表!I103,'结果表 (1修多)'!I105)</f>
        <v>5373</v>
      </c>
      <c r="E9" s="1359"/>
    </row>
    <row r="10" spans="1:5" ht="15.75">
      <c r="A10" s="1359"/>
      <c r="B10" s="4246" t="str">
        <f>IF('数据-取费表'!E3="否",结果表!F105,'结果表 (1修多)'!F107)</f>
        <v>2.估价师所知悉的法定优先受偿款</v>
      </c>
      <c r="C10" s="1370" t="str">
        <f>IF('数据-取费表'!B3="万元","总额（万元）","总额（元）")</f>
        <v>总额（元）</v>
      </c>
      <c r="D10" s="1366">
        <f>IF('数据-取费表'!E3="否",结果表!I105,'结果表 (1修多)'!I107)</f>
        <v>0</v>
      </c>
      <c r="E10" s="1359"/>
    </row>
    <row r="11" spans="1:5" ht="15.75">
      <c r="A11" s="1359"/>
      <c r="B11" s="4246"/>
      <c r="C11" s="1367" t="s">
        <v>1162</v>
      </c>
      <c r="D11" s="1368" t="str">
        <f>IF('数据-取费表'!B3="万元",NUMBERSTRING(INT(D10*10000),2)&amp;"元整",NUMBERSTRING(INT(D10),2)&amp;"元整")</f>
        <v>零元整</v>
      </c>
      <c r="E11" s="1359"/>
    </row>
    <row r="12" spans="1:5" ht="15.75">
      <c r="A12" s="1359"/>
      <c r="B12" s="1371" t="s">
        <v>743</v>
      </c>
      <c r="C12" s="1372" t="str">
        <f>C10</f>
        <v>总额（元）</v>
      </c>
      <c r="D12" s="1373">
        <f>IF('数据-取费表'!E3="否",结果表!I106,'结果表 (1修多)'!I108)</f>
        <v>0</v>
      </c>
      <c r="E12" s="1359"/>
    </row>
    <row r="13" spans="1:5" ht="15.75">
      <c r="A13" s="1359"/>
      <c r="B13" s="1371" t="s">
        <v>744</v>
      </c>
      <c r="C13" s="1372" t="str">
        <f>C10</f>
        <v>总额（元）</v>
      </c>
      <c r="D13" s="1373">
        <f>IF('数据-取费表'!E3="否",结果表!I107,'结果表 (1修多)'!I109)</f>
        <v>0</v>
      </c>
      <c r="E13" s="1359"/>
    </row>
    <row r="14" spans="1:5" ht="15.75">
      <c r="A14" s="1359"/>
      <c r="B14" s="1371" t="s">
        <v>745</v>
      </c>
      <c r="C14" s="1372" t="str">
        <f>C10</f>
        <v>总额（元）</v>
      </c>
      <c r="D14" s="1373">
        <f>IF('数据-取费表'!E3="否",结果表!I108,'结果表 (1修多)'!I110)</f>
        <v>0</v>
      </c>
      <c r="E14" s="1359"/>
    </row>
    <row r="15" spans="1:5" ht="15.75">
      <c r="A15" s="1359"/>
      <c r="B15" s="4246" t="str">
        <f>IF('数据-取费表'!E3="否",结果表!F110,'结果表 (1修多)'!F112)</f>
        <v>3.房地产抵押价值</v>
      </c>
      <c r="C15" s="1360" t="str">
        <f>C7</f>
        <v>总价（元）</v>
      </c>
      <c r="D15" s="1366">
        <f ca="1">IF('数据-取费表'!E3="否",结果表!I110,'结果表 (1修多)'!I112)</f>
        <v>5848403</v>
      </c>
      <c r="E15" s="1359"/>
    </row>
    <row r="16" spans="1:5" ht="31.5">
      <c r="A16" s="1359"/>
      <c r="B16" s="4246"/>
      <c r="C16" s="1367" t="s">
        <v>1162</v>
      </c>
      <c r="D16" s="1366" t="str">
        <f ca="1">IF('数据-取费表'!B3="万元",NUMBERSTRING(INT(D15*10000),2)&amp;"元整",NUMBERSTRING(INT(D15),2)&amp;"元整")</f>
        <v>伍佰捌拾肆万捌仟肆佰零叁元整</v>
      </c>
      <c r="E16" s="1359"/>
    </row>
    <row r="17" spans="1:5" ht="15.75">
      <c r="A17" s="1359"/>
      <c r="B17" s="4246"/>
      <c r="C17" s="1369" t="s">
        <v>1259</v>
      </c>
      <c r="D17" s="1366">
        <f ca="1">IF('数据-取费表'!E3="否",结果表!I111,'结果表 (1修多)'!I113)</f>
        <v>5373</v>
      </c>
      <c r="E17" s="1359"/>
    </row>
    <row r="18" spans="1:5" ht="15.75">
      <c r="A18" s="1359"/>
      <c r="B18" s="4246" t="str">
        <f>IF('数据-取费表'!E3="否",结果表!F112,'结果表 (1修多)'!F114)</f>
        <v>——</v>
      </c>
      <c r="C18" s="1360" t="str">
        <f>C7</f>
        <v>总价（元）</v>
      </c>
      <c r="D18" s="1366" t="str">
        <f>IF('数据-取费表'!E3="否",结果表!I112,'结果表 (1修多)'!I114)</f>
        <v>——</v>
      </c>
      <c r="E18" s="1359"/>
    </row>
    <row r="19" spans="1:5" ht="15.75">
      <c r="A19" s="1359"/>
      <c r="B19" s="4246"/>
      <c r="C19" s="1367" t="s">
        <v>1162</v>
      </c>
      <c r="D19" s="1366" t="e">
        <f>IF('数据-取费表'!B3="万元",NUMBERSTRING(INT(D18*10000),2)&amp;"元整",NUMBERSTRING(INT(D18),2)&amp;"元整")</f>
        <v>#VALUE!</v>
      </c>
      <c r="E19" s="1359"/>
    </row>
    <row r="20" spans="1:5" ht="15.75">
      <c r="A20" s="1359"/>
      <c r="B20" s="4246"/>
      <c r="C20" s="1369" t="s">
        <v>1259</v>
      </c>
      <c r="D20" s="1366" t="str">
        <f>IF('数据-取费表'!E3="否",结果表!I113,'结果表 (1修多)'!I115)</f>
        <v>——</v>
      </c>
      <c r="E20" s="1359"/>
    </row>
    <row r="21" spans="1:5" ht="15.75">
      <c r="A21" s="1359"/>
      <c r="B21" s="4239" t="str">
        <f>IF('数据-取费表'!E3="否",结果表!F114,'结果表 (1修多)'!F116)</f>
        <v>——</v>
      </c>
      <c r="C21" s="1365" t="str">
        <f>C7</f>
        <v>总价（元）</v>
      </c>
      <c r="D21" s="1366" t="str">
        <f>IF('数据-取费表'!E3="否",结果表!I114,'结果表 (1修多)'!I116)</f>
        <v>——</v>
      </c>
      <c r="E21" s="1359"/>
    </row>
    <row r="22" spans="1:5" ht="15.75">
      <c r="A22" s="1359"/>
      <c r="B22" s="4239"/>
      <c r="C22" s="1367" t="s">
        <v>1162</v>
      </c>
      <c r="D22" s="1368" t="e">
        <f>IF('数据-取费表'!B3="万元",NUMBERSTRING(INT(D21*10000),2)&amp;"元整",NUMBERSTRING(INT(D21),2)&amp;"元整")</f>
        <v>#VALUE!</v>
      </c>
      <c r="E22" s="1359"/>
    </row>
    <row r="23" spans="1:5" ht="16.5" thickBot="1">
      <c r="A23" s="1359"/>
      <c r="B23" s="4240"/>
      <c r="C23" s="1374" t="s">
        <v>1259</v>
      </c>
      <c r="D23" s="1375" t="str">
        <f ca="1">IF('数据-取费表'!E3="否",结果表!I115,'结果表 (1修多)'!I117)</f>
        <v>——</v>
      </c>
      <c r="E23" s="1359"/>
    </row>
    <row r="24" spans="1:5" ht="15" thickTop="1">
      <c r="A24" s="1359"/>
      <c r="B24" s="1359"/>
      <c r="C24" s="1359"/>
      <c r="D24" s="1359"/>
      <c r="E24" s="1359"/>
    </row>
    <row r="25" spans="1:5" ht="18.75" customHeight="1" thickBot="1">
      <c r="A25" s="1359"/>
      <c r="B25" s="4231" t="s">
        <v>1260</v>
      </c>
      <c r="C25" s="4231"/>
      <c r="D25" s="4231"/>
      <c r="E25" s="1359"/>
    </row>
    <row r="26" spans="1:5" ht="18.75" customHeight="1" thickTop="1">
      <c r="A26" s="1359"/>
      <c r="B26" s="4234" t="s">
        <v>1161</v>
      </c>
      <c r="C26" s="4235"/>
      <c r="D26" s="4232" t="s">
        <v>1160</v>
      </c>
      <c r="E26" s="1359"/>
    </row>
    <row r="27" spans="1:5" ht="18.75" customHeight="1">
      <c r="A27" s="1359"/>
      <c r="B27" s="4236"/>
      <c r="C27" s="4237"/>
      <c r="D27" s="4233"/>
      <c r="E27" s="1359"/>
    </row>
    <row r="28" spans="1:5" ht="15.75">
      <c r="A28" s="1359"/>
      <c r="B28" s="4224" t="s">
        <v>776</v>
      </c>
      <c r="C28" s="1376" t="s">
        <v>1163</v>
      </c>
      <c r="D28" s="1377">
        <f ca="1">IF('数据-取费表'!E3="否",结果表!I102,'结果表 (1修多)'!I104)</f>
        <v>5848403</v>
      </c>
      <c r="E28" s="1359"/>
    </row>
    <row r="29" spans="1:5" ht="31.5">
      <c r="A29" s="1359"/>
      <c r="B29" s="4225"/>
      <c r="C29" s="1378" t="s">
        <v>1162</v>
      </c>
      <c r="D29" s="1379" t="str">
        <f ca="1">IF('数据-取费表'!B3="万元",NUMBERSTRING(INT(D28*10000),2)&amp;"元整",NUMBERSTRING(INT(D28),2)&amp;"元整")</f>
        <v>伍佰捌拾肆万捌仟肆佰零叁元整</v>
      </c>
      <c r="E29" s="1359"/>
    </row>
    <row r="30" spans="1:5" ht="15.75">
      <c r="A30" s="1359"/>
      <c r="B30" s="4226"/>
      <c r="C30" s="1369" t="s">
        <v>1165</v>
      </c>
      <c r="D30" s="1380">
        <f ca="1">IF('数据-取费表'!E3="否",结果表!I103,'结果表 (1修多)'!I105)</f>
        <v>5373</v>
      </c>
      <c r="E30" s="1359"/>
    </row>
    <row r="31" spans="1:5" ht="15.75">
      <c r="A31" s="1359"/>
      <c r="B31" s="4229" t="str">
        <f>B10</f>
        <v>2.估价师所知悉的法定优先受偿款</v>
      </c>
      <c r="C31" s="1381" t="s">
        <v>1164</v>
      </c>
      <c r="D31" s="1382">
        <f>IF('数据-取费表'!E3="否",结果表!I105,'结果表 (1修多)'!I107)</f>
        <v>0</v>
      </c>
      <c r="E31" s="1359"/>
    </row>
    <row r="32" spans="1:5" ht="15.75">
      <c r="A32" s="1359"/>
      <c r="B32" s="4238"/>
      <c r="C32" s="1378" t="s">
        <v>1162</v>
      </c>
      <c r="D32" s="1383" t="str">
        <f>IF('数据-取费表'!B3="万元",NUMBERSTRING(INT(D31*10000),2)&amp;"元整",NUMBERSTRING(INT(D31),2)&amp;"元整")</f>
        <v>零元整</v>
      </c>
      <c r="E32" s="1359"/>
    </row>
    <row r="33" spans="1:5" ht="15.75">
      <c r="A33" s="1359"/>
      <c r="B33" s="1367" t="s">
        <v>1145</v>
      </c>
      <c r="C33" s="1367" t="str">
        <f>C31</f>
        <v>总额</v>
      </c>
      <c r="D33" s="1380">
        <f>IF('数据-取费表'!E3="否",结果表!I106,'结果表 (1修多)'!I108)</f>
        <v>0</v>
      </c>
      <c r="E33" s="1359"/>
    </row>
    <row r="34" spans="1:5" ht="15.75">
      <c r="A34" s="1359"/>
      <c r="B34" s="1367" t="s">
        <v>1146</v>
      </c>
      <c r="C34" s="1367" t="str">
        <f>C31</f>
        <v>总额</v>
      </c>
      <c r="D34" s="1380">
        <f>IF('数据-取费表'!E3="否",结果表!I107,'结果表 (1修多)'!I109)</f>
        <v>0</v>
      </c>
      <c r="E34" s="1359"/>
    </row>
    <row r="35" spans="1:5" ht="15.75">
      <c r="A35" s="1359"/>
      <c r="B35" s="1367" t="s">
        <v>1147</v>
      </c>
      <c r="C35" s="1367" t="str">
        <f>C31</f>
        <v>总额</v>
      </c>
      <c r="D35" s="1380">
        <f>IF('数据-取费表'!E3="否",结果表!I108,'结果表 (1修多)'!I110)</f>
        <v>0</v>
      </c>
      <c r="E35" s="1359"/>
    </row>
    <row r="36" spans="1:5" ht="15.75">
      <c r="A36" s="1359"/>
      <c r="B36" s="4227" t="str">
        <f>B15</f>
        <v>3.房地产抵押价值</v>
      </c>
      <c r="C36" s="1381" t="str">
        <f>C28</f>
        <v>总价</v>
      </c>
      <c r="D36" s="1382">
        <f ca="1">IF('数据-取费表'!E3="否",结果表!I110,'结果表 (1修多)'!I112)</f>
        <v>5848403</v>
      </c>
      <c r="E36" s="1359"/>
    </row>
    <row r="37" spans="1:5" ht="31.5">
      <c r="A37" s="1359"/>
      <c r="B37" s="4227"/>
      <c r="C37" s="1378" t="s">
        <v>1162</v>
      </c>
      <c r="D37" s="1383" t="str">
        <f ca="1">IF('数据-取费表'!B3="万元",NUMBERSTRING(INT(D36*10000),2)&amp;"元整",NUMBERSTRING(INT(D36),2)&amp;"元整")</f>
        <v>伍佰捌拾肆万捌仟肆佰零叁元整</v>
      </c>
      <c r="E37" s="1359"/>
    </row>
    <row r="38" spans="1:5" ht="15.75">
      <c r="A38" s="1359"/>
      <c r="B38" s="4227"/>
      <c r="C38" s="1369" t="s">
        <v>1166</v>
      </c>
      <c r="D38" s="1380">
        <f ca="1">IF('数据-取费表'!E3="否",结果表!D113,'结果表 (1修多)'!D117)</f>
        <v>5373</v>
      </c>
      <c r="E38" s="1359"/>
    </row>
    <row r="39" spans="1:5" ht="15.75">
      <c r="A39" s="1359"/>
      <c r="B39" s="4228" t="str">
        <f>B18</f>
        <v>——</v>
      </c>
      <c r="C39" s="1381" t="str">
        <f>C28</f>
        <v>总价</v>
      </c>
      <c r="D39" s="1382" t="str">
        <f>IF('数据-取费表'!E3="否",结果表!I112,'结果表 (1修多)'!I114)</f>
        <v>——</v>
      </c>
      <c r="E39" s="1359"/>
    </row>
    <row r="40" spans="1:5" ht="15.75">
      <c r="A40" s="1359"/>
      <c r="B40" s="4228"/>
      <c r="C40" s="1378" t="s">
        <v>1162</v>
      </c>
      <c r="D40" s="1383" t="e">
        <f>IF('数据-取费表'!B3="万元",NUMBERSTRING(INT(D39*10000),2)&amp;"元整",NUMBERSTRING(INT(D39),2)&amp;"元整")</f>
        <v>#VALUE!</v>
      </c>
      <c r="E40" s="1359"/>
    </row>
    <row r="41" spans="1:5" ht="15.75">
      <c r="A41" s="1359"/>
      <c r="B41" s="4228"/>
      <c r="C41" s="1369" t="s">
        <v>1166</v>
      </c>
      <c r="D41" s="1380" t="str">
        <f>IF('数据-取费表'!E3="否",结果表!D115,'结果表 (1修多)'!D119)</f>
        <v>——</v>
      </c>
      <c r="E41" s="1359"/>
    </row>
    <row r="42" spans="1:5" ht="15.75">
      <c r="A42" s="1359"/>
      <c r="B42" s="4227" t="str">
        <f>B21</f>
        <v>——</v>
      </c>
      <c r="C42" s="1381" t="str">
        <f>C28</f>
        <v>总价</v>
      </c>
      <c r="D42" s="1382" t="str">
        <f>IF('数据-取费表'!E3="否",结果表!I114,'结果表 (1修多)'!I116)</f>
        <v>——</v>
      </c>
      <c r="E42" s="1359"/>
    </row>
    <row r="43" spans="1:5" ht="15.75">
      <c r="A43" s="1359"/>
      <c r="B43" s="4229"/>
      <c r="C43" s="1378" t="s">
        <v>1162</v>
      </c>
      <c r="D43" s="1384" t="e">
        <f>IF('数据-取费表'!B3="万元",NUMBERSTRING(INT(D42*10000),2)&amp;"元整",NUMBERSTRING(INT(D42),2)&amp;"元整")</f>
        <v>#VALUE!</v>
      </c>
      <c r="E43" s="1359"/>
    </row>
    <row r="44" spans="1:5" ht="16.5" thickBot="1">
      <c r="A44" s="1359"/>
      <c r="B44" s="4230"/>
      <c r="C44" s="1374" t="s">
        <v>1166</v>
      </c>
      <c r="D44" s="1385" t="str">
        <f ca="1">IF('数据-取费表'!E3="否",结果表!D117,'结果表 (1修多)'!D121)</f>
        <v>——</v>
      </c>
      <c r="E44" s="1359"/>
    </row>
    <row r="45" spans="1:5" ht="15" thickTop="1">
      <c r="A45" s="1359"/>
      <c r="B45" s="1359" t="str">
        <f>IF('数据-取费表'!B3="元","单位：元、元/平方米（单位：人民币）","单位：万元、元/平方米（单位：人民币）")</f>
        <v>单位：元、元/平方米（单位：人民币）</v>
      </c>
      <c r="C45" s="1359"/>
      <c r="D45" s="1359"/>
      <c r="E45" s="1359"/>
    </row>
    <row r="46" spans="1:5" ht="18">
      <c r="B46" s="1386" t="s">
        <v>1149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5"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rgb="FF002060"/>
  </sheetPr>
  <dimension ref="A1:I26"/>
  <sheetViews>
    <sheetView view="pageLayout" zoomScale="90" zoomScalePageLayoutView="90" workbookViewId="0">
      <selection activeCell="A21" sqref="A21"/>
    </sheetView>
  </sheetViews>
  <sheetFormatPr defaultColWidth="9" defaultRowHeight="14.25"/>
  <cols>
    <col min="1" max="1" width="29.875" style="1344" customWidth="1"/>
    <col min="2" max="9" width="12.125" style="1344" customWidth="1"/>
    <col min="10" max="16384" width="9" style="1344"/>
  </cols>
  <sheetData>
    <row r="1" spans="1:9" ht="16.5" thickBot="1">
      <c r="A1" s="4253" t="str">
        <f>IF(项目基本情况!D5="房地产市场价值","估价结果一览表","结果表-2")</f>
        <v>估价结果一览表</v>
      </c>
      <c r="B1" s="4253"/>
      <c r="C1" s="4253"/>
      <c r="D1" s="4253"/>
      <c r="E1" s="4253"/>
      <c r="F1" s="4253"/>
      <c r="G1" s="4253"/>
      <c r="H1" s="4253"/>
      <c r="I1" s="4253"/>
    </row>
    <row r="2" spans="1:9" ht="30" customHeight="1" thickTop="1">
      <c r="A2" s="4254" t="s">
        <v>1261</v>
      </c>
      <c r="B2" s="4254" t="s">
        <v>1262</v>
      </c>
      <c r="C2" s="4254" t="s">
        <v>1263</v>
      </c>
      <c r="D2" s="4254" t="str">
        <f>IF('数据-取费表'!E3="否",结果表!D119,'结果表 (1修多)'!D123)</f>
        <v>出让国有建设用地使用权价值</v>
      </c>
      <c r="E2" s="4254"/>
      <c r="F2" s="4254" t="s">
        <v>1264</v>
      </c>
      <c r="G2" s="4254"/>
      <c r="H2" s="4254" t="s">
        <v>1265</v>
      </c>
      <c r="I2" s="4254"/>
    </row>
    <row r="3" spans="1:9" ht="15">
      <c r="A3" s="4247"/>
      <c r="B3" s="4247"/>
      <c r="C3" s="4247"/>
      <c r="D3" s="818" t="s">
        <v>1266</v>
      </c>
      <c r="E3" s="818" t="s">
        <v>1267</v>
      </c>
      <c r="F3" s="818" t="s">
        <v>1266</v>
      </c>
      <c r="G3" s="818" t="s">
        <v>1268</v>
      </c>
      <c r="H3" s="818" t="s">
        <v>1266</v>
      </c>
      <c r="I3" s="818" t="s">
        <v>1268</v>
      </c>
    </row>
    <row r="4" spans="1:9" ht="46.5" customHeight="1">
      <c r="A4" s="818" t="str">
        <f>项目基本情况!I1</f>
        <v>北京市房地产</v>
      </c>
      <c r="B4" s="818">
        <f>结果表!B121</f>
        <v>1088.48</v>
      </c>
      <c r="C4" s="818">
        <f>结果表!C121</f>
        <v>0</v>
      </c>
      <c r="D4" s="818">
        <f ca="1">IF('数据-取费表'!E3="否",结果表!D121,'结果表 (1修多)'!D125)</f>
        <v>16322846</v>
      </c>
      <c r="E4" s="818">
        <f ca="1">IF('数据-取费表'!E3="否",结果表!E121,'结果表 (1修多)'!E125)</f>
        <v>14996</v>
      </c>
      <c r="F4" s="818">
        <f ca="1">IF('数据-取费表'!E3="否",结果表!F121,'结果表 (1修多)'!F125)</f>
        <v>-10474443</v>
      </c>
      <c r="G4" s="818">
        <f ca="1">IF('数据-取费表'!E3="否",结果表!G121,'结果表 (1修多)'!G125)</f>
        <v>-9623</v>
      </c>
      <c r="H4" s="818">
        <f ca="1">IF('数据-取费表'!E3="否",结果表!H121,'结果表 (1修多)'!H125)</f>
        <v>5848403</v>
      </c>
      <c r="I4" s="818">
        <f ca="1">IF('数据-取费表'!E3="否",结果表!I121,'结果表 (1修多)'!I125)</f>
        <v>5373</v>
      </c>
    </row>
    <row r="5" spans="1:9" ht="15">
      <c r="A5" s="4247" t="s">
        <v>1269</v>
      </c>
      <c r="B5" s="4247"/>
      <c r="C5" s="4247"/>
      <c r="D5" s="4248" t="str">
        <f ca="1">IF('数据-取费表'!E3="否",结果表!D122,'结果表 (1修多)'!D126)</f>
        <v>壹仟陆佰叁拾贰万贰仟捌佰肆拾陆元整</v>
      </c>
      <c r="E5" s="4248"/>
      <c r="F5" s="4248" t="e">
        <f ca="1">IF('数据-取费表'!E3="否",结果表!F122,'结果表 (1修多)'!F126)</f>
        <v>#NUM!</v>
      </c>
      <c r="G5" s="4248"/>
      <c r="H5" s="4248" t="str">
        <f ca="1">IF('数据-取费表'!E3="否",结果表!H122,'结果表 (1修多)'!H126)</f>
        <v>伍佰捌拾肆万捌仟肆佰零叁元整</v>
      </c>
      <c r="I5" s="4248"/>
    </row>
    <row r="6" spans="1:9" ht="15.75">
      <c r="A6" s="4249" t="str">
        <f>IF('数据-取费表'!E3="否",结果表!A123,'结果表 (1修多)'!A127)</f>
        <v>——</v>
      </c>
      <c r="B6" s="4249"/>
      <c r="C6" s="4249"/>
      <c r="D6" s="4249">
        <f>IF('数据-取费表'!E3="否",结果表!D123,'结果表 (1修多)'!D127)</f>
        <v>0</v>
      </c>
      <c r="E6" s="4249"/>
      <c r="F6" s="4249"/>
      <c r="G6" s="4249"/>
      <c r="H6" s="4249"/>
      <c r="I6" s="4249"/>
    </row>
    <row r="7" spans="1:9" ht="15">
      <c r="A7" s="4247" t="s">
        <v>1269</v>
      </c>
      <c r="B7" s="4247"/>
      <c r="C7" s="4247"/>
      <c r="D7" s="4255">
        <f>IF('数据-取费表'!E3="否",结果表!D124,'结果表 (1修多)'!D128)</f>
        <v>0</v>
      </c>
      <c r="E7" s="4256"/>
      <c r="F7" s="4256"/>
      <c r="G7" s="4256"/>
      <c r="H7" s="4256"/>
      <c r="I7" s="4257"/>
    </row>
    <row r="8" spans="1:9" ht="15.75">
      <c r="A8" s="4249" t="str">
        <f>IF('数据-取费表'!E3="否",结果表!A125,'结果表 (1修多)'!A129)</f>
        <v>——</v>
      </c>
      <c r="B8" s="4249"/>
      <c r="C8" s="4249"/>
      <c r="D8" s="4249">
        <f ca="1">IF('数据-取费表'!E3="否",结果表!D125,'结果表 (1修多)'!D129)</f>
        <v>5848403</v>
      </c>
      <c r="E8" s="4249"/>
      <c r="F8" s="4249"/>
      <c r="G8" s="4249"/>
      <c r="H8" s="4249"/>
      <c r="I8" s="4249"/>
    </row>
    <row r="9" spans="1:9" ht="15">
      <c r="A9" s="4247" t="s">
        <v>1269</v>
      </c>
      <c r="B9" s="4247"/>
      <c r="C9" s="4247"/>
      <c r="D9" s="4248">
        <f ca="1">IF('数据-取费表'!E3="否",结果表!D126,'结果表 (1修多)'!D130)</f>
        <v>5373</v>
      </c>
      <c r="E9" s="4248"/>
      <c r="F9" s="4248"/>
      <c r="G9" s="4248"/>
      <c r="H9" s="4248"/>
      <c r="I9" s="4248"/>
    </row>
    <row r="10" spans="1:9" ht="15.75">
      <c r="A10" s="4249" t="str">
        <f>IF('数据-取费表'!E3="否",结果表!A127,'结果表 (1修多)'!A131)</f>
        <v>——</v>
      </c>
      <c r="B10" s="4249"/>
      <c r="C10" s="4249"/>
      <c r="D10" s="4249" t="str">
        <f>IF('数据-取费表'!E3="否",结果表!D127,'结果表 (1修多)'!D130)</f>
        <v>——</v>
      </c>
      <c r="E10" s="4249"/>
      <c r="F10" s="4249"/>
      <c r="G10" s="4249"/>
      <c r="H10" s="4249"/>
      <c r="I10" s="4249"/>
    </row>
    <row r="11" spans="1:9" ht="15">
      <c r="A11" s="4247" t="s">
        <v>1269</v>
      </c>
      <c r="B11" s="4247"/>
      <c r="C11" s="4247"/>
      <c r="D11" s="4248" t="str">
        <f>IF('数据-取费表'!E3="否",结果表!D128,'结果表 (1修多)'!D132)</f>
        <v>——</v>
      </c>
      <c r="E11" s="4248"/>
      <c r="F11" s="4248"/>
      <c r="G11" s="4248"/>
      <c r="H11" s="4248"/>
      <c r="I11" s="4248"/>
    </row>
    <row r="12" spans="1:9" ht="15.75">
      <c r="A12" s="4249" t="str">
        <f>IF('数据-取费表'!E3="否",结果表!A129,'结果表 (1修多)'!A133)</f>
        <v>——</v>
      </c>
      <c r="B12" s="4249"/>
      <c r="C12" s="4249"/>
      <c r="D12" s="4249" t="str">
        <f>IF('数据-取费表'!E3="否",结果表!D129,'结果表 (1修多)'!D133)</f>
        <v>——</v>
      </c>
      <c r="E12" s="4249"/>
      <c r="F12" s="4249"/>
      <c r="G12" s="4249"/>
      <c r="H12" s="4249"/>
      <c r="I12" s="4249"/>
    </row>
    <row r="13" spans="1:9" ht="15.75" thickBot="1">
      <c r="A13" s="4250" t="s">
        <v>1269</v>
      </c>
      <c r="B13" s="4250"/>
      <c r="C13" s="4250"/>
      <c r="D13" s="4251">
        <f>IF('数据-取费表'!E3="否",结果表!D130,'结果表 (1修多)'!D134)</f>
        <v>0</v>
      </c>
      <c r="E13" s="4251"/>
      <c r="F13" s="4251"/>
      <c r="G13" s="4251"/>
      <c r="H13" s="4251"/>
      <c r="I13" s="4251"/>
    </row>
    <row r="14" spans="1:9" ht="15" thickTop="1">
      <c r="A14" s="4252" t="str">
        <f>IF('数据-取费表'!E3="否",结果表!A131,'结果表 (1修多)'!A135)</f>
        <v>单位：平方米、元、元/平方米（币种：人民币）</v>
      </c>
      <c r="B14" s="4252"/>
      <c r="C14" s="4252"/>
      <c r="D14" s="4252"/>
      <c r="E14" s="4252"/>
      <c r="F14" s="4252"/>
      <c r="G14" s="4252"/>
      <c r="H14" s="4252"/>
      <c r="I14" s="4252"/>
    </row>
    <row r="15" spans="1:9">
      <c r="A15" s="605"/>
      <c r="B15" s="605"/>
      <c r="C15" s="605"/>
      <c r="D15" s="605"/>
      <c r="E15" s="605"/>
      <c r="F15" s="605"/>
      <c r="G15" s="605"/>
      <c r="H15" s="605"/>
      <c r="I15" s="605"/>
    </row>
    <row r="16" spans="1:9" ht="18.75">
      <c r="A16" s="1387"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6"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rgb="FF002060"/>
  </sheetPr>
  <dimension ref="A1:D29"/>
  <sheetViews>
    <sheetView view="pageLayout" zoomScale="80" zoomScaleSheetLayoutView="90" zoomScalePageLayoutView="80" workbookViewId="0">
      <selection activeCell="A26" sqref="A26"/>
    </sheetView>
  </sheetViews>
  <sheetFormatPr defaultColWidth="9" defaultRowHeight="14.25"/>
  <cols>
    <col min="1" max="1" width="15.125" style="1344" customWidth="1"/>
    <col min="2" max="2" width="24" style="1344" customWidth="1"/>
    <col min="3" max="3" width="23.125" style="1344" customWidth="1"/>
    <col min="4" max="4" width="21" style="1344" customWidth="1"/>
    <col min="5" max="16384" width="9" style="1344"/>
  </cols>
  <sheetData>
    <row r="1" spans="1:4" ht="18.75">
      <c r="A1" s="4259" t="s">
        <v>1282</v>
      </c>
      <c r="B1" s="4259"/>
      <c r="C1" s="4259"/>
      <c r="D1" s="4259"/>
    </row>
    <row r="2" spans="1:4" ht="18">
      <c r="A2" s="4258" t="s">
        <v>1271</v>
      </c>
      <c r="B2" s="4258"/>
      <c r="C2" s="4258"/>
      <c r="D2" s="4258"/>
    </row>
    <row r="3" spans="1:4" ht="18.75">
      <c r="A3" s="1388" t="s">
        <v>1272</v>
      </c>
      <c r="B3" s="1388" t="s">
        <v>1273</v>
      </c>
      <c r="C3" s="1388" t="s">
        <v>1274</v>
      </c>
      <c r="D3" s="1388" t="s">
        <v>1275</v>
      </c>
    </row>
    <row r="4" spans="1:4" ht="56.25" customHeight="1">
      <c r="A4" s="1389">
        <f>项目基本情况!B3</f>
        <v>0</v>
      </c>
      <c r="B4" s="1390">
        <f>项目基本情况!C3</f>
        <v>0</v>
      </c>
      <c r="C4" s="1391"/>
      <c r="D4" s="1392" t="s">
        <v>1283</v>
      </c>
    </row>
    <row r="5" spans="1:4" ht="56.25" customHeight="1">
      <c r="A5" s="1389">
        <f>项目基本情况!D3</f>
        <v>0</v>
      </c>
      <c r="B5" s="1390">
        <f>项目基本情况!E3</f>
        <v>0</v>
      </c>
      <c r="C5" s="1393"/>
      <c r="D5" s="1392" t="s">
        <v>1283</v>
      </c>
    </row>
    <row r="6" spans="1:4" ht="12" customHeight="1">
      <c r="A6" s="1389"/>
      <c r="B6" s="1390"/>
      <c r="C6" s="1394"/>
      <c r="D6" s="1392"/>
    </row>
    <row r="7" spans="1:4" ht="18">
      <c r="A7" s="4258" t="s">
        <v>1276</v>
      </c>
      <c r="B7" s="4258"/>
      <c r="C7" s="4258"/>
      <c r="D7" s="4258"/>
    </row>
    <row r="8" spans="1:4" ht="18.75">
      <c r="A8" s="1388" t="s">
        <v>1272</v>
      </c>
      <c r="B8" s="1390" t="s">
        <v>1277</v>
      </c>
      <c r="C8" s="1388" t="s">
        <v>1274</v>
      </c>
      <c r="D8" s="1388" t="s">
        <v>1275</v>
      </c>
    </row>
    <row r="9" spans="1:4" ht="56.25" customHeight="1">
      <c r="A9" s="1395" t="s">
        <v>777</v>
      </c>
      <c r="B9" s="1395" t="s">
        <v>778</v>
      </c>
      <c r="C9" s="1391"/>
      <c r="D9" s="1392" t="s">
        <v>1283</v>
      </c>
    </row>
    <row r="11" spans="1:4" ht="18.75">
      <c r="A11" s="1396" t="s">
        <v>1278</v>
      </c>
    </row>
    <row r="12" spans="1:4" ht="30" customHeight="1">
      <c r="A12" s="4260" t="s">
        <v>2731</v>
      </c>
      <c r="B12" s="4261"/>
      <c r="C12" s="4261"/>
      <c r="D12" s="4261"/>
    </row>
    <row r="13" spans="1:4" ht="15.75">
      <c r="A13" s="426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4261"/>
      <c r="C13" s="4261"/>
      <c r="D13" s="4261"/>
    </row>
    <row r="14" spans="1:4" ht="30" customHeight="1">
      <c r="A14" s="4260" t="str">
        <f>IF(项目基本情况!D4="抵押","3.抵押双方在办理抵押登记手续时，应使用本公司出具的正式《不动产估价报告书》，特提醒报告使用者注意。","——")</f>
        <v>——</v>
      </c>
      <c r="B14" s="4261"/>
      <c r="C14" s="4261"/>
      <c r="D14" s="4261"/>
    </row>
    <row r="15" spans="1:4" ht="15.75" customHeight="1">
      <c r="A15" s="4260" t="str">
        <f>IF(项目基本情况!D4="抵押","4.本次评估估价师所知悉的法定优先受偿款情况说明如下：","——")</f>
        <v>——</v>
      </c>
      <c r="B15" s="4261"/>
      <c r="C15" s="4261"/>
      <c r="D15" s="4261"/>
    </row>
    <row r="16" spans="1:4" ht="75" customHeight="1">
      <c r="A16" s="4260" t="str">
        <f>IF(项目基本情况!D4="抵押",CONCATENATE(项目基本情况!J13,项目基本情况!J14,项目基本情况!J15),"——")</f>
        <v>——</v>
      </c>
      <c r="B16" s="4260"/>
      <c r="C16" s="4260"/>
      <c r="D16" s="4260"/>
    </row>
    <row r="17" spans="1:4" ht="63.75" customHeight="1">
      <c r="A17" s="4262" t="s">
        <v>1284</v>
      </c>
      <c r="B17" s="4262"/>
      <c r="C17" s="4262"/>
      <c r="D17" s="4262"/>
    </row>
    <row r="18" spans="1:4" ht="15.75" customHeight="1">
      <c r="A18" s="4260" t="str">
        <f>IF(项目基本情况!D4="抵押",结果表!L106,"——")</f>
        <v>——</v>
      </c>
      <c r="B18" s="4260"/>
      <c r="C18" s="4260"/>
      <c r="D18" s="4260"/>
    </row>
    <row r="19" spans="1:4" ht="46.5" customHeight="1">
      <c r="A19" s="426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4260"/>
      <c r="C19" s="4260"/>
      <c r="D19" s="4260"/>
    </row>
    <row r="20" spans="1:4" ht="15">
      <c r="A20" s="4262" t="s">
        <v>2732</v>
      </c>
      <c r="B20" s="4262"/>
      <c r="C20" s="4262"/>
      <c r="D20" s="4262"/>
    </row>
    <row r="21" spans="1:4">
      <c r="A21" s="1397"/>
      <c r="B21" s="980"/>
      <c r="C21" s="980"/>
      <c r="D21" s="980"/>
    </row>
    <row r="22" spans="1:4">
      <c r="A22" s="1397"/>
      <c r="B22" s="980"/>
      <c r="C22" s="980"/>
      <c r="D22" s="980"/>
    </row>
    <row r="23" spans="1:4" ht="18.75">
      <c r="A23" s="1358" t="s">
        <v>1279</v>
      </c>
    </row>
    <row r="24" spans="1:4" ht="18">
      <c r="A24" s="1358"/>
    </row>
    <row r="25" spans="1:4" ht="18.75">
      <c r="A25" s="1358" t="s">
        <v>1280</v>
      </c>
    </row>
    <row r="28" spans="1:4" ht="21" customHeight="1">
      <c r="D28" s="1398" t="s">
        <v>1281</v>
      </c>
    </row>
    <row r="29" spans="1:4" ht="21" customHeight="1">
      <c r="C29" s="1399"/>
      <c r="D29" s="140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5"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406" customWidth="1"/>
    <col min="2" max="16384" width="14.5" style="605"/>
  </cols>
  <sheetData>
    <row r="1" spans="1:7" s="1387" customFormat="1" ht="18.75">
      <c r="A1" s="603" t="s">
        <v>1351</v>
      </c>
    </row>
    <row r="3" spans="1:7" ht="14.25">
      <c r="A3" s="1404" t="s">
        <v>1352</v>
      </c>
      <c r="B3" s="605" t="s">
        <v>1353</v>
      </c>
      <c r="G3" s="1405"/>
    </row>
    <row r="4" spans="1:7">
      <c r="G4" s="1405"/>
    </row>
    <row r="5" spans="1:7" ht="14.25">
      <c r="A5" s="1407" t="s">
        <v>1354</v>
      </c>
      <c r="B5" s="605" t="s">
        <v>1355</v>
      </c>
      <c r="G5" s="1405"/>
    </row>
    <row r="6" spans="1:7">
      <c r="G6" s="1405"/>
    </row>
    <row r="7" spans="1:7" ht="14.25">
      <c r="A7" s="1408" t="s">
        <v>1356</v>
      </c>
      <c r="B7" s="605" t="s">
        <v>1357</v>
      </c>
      <c r="G7" s="1405"/>
    </row>
    <row r="8" spans="1:7">
      <c r="G8" s="1405"/>
    </row>
    <row r="9" spans="1:7">
      <c r="A9" s="1409" t="s">
        <v>1358</v>
      </c>
      <c r="B9" s="605" t="s">
        <v>1359</v>
      </c>
    </row>
    <row r="11" spans="1:7">
      <c r="A11" s="1410" t="s">
        <v>1360</v>
      </c>
      <c r="B11" s="1411" t="s">
        <v>1361</v>
      </c>
    </row>
    <row r="13" spans="1:7">
      <c r="A13" s="1190" t="s">
        <v>1362</v>
      </c>
    </row>
    <row r="15" spans="1:7" ht="14.25">
      <c r="A15" s="4268" t="s">
        <v>1363</v>
      </c>
      <c r="B15" s="4263" t="s">
        <v>1364</v>
      </c>
      <c r="C15" s="4264"/>
    </row>
    <row r="16" spans="1:7" ht="14.25">
      <c r="A16" s="4269"/>
      <c r="B16" s="4263" t="s">
        <v>1365</v>
      </c>
      <c r="C16" s="4264"/>
    </row>
    <row r="17" spans="1:3" ht="14.25">
      <c r="A17" s="4269"/>
      <c r="B17" s="4263" t="s">
        <v>1366</v>
      </c>
      <c r="C17" s="4264"/>
    </row>
    <row r="18" spans="1:3" ht="14.25">
      <c r="A18" s="4270"/>
      <c r="B18" s="4265" t="s">
        <v>1367</v>
      </c>
      <c r="C18" s="4264"/>
    </row>
    <row r="19" spans="1:3" ht="14.25">
      <c r="A19" s="1412" t="s">
        <v>1368</v>
      </c>
      <c r="B19" s="1413"/>
      <c r="C19" s="1414"/>
    </row>
    <row r="20" spans="1:3" ht="14.25">
      <c r="A20" s="4266" t="s">
        <v>1369</v>
      </c>
      <c r="B20" s="4265" t="s">
        <v>1370</v>
      </c>
      <c r="C20" s="4264"/>
    </row>
    <row r="21" spans="1:3" ht="14.25">
      <c r="A21" s="4266"/>
      <c r="B21" s="4265" t="s">
        <v>1371</v>
      </c>
      <c r="C21" s="4264"/>
    </row>
    <row r="22" spans="1:3" ht="14.25">
      <c r="A22" s="4266"/>
      <c r="B22" s="4265" t="s">
        <v>1372</v>
      </c>
      <c r="C22" s="4264"/>
    </row>
    <row r="23" spans="1:3" ht="14.25">
      <c r="A23" s="4266"/>
      <c r="B23" s="4267" t="s">
        <v>1373</v>
      </c>
      <c r="C23" s="1415" t="s">
        <v>1374</v>
      </c>
    </row>
    <row r="24" spans="1:3" ht="14.25">
      <c r="A24" s="4266"/>
      <c r="B24" s="4267"/>
      <c r="C24" s="1415" t="s">
        <v>1375</v>
      </c>
    </row>
    <row r="25" spans="1:3" ht="14.25">
      <c r="A25" s="4266"/>
      <c r="B25" s="4267"/>
      <c r="C25" s="1415" t="s">
        <v>1376</v>
      </c>
    </row>
    <row r="26" spans="1:3" ht="14.25">
      <c r="A26" s="4266"/>
      <c r="B26" s="4267"/>
      <c r="C26" s="1415" t="s">
        <v>1377</v>
      </c>
    </row>
    <row r="27" spans="1:3" ht="14.25">
      <c r="A27" s="4266"/>
      <c r="B27" s="4267"/>
      <c r="C27" s="1415" t="s">
        <v>1378</v>
      </c>
    </row>
    <row r="28" spans="1:3" ht="14.25">
      <c r="A28" s="4266"/>
      <c r="B28" s="4267"/>
      <c r="C28" s="1415" t="s">
        <v>1379</v>
      </c>
    </row>
    <row r="29" spans="1:3" ht="14.25">
      <c r="A29" s="4266"/>
      <c r="B29" s="4267"/>
      <c r="C29" s="1415" t="s">
        <v>1380</v>
      </c>
    </row>
    <row r="30" spans="1:3" ht="14.25">
      <c r="A30" s="4266"/>
      <c r="B30" s="4267"/>
      <c r="C30" s="1415" t="s">
        <v>1381</v>
      </c>
    </row>
    <row r="31" spans="1:3" ht="14.25">
      <c r="A31" s="4266"/>
      <c r="B31" s="4267"/>
      <c r="C31" s="1415" t="s">
        <v>1382</v>
      </c>
    </row>
    <row r="32" spans="1:3">
      <c r="A32" s="1416"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pageSetUpPr fitToPage="1"/>
  </sheetPr>
  <dimension ref="A1:H22"/>
  <sheetViews>
    <sheetView view="pageBreakPreview" zoomScale="60" workbookViewId="0">
      <selection activeCell="E24" sqref="E24"/>
    </sheetView>
  </sheetViews>
  <sheetFormatPr defaultColWidth="22.625" defaultRowHeight="24" customHeight="1"/>
  <cols>
    <col min="1" max="1" width="24.625" style="3058" customWidth="1"/>
    <col min="2" max="2" width="38.625" style="3058" customWidth="1"/>
    <col min="3" max="3" width="26" style="3058" customWidth="1"/>
    <col min="4" max="4" width="35" style="3058" hidden="1" customWidth="1"/>
    <col min="5" max="5" width="30.125" style="3058" customWidth="1"/>
    <col min="6" max="6" width="35.5" style="3058" customWidth="1"/>
    <col min="7" max="7" width="31" style="3058" customWidth="1"/>
    <col min="8" max="8" width="37.5" style="3058" hidden="1" customWidth="1"/>
    <col min="9" max="16384" width="22.625" style="3058"/>
  </cols>
  <sheetData>
    <row r="1" spans="1:8" ht="24" customHeight="1">
      <c r="A1" s="3061"/>
      <c r="B1" s="3061"/>
      <c r="C1" s="3061"/>
      <c r="D1" s="3061"/>
      <c r="E1" s="3061"/>
      <c r="F1" s="3061"/>
      <c r="G1" s="3061"/>
      <c r="H1" s="3061"/>
    </row>
    <row r="2" spans="1:8" ht="24" customHeight="1">
      <c r="A2" s="3062" t="s">
        <v>746</v>
      </c>
      <c r="B2" s="3063">
        <f ca="1">TODAY()</f>
        <v>45065</v>
      </c>
      <c r="C2" s="3064" t="s">
        <v>747</v>
      </c>
      <c r="D2" s="3064"/>
      <c r="E2" s="3064"/>
      <c r="F2" s="3061"/>
      <c r="G2" s="3061"/>
      <c r="H2" s="3061"/>
    </row>
    <row r="3" spans="1:8" ht="24" customHeight="1">
      <c r="A3" s="3065" t="s">
        <v>748</v>
      </c>
      <c r="B3" s="3066" t="s">
        <v>749</v>
      </c>
      <c r="C3" s="3066" t="s">
        <v>750</v>
      </c>
      <c r="D3" s="3067" t="s">
        <v>772</v>
      </c>
      <c r="E3" s="3080" t="s">
        <v>751</v>
      </c>
      <c r="F3" s="1301" t="s">
        <v>752</v>
      </c>
      <c r="G3" s="3066" t="s">
        <v>750</v>
      </c>
      <c r="H3" s="3067" t="s">
        <v>773</v>
      </c>
    </row>
    <row r="4" spans="1:8" ht="24" customHeight="1">
      <c r="A4" s="1301" t="s">
        <v>753</v>
      </c>
      <c r="B4" s="1301" t="str">
        <f ca="1">IF(C4&lt;B2,"已过期",1119970066)</f>
        <v>已过期</v>
      </c>
      <c r="C4" s="3068">
        <v>44876</v>
      </c>
      <c r="D4" s="3079" t="str">
        <f ca="1">A4&amp;"（注册号："&amp;B4&amp;"）"</f>
        <v>梁津（注册号：已过期）</v>
      </c>
      <c r="E4" s="3081" t="s">
        <v>753</v>
      </c>
      <c r="F4" s="1301">
        <f ca="1">IF(G4&lt;B2,"已过期",96010014)</f>
        <v>96010014</v>
      </c>
      <c r="G4" s="3069">
        <v>47118</v>
      </c>
      <c r="H4" s="3070" t="str">
        <f ca="1">E4&amp;"（注册号："&amp;F4&amp;"）"</f>
        <v>梁津（注册号：96010014）</v>
      </c>
    </row>
    <row r="5" spans="1:8" ht="24" customHeight="1">
      <c r="A5" s="1301" t="s">
        <v>754</v>
      </c>
      <c r="B5" s="1301" t="str">
        <f ca="1">IF(C5&lt;B2,"已过期",1119970111)</f>
        <v>已过期</v>
      </c>
      <c r="C5" s="3068">
        <v>44876</v>
      </c>
      <c r="D5" s="3079" t="str">
        <f t="shared" ref="D5:D14" ca="1" si="0">A5&amp;"（注册号："&amp;B5&amp;"）"</f>
        <v>叶凌（注册号：已过期）</v>
      </c>
      <c r="E5" s="3081" t="s">
        <v>754</v>
      </c>
      <c r="F5" s="1301">
        <f ca="1">IF(G5&lt;B2,"已过期",94010078)</f>
        <v>94010078</v>
      </c>
      <c r="G5" s="3069">
        <v>46387</v>
      </c>
      <c r="H5" s="3070" t="str">
        <f t="shared" ref="H5:H16" ca="1" si="1">E5&amp;"（注册号："&amp;F5&amp;"）"</f>
        <v>叶凌（注册号：94010078）</v>
      </c>
    </row>
    <row r="6" spans="1:8" ht="24" customHeight="1">
      <c r="A6" s="1301" t="s">
        <v>755</v>
      </c>
      <c r="B6" s="1301" t="str">
        <f ca="1">IF(C6&lt;B2,"已过期",1120050019)</f>
        <v>已过期</v>
      </c>
      <c r="C6" s="3068">
        <v>44395</v>
      </c>
      <c r="D6" s="3079" t="str">
        <f t="shared" ca="1" si="0"/>
        <v>王鹏（注册号：已过期）</v>
      </c>
      <c r="E6" s="3081" t="s">
        <v>755</v>
      </c>
      <c r="F6" s="1301">
        <f ca="1">IF(G6&lt;B2,"已过期",2002110030)</f>
        <v>2002110030</v>
      </c>
      <c r="G6" s="3069">
        <v>46387</v>
      </c>
      <c r="H6" s="3070" t="str">
        <f t="shared" ca="1" si="1"/>
        <v>王鹏（注册号：2002110030）</v>
      </c>
    </row>
    <row r="7" spans="1:8" ht="24" customHeight="1">
      <c r="A7" s="1301" t="s">
        <v>756</v>
      </c>
      <c r="B7" s="1301" t="str">
        <f ca="1">IF(C7&lt;B2,"已过期",1120000080)</f>
        <v>已过期</v>
      </c>
      <c r="C7" s="3068">
        <v>44876</v>
      </c>
      <c r="D7" s="3079" t="str">
        <f t="shared" ca="1" si="0"/>
        <v>欧红伟（注册号：已过期）</v>
      </c>
      <c r="E7" s="3081" t="s">
        <v>756</v>
      </c>
      <c r="F7" s="1301">
        <f ca="1">IF(G7&lt;B2,"已过期",2000110082)</f>
        <v>2000110082</v>
      </c>
      <c r="G7" s="3069">
        <v>46387</v>
      </c>
      <c r="H7" s="3070" t="str">
        <f t="shared" ca="1" si="1"/>
        <v>欧红伟（注册号：2000110082）</v>
      </c>
    </row>
    <row r="8" spans="1:8" ht="24" customHeight="1">
      <c r="A8" s="1301" t="s">
        <v>757</v>
      </c>
      <c r="B8" s="1301" t="str">
        <f ca="1">IF(C8&lt;B2,"已过期",1419970001)</f>
        <v>已过期</v>
      </c>
      <c r="C8" s="3068">
        <v>44899</v>
      </c>
      <c r="D8" s="3079" t="str">
        <f t="shared" ca="1" si="0"/>
        <v>吴薇（注册号：已过期）</v>
      </c>
      <c r="E8" s="3081" t="s">
        <v>757</v>
      </c>
      <c r="F8" s="1301">
        <f ca="1">IF(G8&lt;B2,"已过期",2002110125)</f>
        <v>2002110125</v>
      </c>
      <c r="G8" s="3069">
        <v>47118</v>
      </c>
      <c r="H8" s="3070" t="str">
        <f t="shared" ca="1" si="1"/>
        <v>吴薇（注册号：2002110125）</v>
      </c>
    </row>
    <row r="9" spans="1:8" ht="24" customHeight="1">
      <c r="A9" s="1301" t="s">
        <v>758</v>
      </c>
      <c r="B9" s="1301" t="str">
        <f ca="1">IF(C9&lt;B2,"已过期",1120060040)</f>
        <v>已过期</v>
      </c>
      <c r="C9" s="3071">
        <v>44554</v>
      </c>
      <c r="D9" s="3079" t="str">
        <f t="shared" ca="1" si="0"/>
        <v>陈颖（注册号：已过期）</v>
      </c>
      <c r="E9" s="3081" t="s">
        <v>758</v>
      </c>
      <c r="F9" s="1301">
        <f ca="1">IF(G9&lt;B2,"已过期",2004110096)</f>
        <v>2004110096</v>
      </c>
      <c r="G9" s="3069">
        <v>47118</v>
      </c>
      <c r="H9" s="3070" t="str">
        <f t="shared" ca="1" si="1"/>
        <v>陈颖（注册号：2004110096）</v>
      </c>
    </row>
    <row r="10" spans="1:8" ht="24" customHeight="1">
      <c r="A10" s="1301" t="s">
        <v>759</v>
      </c>
      <c r="B10" s="1301" t="str">
        <f ca="1">IF(C10&lt;B2,"已过期",1120100036)</f>
        <v>已过期</v>
      </c>
      <c r="C10" s="3071">
        <v>44675</v>
      </c>
      <c r="D10" s="3079" t="str">
        <f t="shared" ca="1" si="0"/>
        <v>崔锴（注册号：已过期）</v>
      </c>
      <c r="E10" s="3081" t="s">
        <v>759</v>
      </c>
      <c r="F10" s="1301">
        <f ca="1">IF(G10&lt;B2,"已过期",2010110070)</f>
        <v>2010110070</v>
      </c>
      <c r="G10" s="3069">
        <v>47907</v>
      </c>
      <c r="H10" s="3070" t="str">
        <f t="shared" ca="1" si="1"/>
        <v>崔锴（注册号：2010110070）</v>
      </c>
    </row>
    <row r="11" spans="1:8" ht="24" customHeight="1">
      <c r="A11" s="1301" t="s">
        <v>760</v>
      </c>
      <c r="B11" s="1301" t="str">
        <f ca="1">IF(C11&lt;B2,"已过期",1120070131)</f>
        <v>已过期</v>
      </c>
      <c r="C11" s="3068">
        <v>44849</v>
      </c>
      <c r="D11" s="3079" t="str">
        <f t="shared" ca="1" si="0"/>
        <v>郑燚（注册号：已过期）</v>
      </c>
      <c r="E11" s="3081" t="s">
        <v>760</v>
      </c>
      <c r="F11" s="1301">
        <f ca="1">IF(G11&lt;B2,"已过期",2014110011)</f>
        <v>2014110011</v>
      </c>
      <c r="G11" s="3069">
        <v>49302</v>
      </c>
      <c r="H11" s="3070" t="str">
        <f t="shared" ca="1" si="1"/>
        <v>郑燚（注册号：2014110011）</v>
      </c>
    </row>
    <row r="12" spans="1:8" ht="24" customHeight="1">
      <c r="A12" s="1301" t="s">
        <v>2710</v>
      </c>
      <c r="B12" s="1301" t="str">
        <f ca="1">IF(C12&lt;B2,"已过期",1120040230)</f>
        <v>已过期</v>
      </c>
      <c r="C12" s="3071">
        <v>44864</v>
      </c>
      <c r="D12" s="3079" t="str">
        <f t="shared" ca="1" si="0"/>
        <v>苏海（注册号：已过期）</v>
      </c>
      <c r="E12" s="3081" t="s">
        <v>2710</v>
      </c>
      <c r="F12" s="1301">
        <f ca="1">IF(G12&lt;B2,"已过期",98030020)</f>
        <v>98030020</v>
      </c>
      <c r="G12" s="3069">
        <v>47118</v>
      </c>
      <c r="H12" s="3070" t="str">
        <f t="shared" ca="1" si="1"/>
        <v>苏海（注册号：98030020）</v>
      </c>
    </row>
    <row r="13" spans="1:8" ht="24" customHeight="1">
      <c r="A13" s="1301" t="s">
        <v>761</v>
      </c>
      <c r="B13" s="1301" t="str">
        <f ca="1">IF(C13&lt;B2,"已过期",1120020033)</f>
        <v>已过期</v>
      </c>
      <c r="C13" s="3068">
        <v>44339</v>
      </c>
      <c r="D13" s="3079" t="str">
        <f t="shared" ca="1" si="0"/>
        <v>刘敬东（注册号：已过期）</v>
      </c>
      <c r="E13" s="3081" t="s">
        <v>761</v>
      </c>
      <c r="F13" s="1301">
        <f ca="1">IF(G13&lt;B2,"已过期",2000110137)</f>
        <v>2000110137</v>
      </c>
      <c r="G13" s="3069">
        <v>46387</v>
      </c>
      <c r="H13" s="3070" t="str">
        <f t="shared" ca="1" si="1"/>
        <v>刘敬东（注册号：2000110137）</v>
      </c>
    </row>
    <row r="14" spans="1:8" ht="24" customHeight="1">
      <c r="A14" s="1301" t="s">
        <v>2724</v>
      </c>
      <c r="B14" s="1301" t="str">
        <f ca="1">IF(C14&lt;B2,"已过期",1119980106)</f>
        <v>已过期</v>
      </c>
      <c r="C14" s="3071">
        <v>44969</v>
      </c>
      <c r="D14" s="3079" t="str">
        <f t="shared" ca="1" si="0"/>
        <v>刘俊财（注册号：已过期）</v>
      </c>
      <c r="E14" s="3081" t="s">
        <v>2824</v>
      </c>
      <c r="F14" s="1301">
        <f ca="1">IF(G14&lt;B2,"已过期",96010063)</f>
        <v>96010063</v>
      </c>
      <c r="G14" s="3069">
        <v>47483</v>
      </c>
      <c r="H14" s="3070" t="str">
        <f t="shared" ca="1" si="1"/>
        <v>刘俊财（注册号：96010063）</v>
      </c>
    </row>
    <row r="15" spans="1:8" ht="24" customHeight="1">
      <c r="A15" s="1301"/>
      <c r="B15" s="1301"/>
      <c r="C15" s="3071"/>
      <c r="D15" s="3079" t="str">
        <f t="shared" ref="D15" si="2">A15&amp;"（注册号："&amp;B15&amp;"）"</f>
        <v>（注册号：）</v>
      </c>
      <c r="E15" s="3081" t="s">
        <v>2828</v>
      </c>
      <c r="F15" s="1301">
        <f ca="1">IF(G15&lt;B2,"已过期",2011110090)</f>
        <v>2011110090</v>
      </c>
      <c r="G15" s="3069">
        <v>48302</v>
      </c>
      <c r="H15" s="3070" t="str">
        <f t="shared" ref="H15" ca="1" si="3">E15&amp;"（注册号："&amp;F15&amp;"）"</f>
        <v>赵雯（注册号：2011110090）</v>
      </c>
    </row>
    <row r="16" spans="1:8" s="3059" customFormat="1" ht="24" customHeight="1">
      <c r="A16" s="1301"/>
      <c r="B16" s="1301"/>
      <c r="C16" s="1301"/>
      <c r="D16" s="3079" t="str">
        <f>A16&amp;"（注册号："&amp;B16&amp;"）"</f>
        <v>（注册号：）</v>
      </c>
      <c r="E16" s="3081"/>
      <c r="F16" s="1301"/>
      <c r="G16" s="1301"/>
      <c r="H16" s="3072" t="str">
        <f t="shared" si="1"/>
        <v>（注册号：）</v>
      </c>
    </row>
    <row r="17" spans="1:8" ht="24" customHeight="1">
      <c r="A17" s="4271" t="s">
        <v>762</v>
      </c>
      <c r="B17" s="4271"/>
      <c r="C17" s="4271"/>
      <c r="D17" s="4271"/>
      <c r="E17" s="4271"/>
      <c r="F17" s="4271"/>
      <c r="G17" s="4271"/>
      <c r="H17" s="4271"/>
    </row>
    <row r="18" spans="1:8" ht="24" customHeight="1">
      <c r="A18" s="4272" t="s">
        <v>763</v>
      </c>
      <c r="B18" s="4272"/>
      <c r="C18" s="4272"/>
      <c r="D18" s="3067"/>
      <c r="E18" s="4273" t="s">
        <v>764</v>
      </c>
      <c r="F18" s="4272"/>
      <c r="G18" s="4272"/>
    </row>
    <row r="19" spans="1:8" s="3057" customFormat="1" ht="24" customHeight="1">
      <c r="A19" s="3073" t="s">
        <v>765</v>
      </c>
      <c r="B19" s="3066" t="s">
        <v>766</v>
      </c>
      <c r="C19" s="3066" t="s">
        <v>767</v>
      </c>
      <c r="D19" s="3067"/>
      <c r="E19" s="3081" t="s">
        <v>765</v>
      </c>
      <c r="F19" s="3066" t="s">
        <v>766</v>
      </c>
      <c r="G19" s="3066" t="s">
        <v>767</v>
      </c>
    </row>
    <row r="20" spans="1:8" s="3057" customFormat="1" ht="24" customHeight="1">
      <c r="A20" s="3074" t="s">
        <v>2825</v>
      </c>
      <c r="B20" s="3074" t="s">
        <v>2826</v>
      </c>
      <c r="C20" s="3069">
        <v>44820</v>
      </c>
      <c r="D20" s="3082"/>
      <c r="E20" s="3084" t="s">
        <v>768</v>
      </c>
      <c r="F20" s="3074" t="s">
        <v>769</v>
      </c>
      <c r="G20" s="3075">
        <v>44377</v>
      </c>
    </row>
    <row r="21" spans="1:8" s="3057" customFormat="1" ht="24" customHeight="1">
      <c r="A21" s="3074"/>
      <c r="B21" s="3074"/>
      <c r="C21" s="3076"/>
      <c r="D21" s="3083"/>
      <c r="E21" s="3084" t="s">
        <v>770</v>
      </c>
      <c r="F21" s="3077" t="s">
        <v>2723</v>
      </c>
      <c r="G21" s="3078">
        <v>44012</v>
      </c>
    </row>
    <row r="22" spans="1:8" ht="24" customHeight="1">
      <c r="C22" s="3060"/>
      <c r="D22" s="3060"/>
      <c r="E22" s="3085"/>
      <c r="F22" s="3086"/>
      <c r="G22" s="3087" t="s">
        <v>2827</v>
      </c>
    </row>
  </sheetData>
  <sheetProtection password="CEE9" sheet="1" objects="1" scenarios="1" formatCells="0" formatColumns="0" formatRows="0"/>
  <mergeCells count="3">
    <mergeCell ref="A17:H17"/>
    <mergeCell ref="A18:C18"/>
    <mergeCell ref="E18:G18"/>
  </mergeCells>
  <phoneticPr fontId="82" type="noConversion"/>
  <conditionalFormatting sqref="D16 C4:D5 D7:D12 C13:D13 C12">
    <cfRule type="expression" dxfId="295" priority="108">
      <formula>AND($C4-TODAY()&lt;30,TODAY()&lt;$C4)</formula>
    </cfRule>
  </conditionalFormatting>
  <conditionalFormatting sqref="C20:D20">
    <cfRule type="expression" dxfId="294" priority="107">
      <formula>AND($C20-TODAY()&lt;30,TODAY()&lt;$C20)</formula>
    </cfRule>
  </conditionalFormatting>
  <conditionalFormatting sqref="C20:D20 G4 C4:D5 C13:D13">
    <cfRule type="cellIs" dxfId="293" priority="109" stopIfTrue="1" operator="lessThan">
      <formula>$B$2</formula>
    </cfRule>
  </conditionalFormatting>
  <conditionalFormatting sqref="G5 G7 G9">
    <cfRule type="cellIs" dxfId="292" priority="103" stopIfTrue="1" operator="lessThan">
      <formula>$B$2</formula>
    </cfRule>
  </conditionalFormatting>
  <conditionalFormatting sqref="C6:D6 D14 D16">
    <cfRule type="expression" dxfId="291" priority="101">
      <formula>AND($C6-TODAY()&lt;30,TODAY()&lt;$C6)</formula>
    </cfRule>
  </conditionalFormatting>
  <conditionalFormatting sqref="G6 G8 G10 C6:D6 D7:D12 D14 D16">
    <cfRule type="cellIs" dxfId="290" priority="102" stopIfTrue="1" operator="lessThan">
      <formula>$B$2</formula>
    </cfRule>
  </conditionalFormatting>
  <conditionalFormatting sqref="D12">
    <cfRule type="expression" dxfId="289" priority="95">
      <formula>AND($C12-TODAY()&lt;30,TODAY()&lt;$C12)</formula>
    </cfRule>
  </conditionalFormatting>
  <conditionalFormatting sqref="D12">
    <cfRule type="cellIs" dxfId="288" priority="96" stopIfTrue="1" operator="lessThan">
      <formula>$B$2</formula>
    </cfRule>
  </conditionalFormatting>
  <conditionalFormatting sqref="C13:D13">
    <cfRule type="expression" dxfId="287" priority="87">
      <formula>AND($C13-TODAY()&lt;30,TODAY()&lt;$C13)</formula>
    </cfRule>
  </conditionalFormatting>
  <conditionalFormatting sqref="C13:D13">
    <cfRule type="cellIs" dxfId="286" priority="88" stopIfTrue="1" operator="lessThan">
      <formula>$B$2</formula>
    </cfRule>
  </conditionalFormatting>
  <conditionalFormatting sqref="D14">
    <cfRule type="expression" dxfId="285" priority="77">
      <formula>AND($C14-TODAY()&lt;30,TODAY()&lt;$C14)</formula>
    </cfRule>
  </conditionalFormatting>
  <conditionalFormatting sqref="D14">
    <cfRule type="cellIs" dxfId="284" priority="78" stopIfTrue="1" operator="lessThan">
      <formula>$B$2</formula>
    </cfRule>
  </conditionalFormatting>
  <conditionalFormatting sqref="G13">
    <cfRule type="cellIs" dxfId="283" priority="73" stopIfTrue="1" operator="lessThan">
      <formula>$B$2</formula>
    </cfRule>
  </conditionalFormatting>
  <conditionalFormatting sqref="B4:B11 F4:F11 B13 F13:F14">
    <cfRule type="cellIs" dxfId="282" priority="70" stopIfTrue="1" operator="equal">
      <formula>"已过期"</formula>
    </cfRule>
  </conditionalFormatting>
  <conditionalFormatting sqref="G20">
    <cfRule type="expression" dxfId="281" priority="68">
      <formula>AND($E20-TODAY()&lt;30,TODAY()&lt;$E20)</formula>
    </cfRule>
  </conditionalFormatting>
  <conditionalFormatting sqref="G20">
    <cfRule type="cellIs" dxfId="280" priority="69" stopIfTrue="1" operator="lessThan">
      <formula>$B$2</formula>
    </cfRule>
  </conditionalFormatting>
  <conditionalFormatting sqref="C7">
    <cfRule type="expression" dxfId="279" priority="60">
      <formula>AND($C7-TODAY()&lt;30,TODAY()&lt;$C7)</formula>
    </cfRule>
  </conditionalFormatting>
  <conditionalFormatting sqref="C7">
    <cfRule type="cellIs" dxfId="278" priority="61" stopIfTrue="1" operator="lessThan">
      <formula>$B$2</formula>
    </cfRule>
  </conditionalFormatting>
  <conditionalFormatting sqref="C8">
    <cfRule type="expression" dxfId="277" priority="58">
      <formula>AND($C8-TODAY()&lt;30,TODAY()&lt;$C8)</formula>
    </cfRule>
  </conditionalFormatting>
  <conditionalFormatting sqref="C8">
    <cfRule type="cellIs" dxfId="276" priority="59" stopIfTrue="1" operator="lessThan">
      <formula>$B$2</formula>
    </cfRule>
  </conditionalFormatting>
  <conditionalFormatting sqref="C11">
    <cfRule type="expression" dxfId="275" priority="56">
      <formula>AND($C11-TODAY()&lt;30,TODAY()&lt;$C11)</formula>
    </cfRule>
  </conditionalFormatting>
  <conditionalFormatting sqref="C11">
    <cfRule type="cellIs" dxfId="274" priority="57" stopIfTrue="1" operator="lessThan">
      <formula>$B$2</formula>
    </cfRule>
  </conditionalFormatting>
  <conditionalFormatting sqref="A16:C16">
    <cfRule type="cellIs" dxfId="273" priority="46" stopIfTrue="1" operator="equal">
      <formula>"已过期"</formula>
    </cfRule>
  </conditionalFormatting>
  <conditionalFormatting sqref="E16:G16">
    <cfRule type="cellIs" dxfId="272" priority="45" stopIfTrue="1" operator="equal">
      <formula>"已过期"</formula>
    </cfRule>
  </conditionalFormatting>
  <conditionalFormatting sqref="G11">
    <cfRule type="cellIs" dxfId="271" priority="44" stopIfTrue="1" operator="lessThan">
      <formula>$B$2</formula>
    </cfRule>
  </conditionalFormatting>
  <conditionalFormatting sqref="F12">
    <cfRule type="cellIs" dxfId="270" priority="35" stopIfTrue="1" operator="equal">
      <formula>"已过期"</formula>
    </cfRule>
  </conditionalFormatting>
  <conditionalFormatting sqref="G12">
    <cfRule type="cellIs" dxfId="269" priority="34" stopIfTrue="1" operator="lessThan">
      <formula>$B$2</formula>
    </cfRule>
  </conditionalFormatting>
  <conditionalFormatting sqref="C12">
    <cfRule type="cellIs" dxfId="268" priority="33" stopIfTrue="1" operator="lessThan">
      <formula>$B$2</formula>
    </cfRule>
  </conditionalFormatting>
  <conditionalFormatting sqref="C12">
    <cfRule type="expression" dxfId="267" priority="30">
      <formula>AND($C12-TODAY()&lt;30,TODAY()&lt;$C12)</formula>
    </cfRule>
  </conditionalFormatting>
  <conditionalFormatting sqref="C12">
    <cfRule type="cellIs" dxfId="266" priority="31" stopIfTrue="1" operator="lessThan">
      <formula>$B$2</formula>
    </cfRule>
  </conditionalFormatting>
  <conditionalFormatting sqref="B12">
    <cfRule type="cellIs" dxfId="265" priority="27" stopIfTrue="1" operator="equal">
      <formula>"已过期"</formula>
    </cfRule>
  </conditionalFormatting>
  <conditionalFormatting sqref="C9:C10">
    <cfRule type="expression" dxfId="264" priority="22">
      <formula>AND($C9-TODAY()&lt;30,TODAY()&lt;$C9)</formula>
    </cfRule>
  </conditionalFormatting>
  <conditionalFormatting sqref="C9:C10">
    <cfRule type="cellIs" dxfId="263" priority="23" stopIfTrue="1" operator="lessThan">
      <formula>$B$2</formula>
    </cfRule>
  </conditionalFormatting>
  <conditionalFormatting sqref="G21">
    <cfRule type="expression" dxfId="262" priority="20" stopIfTrue="1">
      <formula>AND(#REF!-TODAY()&lt;30,TODAY()&lt;#REF!)</formula>
    </cfRule>
  </conditionalFormatting>
  <conditionalFormatting sqref="G21">
    <cfRule type="cellIs" dxfId="261" priority="21" stopIfTrue="1" operator="lessThan">
      <formula>$B$2</formula>
    </cfRule>
  </conditionalFormatting>
  <conditionalFormatting sqref="C14">
    <cfRule type="expression" dxfId="260" priority="16">
      <formula>AND($C14-TODAY()&lt;30,TODAY()&lt;$C14)</formula>
    </cfRule>
  </conditionalFormatting>
  <conditionalFormatting sqref="C14">
    <cfRule type="cellIs" dxfId="259" priority="17" stopIfTrue="1" operator="lessThan">
      <formula>$B$2</formula>
    </cfRule>
  </conditionalFormatting>
  <conditionalFormatting sqref="C14">
    <cfRule type="expression" dxfId="258" priority="14">
      <formula>AND($C14-TODAY()&lt;30,TODAY()&lt;$C14)</formula>
    </cfRule>
  </conditionalFormatting>
  <conditionalFormatting sqref="C14">
    <cfRule type="cellIs" dxfId="257" priority="15" stopIfTrue="1" operator="lessThan">
      <formula>$B$2</formula>
    </cfRule>
  </conditionalFormatting>
  <conditionalFormatting sqref="B14">
    <cfRule type="cellIs" dxfId="256" priority="13" stopIfTrue="1" operator="equal">
      <formula>"已过期"</formula>
    </cfRule>
  </conditionalFormatting>
  <conditionalFormatting sqref="G14">
    <cfRule type="cellIs" dxfId="255" priority="12" stopIfTrue="1" operator="lessThan">
      <formula>$B$2</formula>
    </cfRule>
  </conditionalFormatting>
  <conditionalFormatting sqref="D15">
    <cfRule type="expression" dxfId="254" priority="10">
      <formula>AND($C15-TODAY()&lt;30,TODAY()&lt;$C15)</formula>
    </cfRule>
  </conditionalFormatting>
  <conditionalFormatting sqref="D15">
    <cfRule type="cellIs" dxfId="253" priority="11" stopIfTrue="1" operator="lessThan">
      <formula>$B$2</formula>
    </cfRule>
  </conditionalFormatting>
  <conditionalFormatting sqref="D15">
    <cfRule type="expression" dxfId="252" priority="8">
      <formula>AND($C15-TODAY()&lt;30,TODAY()&lt;$C15)</formula>
    </cfRule>
  </conditionalFormatting>
  <conditionalFormatting sqref="D15">
    <cfRule type="cellIs" dxfId="251" priority="9" stopIfTrue="1" operator="lessThan">
      <formula>$B$2</formula>
    </cfRule>
  </conditionalFormatting>
  <conditionalFormatting sqref="F15">
    <cfRule type="cellIs" dxfId="250" priority="7" stopIfTrue="1" operator="equal">
      <formula>"已过期"</formula>
    </cfRule>
  </conditionalFormatting>
  <conditionalFormatting sqref="C15">
    <cfRule type="expression" dxfId="249" priority="5">
      <formula>AND($C15-TODAY()&lt;30,TODAY()&lt;$C15)</formula>
    </cfRule>
  </conditionalFormatting>
  <conditionalFormatting sqref="C15">
    <cfRule type="cellIs" dxfId="248" priority="6" stopIfTrue="1" operator="lessThan">
      <formula>$B$2</formula>
    </cfRule>
  </conditionalFormatting>
  <conditionalFormatting sqref="C15">
    <cfRule type="expression" dxfId="247" priority="3">
      <formula>AND($C15-TODAY()&lt;30,TODAY()&lt;$C15)</formula>
    </cfRule>
  </conditionalFormatting>
  <conditionalFormatting sqref="C15">
    <cfRule type="cellIs" dxfId="246" priority="4" stopIfTrue="1" operator="lessThan">
      <formula>$B$2</formula>
    </cfRule>
  </conditionalFormatting>
  <conditionalFormatting sqref="B15">
    <cfRule type="cellIs" dxfId="245" priority="2" stopIfTrue="1" operator="equal">
      <formula>"已过期"</formula>
    </cfRule>
  </conditionalFormatting>
  <conditionalFormatting sqref="G15">
    <cfRule type="cellIs" dxfId="244" priority="1" stopIfTrue="1" operator="lessThan">
      <formula>$B$2</formula>
    </cfRule>
  </conditionalFormatting>
  <pageMargins left="0.7" right="0.7" top="0.75" bottom="0.75" header="0.3" footer="0.3"/>
  <pageSetup paperSize="9" scale="6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62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7" t="s">
        <v>1384</v>
      </c>
      <c r="B1" s="4" t="s">
        <v>1385</v>
      </c>
      <c r="C1" s="1418" t="s">
        <v>1386</v>
      </c>
      <c r="D1" s="5" t="s">
        <v>1387</v>
      </c>
      <c r="E1" s="5" t="s">
        <v>1388</v>
      </c>
      <c r="F1" s="5" t="s">
        <v>1389</v>
      </c>
      <c r="G1" s="5" t="s">
        <v>1390</v>
      </c>
      <c r="H1" s="5" t="s">
        <v>1391</v>
      </c>
      <c r="I1" s="5" t="s">
        <v>1392</v>
      </c>
      <c r="J1" s="5" t="s">
        <v>1393</v>
      </c>
      <c r="K1" s="5" t="s">
        <v>1394</v>
      </c>
      <c r="L1" s="5" t="s">
        <v>1395</v>
      </c>
      <c r="M1" s="5" t="s">
        <v>1396</v>
      </c>
      <c r="N1" s="5" t="s">
        <v>1397</v>
      </c>
      <c r="O1" s="5" t="s">
        <v>1398</v>
      </c>
      <c r="P1" s="1419" t="s">
        <v>1399</v>
      </c>
      <c r="Q1" s="1419" t="s">
        <v>1400</v>
      </c>
      <c r="R1" s="1419" t="s">
        <v>1401</v>
      </c>
      <c r="S1" s="5" t="s">
        <v>1402</v>
      </c>
      <c r="T1" s="6" t="s">
        <v>1403</v>
      </c>
      <c r="U1" s="5" t="s">
        <v>1404</v>
      </c>
      <c r="V1" s="5" t="s">
        <v>1405</v>
      </c>
      <c r="W1" s="5" t="s">
        <v>1406</v>
      </c>
      <c r="X1" s="5" t="s">
        <v>1407</v>
      </c>
      <c r="Y1" s="5" t="s">
        <v>1408</v>
      </c>
    </row>
    <row r="2" spans="1:25">
      <c r="A2" s="1420" t="s">
        <v>33</v>
      </c>
      <c r="B2" s="1420" t="s">
        <v>1409</v>
      </c>
      <c r="C2" s="1421"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20" t="s">
        <v>1422</v>
      </c>
      <c r="B3" s="1422" t="s">
        <v>1423</v>
      </c>
      <c r="C3" s="967"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20" t="s">
        <v>1435</v>
      </c>
      <c r="B4" s="1422" t="s">
        <v>1436</v>
      </c>
      <c r="C4" s="1421"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20" t="s">
        <v>1446</v>
      </c>
      <c r="B5" s="1420" t="s">
        <v>1447</v>
      </c>
      <c r="C5" s="1421"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3"/>
    </row>
    <row r="6" spans="1:25">
      <c r="A6" s="1420" t="s">
        <v>1455</v>
      </c>
      <c r="B6" s="1420" t="s">
        <v>1456</v>
      </c>
      <c r="C6" s="954"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3"/>
    </row>
    <row r="7" spans="1:25">
      <c r="A7" s="1420" t="s">
        <v>1463</v>
      </c>
      <c r="B7" s="1422" t="s">
        <v>1464</v>
      </c>
      <c r="C7" s="1421" t="s">
        <v>1465</v>
      </c>
      <c r="F7" s="7" t="s">
        <v>1466</v>
      </c>
      <c r="H7" s="7" t="s">
        <v>1467</v>
      </c>
      <c r="I7" s="7" t="s">
        <v>1468</v>
      </c>
      <c r="X7" s="1423"/>
    </row>
    <row r="8" spans="1:25">
      <c r="A8" s="1420" t="s">
        <v>1469</v>
      </c>
      <c r="B8" s="1422" t="s">
        <v>1470</v>
      </c>
      <c r="C8" s="1421" t="s">
        <v>1471</v>
      </c>
      <c r="F8" s="7" t="s">
        <v>1472</v>
      </c>
      <c r="H8" s="7" t="s">
        <v>1473</v>
      </c>
      <c r="I8" s="7" t="s">
        <v>1474</v>
      </c>
      <c r="X8" s="1423"/>
    </row>
    <row r="9" spans="1:25">
      <c r="A9" s="1420" t="s">
        <v>1475</v>
      </c>
      <c r="B9" s="1420" t="s">
        <v>1476</v>
      </c>
      <c r="C9" s="1421" t="s">
        <v>1477</v>
      </c>
      <c r="F9" s="7" t="s">
        <v>1478</v>
      </c>
      <c r="H9" s="7" t="s">
        <v>1479</v>
      </c>
    </row>
    <row r="10" spans="1:25">
      <c r="A10" s="1420" t="s">
        <v>1480</v>
      </c>
      <c r="B10" s="1420" t="s">
        <v>1481</v>
      </c>
      <c r="C10" s="1421" t="s">
        <v>1482</v>
      </c>
      <c r="F10" s="7" t="s">
        <v>13</v>
      </c>
    </row>
    <row r="11" spans="1:25">
      <c r="A11" s="1420" t="s">
        <v>1483</v>
      </c>
      <c r="B11" s="1420" t="s">
        <v>1484</v>
      </c>
      <c r="C11" s="1421" t="s">
        <v>1485</v>
      </c>
    </row>
    <row r="12" spans="1:25">
      <c r="A12" s="1420" t="s">
        <v>1486</v>
      </c>
      <c r="B12" s="1420" t="s">
        <v>1487</v>
      </c>
      <c r="C12" s="1421" t="s">
        <v>1488</v>
      </c>
    </row>
    <row r="13" spans="1:25">
      <c r="A13" s="1420" t="s">
        <v>1489</v>
      </c>
      <c r="B13" s="1420" t="s">
        <v>1490</v>
      </c>
      <c r="C13" s="1421" t="s">
        <v>1491</v>
      </c>
    </row>
    <row r="14" spans="1:25">
      <c r="A14" s="1420" t="s">
        <v>1492</v>
      </c>
      <c r="B14" s="1420" t="s">
        <v>1493</v>
      </c>
      <c r="C14" s="1421"/>
    </row>
    <row r="15" spans="1:25">
      <c r="A15" s="1420" t="s">
        <v>1494</v>
      </c>
      <c r="B15" s="1420" t="s">
        <v>1495</v>
      </c>
      <c r="C15" s="1421"/>
    </row>
    <row r="16" spans="1:25">
      <c r="A16" s="1420" t="s">
        <v>1496</v>
      </c>
      <c r="B16" s="1420" t="s">
        <v>1497</v>
      </c>
      <c r="C16" s="1421"/>
    </row>
    <row r="17" spans="1:3">
      <c r="A17" s="1420" t="s">
        <v>1498</v>
      </c>
      <c r="B17" s="1420" t="s">
        <v>1499</v>
      </c>
      <c r="C17" s="1421"/>
    </row>
    <row r="18" spans="1:3">
      <c r="A18" s="1420" t="s">
        <v>1500</v>
      </c>
      <c r="B18" s="1420" t="s">
        <v>1501</v>
      </c>
      <c r="C18" s="1421"/>
    </row>
    <row r="19" spans="1:3">
      <c r="A19" s="1420" t="s">
        <v>1502</v>
      </c>
      <c r="B19" s="1420" t="s">
        <v>1503</v>
      </c>
      <c r="C19" s="1421"/>
    </row>
    <row r="20" spans="1:3">
      <c r="A20" s="1420" t="s">
        <v>1504</v>
      </c>
      <c r="B20" s="1420" t="s">
        <v>740</v>
      </c>
      <c r="C20" s="1421"/>
    </row>
    <row r="21" spans="1:3">
      <c r="A21" s="1420" t="s">
        <v>1505</v>
      </c>
      <c r="B21" s="1420" t="s">
        <v>740</v>
      </c>
      <c r="C21" s="1421"/>
    </row>
    <row r="22" spans="1:3">
      <c r="A22" s="1420" t="s">
        <v>1506</v>
      </c>
      <c r="B22" s="1420" t="s">
        <v>740</v>
      </c>
      <c r="C22" s="1421"/>
    </row>
    <row r="23" spans="1:3">
      <c r="A23" s="1420" t="s">
        <v>1507</v>
      </c>
      <c r="B23" s="1420" t="s">
        <v>740</v>
      </c>
      <c r="C23" s="1421"/>
    </row>
    <row r="24" spans="1:3">
      <c r="A24" s="1420" t="s">
        <v>1508</v>
      </c>
      <c r="B24" s="1420" t="s">
        <v>740</v>
      </c>
      <c r="C24" s="1421"/>
    </row>
    <row r="25" spans="1:3">
      <c r="A25" s="1420" t="s">
        <v>1509</v>
      </c>
      <c r="B25" s="1420" t="s">
        <v>740</v>
      </c>
      <c r="C25" s="1421"/>
    </row>
    <row r="26" spans="1:3">
      <c r="A26" s="1420" t="s">
        <v>1510</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c r="A51" s="1424" t="s">
        <v>1511</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608" t="s">
        <v>1512</v>
      </c>
    </row>
    <row r="52" spans="1:4">
      <c r="A52" s="1424" t="s">
        <v>1513</v>
      </c>
      <c r="B52" s="1424" t="s">
        <v>1514</v>
      </c>
      <c r="C52" s="9" t="s">
        <v>1515</v>
      </c>
      <c r="D52" s="9" t="s">
        <v>1516</v>
      </c>
    </row>
    <row r="53" spans="1:4" ht="14.25" customHeight="1">
      <c r="A53" s="4274"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本次估价的“房地产价值”是指在正常市场情况下，在价值时点2016年2月2日，估价对象规划用途为，假定未设立法定优先受偿款下的房地产市场价值。</v>
      </c>
    </row>
    <row r="54" spans="1:4">
      <c r="A54" s="4274"/>
      <c r="B54" s="9" t="s">
        <v>1519</v>
      </c>
      <c r="C54" s="9" t="s">
        <v>1520</v>
      </c>
    </row>
    <row r="55" spans="1:4">
      <c r="A55" s="4274"/>
      <c r="B55" s="9" t="s">
        <v>1521</v>
      </c>
      <c r="C55" s="9" t="s">
        <v>1522</v>
      </c>
    </row>
    <row r="56" spans="1:4">
      <c r="A56" s="4274"/>
      <c r="B56" s="9" t="s">
        <v>1523</v>
      </c>
      <c r="C56" s="9" t="s">
        <v>1524</v>
      </c>
    </row>
    <row r="57" spans="1:4">
      <c r="A57" s="4274"/>
      <c r="B57" s="9" t="s">
        <v>1525</v>
      </c>
      <c r="C57" s="9" t="s">
        <v>1526</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SheetLayoutView="100" workbookViewId="0">
      <selection activeCell="E7" sqref="E7"/>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125" style="2902" customWidth="1"/>
    <col min="9" max="10" width="10" style="2902" customWidth="1"/>
    <col min="11" max="13" width="10" style="2903" customWidth="1"/>
    <col min="14" max="15" width="10" style="2902" customWidth="1"/>
    <col min="16" max="17" width="10" style="2902"/>
    <col min="18" max="18" width="10" style="2902" customWidth="1"/>
    <col min="19" max="66" width="10" style="2902"/>
    <col min="67" max="16384" width="10" style="827"/>
  </cols>
  <sheetData>
    <row r="1" spans="1:17" ht="13.5" thickBot="1">
      <c r="A1" s="2588" t="s">
        <v>1527</v>
      </c>
      <c r="B1" s="2589" t="str">
        <f>IF(B6="北京市","北京市",C6)&amp;IF(E12="房屋所有权证",B29,E29)&amp;D5&amp;"预评估"</f>
        <v>北京市房地产市场价值预评估</v>
      </c>
      <c r="C1" s="823"/>
      <c r="D1" s="823"/>
      <c r="E1" s="823"/>
      <c r="F1" s="1426" t="s">
        <v>1528</v>
      </c>
      <c r="G1" s="1191"/>
      <c r="I1" s="2917" t="str">
        <f>IF(B6="北京市","北京市",C6)&amp;IF(E12="房屋所有权证",B29,E29)&amp;"房地产"</f>
        <v>北京市房地产</v>
      </c>
      <c r="J1" s="800"/>
      <c r="K1" s="2919"/>
      <c r="L1" s="2919"/>
      <c r="M1" s="2919"/>
      <c r="N1" s="800"/>
      <c r="O1" s="800"/>
      <c r="P1" s="800"/>
      <c r="Q1" s="800"/>
    </row>
    <row r="2" spans="1:17" ht="13.5" thickTop="1">
      <c r="A2" s="1427" t="s">
        <v>1529</v>
      </c>
      <c r="B2" s="2590">
        <v>45033</v>
      </c>
      <c r="C2" s="2889" t="s">
        <v>1530</v>
      </c>
      <c r="D2" s="2590">
        <v>42402</v>
      </c>
      <c r="E2" s="824"/>
      <c r="F2" s="824"/>
      <c r="G2" s="1192"/>
      <c r="H2" s="2901"/>
    </row>
    <row r="3" spans="1:17" ht="13.5" thickBot="1">
      <c r="A3" s="2591" t="s">
        <v>1531</v>
      </c>
      <c r="B3" s="2592"/>
      <c r="C3" s="2593">
        <f>SUMIF(注册房地产估价师,B3,估价师及机构信息!B3:B16)</f>
        <v>0</v>
      </c>
      <c r="D3" s="2592"/>
      <c r="E3" s="2594">
        <f>SUMIF(注册房地产估价师,D3,估价师及机构信息!B3:B16)</f>
        <v>0</v>
      </c>
      <c r="F3" s="825"/>
      <c r="G3" s="1193"/>
      <c r="H3" s="2901"/>
    </row>
    <row r="4" spans="1:17" ht="13.5" customHeight="1" thickTop="1">
      <c r="A4" s="1427" t="s">
        <v>1532</v>
      </c>
      <c r="B4" s="1428"/>
      <c r="C4" s="2890" t="s">
        <v>1533</v>
      </c>
      <c r="D4" s="1429" t="s">
        <v>2882</v>
      </c>
      <c r="E4" s="824"/>
      <c r="F4" s="824"/>
      <c r="G4" s="1192"/>
    </row>
    <row r="5" spans="1:17">
      <c r="A5" s="1430" t="s">
        <v>1534</v>
      </c>
      <c r="B5" s="1431"/>
      <c r="C5" s="2891" t="s">
        <v>1535</v>
      </c>
      <c r="D5" s="1433" t="s">
        <v>2881</v>
      </c>
      <c r="E5" s="2892" t="s">
        <v>1536</v>
      </c>
      <c r="F5" s="1433"/>
      <c r="G5" s="1434"/>
      <c r="I5" s="2917" t="str">
        <f>IF(C16="否","截至估价时点，估价对象抵押权未见登记。","截至价值时点，估价对象已设定抵押。")</f>
        <v>截至价值时点，估价对象已设定抵押。</v>
      </c>
      <c r="J5" s="800"/>
      <c r="K5" s="2919"/>
      <c r="L5" s="2919"/>
      <c r="M5" s="2919"/>
      <c r="N5" s="800"/>
      <c r="O5" s="800"/>
      <c r="P5" s="800"/>
      <c r="Q5" s="800"/>
    </row>
    <row r="6" spans="1:17">
      <c r="A6" s="2893" t="s">
        <v>1537</v>
      </c>
      <c r="B6" s="2595" t="s">
        <v>2883</v>
      </c>
      <c r="C6" s="2596"/>
      <c r="D6" s="2597" t="s">
        <v>1538</v>
      </c>
      <c r="E6" s="811"/>
      <c r="F6" s="811"/>
      <c r="G6" s="830"/>
      <c r="I6" s="800" t="str">
        <f>IF(COUNTIF(B5,"*上海银行*"),"上海银行","")</f>
        <v/>
      </c>
      <c r="J6" s="800"/>
      <c r="K6" s="2919"/>
      <c r="L6" s="2919"/>
      <c r="M6" s="2919"/>
      <c r="N6" s="800"/>
      <c r="O6" s="800"/>
      <c r="P6" s="800"/>
      <c r="Q6" s="800"/>
    </row>
    <row r="7" spans="1:17" ht="13.5" thickBot="1">
      <c r="A7" s="2894" t="s">
        <v>1539</v>
      </c>
      <c r="B7" s="2598" t="s">
        <v>3528</v>
      </c>
      <c r="C7" s="1525" t="str">
        <f>IF(B7="自然人","姓名","名称")</f>
        <v>名称</v>
      </c>
      <c r="D7" s="1438"/>
      <c r="E7" s="825"/>
      <c r="F7" s="825"/>
      <c r="G7" s="1193"/>
    </row>
    <row r="8" spans="1:17" ht="13.5" thickTop="1">
      <c r="A8" s="4286" t="s">
        <v>1540</v>
      </c>
      <c r="B8" s="1439" t="s">
        <v>1541</v>
      </c>
      <c r="C8" s="4298"/>
      <c r="D8" s="4299"/>
      <c r="E8" s="2599" t="s">
        <v>1542</v>
      </c>
      <c r="F8" s="2600" t="s">
        <v>1543</v>
      </c>
      <c r="G8" s="2601">
        <f>C6</f>
        <v>0</v>
      </c>
    </row>
    <row r="9" spans="1:17">
      <c r="A9" s="4286"/>
      <c r="B9" s="259" t="s">
        <v>1544</v>
      </c>
      <c r="C9" s="1431"/>
      <c r="D9" s="1440"/>
      <c r="E9" s="2895" t="s">
        <v>1545</v>
      </c>
      <c r="F9" s="2602" t="s">
        <v>480</v>
      </c>
      <c r="G9" s="2603"/>
    </row>
    <row r="10" spans="1:17" ht="13.5" thickBot="1">
      <c r="A10" s="4286"/>
      <c r="B10" s="259" t="s">
        <v>1546</v>
      </c>
      <c r="C10" s="4300"/>
      <c r="D10" s="4301"/>
      <c r="E10" s="2896" t="s">
        <v>1547</v>
      </c>
      <c r="F10" s="2604" t="s">
        <v>3529</v>
      </c>
      <c r="G10" s="2605"/>
    </row>
    <row r="11" spans="1:17" ht="13.5" thickBot="1">
      <c r="A11" s="4286"/>
      <c r="B11" s="1442" t="s">
        <v>1548</v>
      </c>
      <c r="C11" s="4302"/>
      <c r="D11" s="4303"/>
      <c r="E11" s="811"/>
      <c r="F11" s="811"/>
      <c r="G11" s="830"/>
    </row>
    <row r="12" spans="1:17" ht="13.5" thickBot="1">
      <c r="A12" s="4289" t="s">
        <v>2822</v>
      </c>
      <c r="B12" s="2897" t="s">
        <v>1549</v>
      </c>
      <c r="C12" s="808">
        <f>面积表!E4</f>
        <v>1088.48</v>
      </c>
      <c r="D12" s="1443" t="s">
        <v>1550</v>
      </c>
      <c r="E12" s="1444"/>
      <c r="F12" s="1445"/>
      <c r="G12" s="830"/>
    </row>
    <row r="13" spans="1:17" ht="21" customHeight="1" thickBot="1">
      <c r="A13" s="4290"/>
      <c r="B13" s="2898" t="s">
        <v>1551</v>
      </c>
      <c r="C13" s="809"/>
      <c r="D13" s="1446" t="s">
        <v>1552</v>
      </c>
      <c r="E13" s="1447"/>
      <c r="F13" s="811"/>
      <c r="G13" s="830"/>
      <c r="I13" s="4275" t="s">
        <v>1553</v>
      </c>
      <c r="J13" s="2918" t="str">
        <f>"根据估价对象"&amp;IF(B19="——",B18&amp;C18,B18&amp;C18&amp;"、"&amp;B19&amp;C19)&amp;"，"&amp;IF(C16="是","截至价值时点，估价对象已设定抵押。","截至价值时点，估价对象抵押权未见登记。")</f>
        <v>根据估价对象、，截至价值时点，估价对象抵押权未见登记。</v>
      </c>
      <c r="K13" s="2919"/>
      <c r="L13" s="2919"/>
      <c r="M13" s="2919"/>
      <c r="N13" s="800"/>
      <c r="O13" s="800"/>
      <c r="P13" s="800"/>
      <c r="Q13" s="800"/>
    </row>
    <row r="14" spans="1:17" ht="13.5" thickBot="1">
      <c r="A14" s="2606"/>
      <c r="B14" s="2912" t="s">
        <v>2823</v>
      </c>
      <c r="C14" s="2607"/>
      <c r="D14" s="811"/>
      <c r="E14" s="811"/>
      <c r="F14" s="811"/>
      <c r="G14" s="830"/>
      <c r="I14" s="4275"/>
      <c r="J14" s="291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919"/>
      <c r="L14" s="2919"/>
      <c r="M14" s="2919"/>
      <c r="N14" s="800"/>
      <c r="O14" s="800"/>
      <c r="P14" s="800"/>
      <c r="Q14" s="800"/>
    </row>
    <row r="15" spans="1:17" ht="13.5" thickBot="1">
      <c r="A15" s="2608"/>
      <c r="B15" s="2899" t="s">
        <v>1554</v>
      </c>
      <c r="C15" s="826">
        <v>2.5</v>
      </c>
      <c r="D15" s="825"/>
      <c r="E15" s="825"/>
      <c r="F15" s="825"/>
      <c r="G15" s="1193"/>
      <c r="I15" s="4275"/>
      <c r="J15" s="291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19"/>
      <c r="L15" s="2919"/>
      <c r="M15" s="2919"/>
      <c r="N15" s="800"/>
      <c r="O15" s="800"/>
      <c r="P15" s="800"/>
      <c r="Q15" s="800"/>
    </row>
    <row r="16" spans="1:17" ht="25.5" thickTop="1" thickBot="1">
      <c r="A16" s="2606" t="s">
        <v>1555</v>
      </c>
      <c r="B16" s="1448" t="s">
        <v>1556</v>
      </c>
      <c r="C16" s="2609"/>
      <c r="D16" s="1441" t="s">
        <v>1557</v>
      </c>
      <c r="E16" s="2610"/>
      <c r="F16" s="1449" t="str">
        <f>IF(AND(C16="是",E16="否"),"是否提供他项权证或相关说明","")</f>
        <v/>
      </c>
      <c r="G16" s="2610"/>
      <c r="J16" s="2901"/>
    </row>
    <row r="17" spans="1:66" ht="13.5" customHeight="1">
      <c r="A17" s="1455" t="s">
        <v>1558</v>
      </c>
      <c r="B17" s="4304" t="s">
        <v>1559</v>
      </c>
      <c r="C17" s="4305"/>
      <c r="D17" s="4306" t="s">
        <v>1560</v>
      </c>
      <c r="E17" s="4307"/>
      <c r="F17" s="1450" t="s">
        <v>1561</v>
      </c>
      <c r="G17" s="1451"/>
      <c r="J17" s="2901"/>
    </row>
    <row r="18" spans="1:66" ht="24">
      <c r="A18" s="1455"/>
      <c r="B18" s="2611"/>
      <c r="C18" s="1434"/>
      <c r="D18" s="1452" t="s">
        <v>1562</v>
      </c>
      <c r="E18" s="1453"/>
      <c r="F18" s="1454"/>
      <c r="G18" s="1317"/>
      <c r="H18" s="2901"/>
      <c r="J18" s="2901"/>
    </row>
    <row r="19" spans="1:66" ht="21.75" customHeight="1" thickBot="1">
      <c r="A19" s="1455"/>
      <c r="B19" s="2612"/>
      <c r="C19" s="1447"/>
      <c r="D19" s="1455"/>
      <c r="E19" s="811"/>
      <c r="F19" s="811"/>
      <c r="G19" s="1317"/>
    </row>
    <row r="20" spans="1:66">
      <c r="A20" s="1451" t="s">
        <v>1563</v>
      </c>
      <c r="B20" s="2613" t="s">
        <v>1564</v>
      </c>
      <c r="C20" s="2614"/>
      <c r="D20" s="2615" t="s">
        <v>1564</v>
      </c>
      <c r="E20" s="2614"/>
      <c r="F20" s="811"/>
      <c r="G20" s="1317"/>
    </row>
    <row r="21" spans="1:66">
      <c r="A21" s="1317"/>
      <c r="B21" s="2616" t="s">
        <v>1565</v>
      </c>
      <c r="C21" s="2884"/>
      <c r="D21" s="1455" t="s">
        <v>1565</v>
      </c>
      <c r="E21" s="2617"/>
      <c r="F21" s="811"/>
      <c r="G21" s="1317"/>
    </row>
    <row r="22" spans="1:66">
      <c r="A22" s="1317"/>
      <c r="B22" s="811" t="s">
        <v>1566</v>
      </c>
      <c r="C22" s="2618"/>
      <c r="D22" s="811" t="s">
        <v>1566</v>
      </c>
      <c r="E22" s="2617"/>
      <c r="F22" s="811"/>
      <c r="G22" s="1317"/>
    </row>
    <row r="23" spans="1:66" s="2883" customFormat="1" ht="16.5" thickBot="1">
      <c r="A23" s="1318"/>
      <c r="B23" s="829" t="s">
        <v>1567</v>
      </c>
      <c r="C23" s="809"/>
      <c r="D23" s="829" t="s">
        <v>1568</v>
      </c>
      <c r="E23" s="2619"/>
      <c r="F23" s="829"/>
      <c r="G23" s="1318"/>
      <c r="H23" s="2904"/>
      <c r="I23" s="2904"/>
      <c r="J23" s="2904"/>
      <c r="K23" s="2905"/>
      <c r="L23" s="2905"/>
      <c r="M23" s="2905"/>
      <c r="N23" s="2905"/>
      <c r="O23" s="2905"/>
      <c r="P23" s="2905"/>
      <c r="Q23" s="2904"/>
      <c r="R23" s="2904"/>
      <c r="S23" s="2904"/>
      <c r="T23" s="2904"/>
      <c r="U23" s="2904"/>
      <c r="V23" s="2904"/>
      <c r="W23" s="2904"/>
      <c r="X23" s="2904"/>
      <c r="Y23" s="2904"/>
      <c r="Z23" s="2904"/>
      <c r="AA23" s="2904"/>
      <c r="AB23" s="2904"/>
      <c r="AC23" s="2904"/>
      <c r="AD23" s="2904"/>
      <c r="AE23" s="2904"/>
      <c r="AF23" s="2904"/>
      <c r="AG23" s="2904"/>
      <c r="AH23" s="2904"/>
      <c r="AI23" s="2904"/>
      <c r="AJ23" s="2904"/>
      <c r="AK23" s="2904"/>
      <c r="AL23" s="2904"/>
      <c r="AM23" s="2904"/>
      <c r="AN23" s="2904"/>
      <c r="AO23" s="2904"/>
      <c r="AP23" s="2904"/>
      <c r="AQ23" s="2904"/>
      <c r="AR23" s="2904"/>
      <c r="AS23" s="2904"/>
      <c r="AT23" s="2904"/>
      <c r="AU23" s="2904"/>
      <c r="AV23" s="2904"/>
      <c r="AW23" s="2904"/>
      <c r="AX23" s="2904"/>
      <c r="AY23" s="2904"/>
      <c r="AZ23" s="2904"/>
      <c r="BA23" s="2904"/>
      <c r="BB23" s="2904"/>
      <c r="BC23" s="2904"/>
      <c r="BD23" s="2904"/>
      <c r="BE23" s="2904"/>
      <c r="BF23" s="2904"/>
      <c r="BG23" s="2904"/>
      <c r="BH23" s="2904"/>
      <c r="BI23" s="2904"/>
      <c r="BJ23" s="2904"/>
      <c r="BK23" s="2904"/>
      <c r="BL23" s="2904"/>
      <c r="BM23" s="2904"/>
      <c r="BN23" s="2904"/>
    </row>
    <row r="24" spans="1:66" s="2900" customFormat="1" ht="18" customHeight="1" thickBot="1">
      <c r="A24" s="4285" t="s">
        <v>2821</v>
      </c>
      <c r="B24" s="4285"/>
      <c r="C24" s="4285"/>
      <c r="D24" s="4285"/>
      <c r="E24" s="4285"/>
      <c r="F24" s="4285"/>
      <c r="G24" s="4285"/>
      <c r="H24" s="2906"/>
      <c r="I24" s="2906"/>
      <c r="J24" s="2906"/>
      <c r="K24" s="2907"/>
      <c r="L24" s="2907"/>
      <c r="M24" s="2907"/>
      <c r="N24" s="2907"/>
      <c r="O24" s="2907"/>
      <c r="P24" s="2907"/>
      <c r="Q24" s="2908"/>
      <c r="R24" s="2908"/>
      <c r="S24" s="2908"/>
      <c r="T24" s="2908"/>
      <c r="U24" s="2908"/>
      <c r="V24" s="2908"/>
      <c r="W24" s="2908"/>
      <c r="X24" s="2908"/>
      <c r="Y24" s="2908"/>
      <c r="Z24" s="2908"/>
      <c r="AA24" s="2908"/>
      <c r="AB24" s="2908"/>
      <c r="AC24" s="2908"/>
      <c r="AD24" s="2908"/>
      <c r="AE24" s="2908"/>
      <c r="AF24" s="2908"/>
      <c r="AG24" s="2908"/>
      <c r="AH24" s="2908"/>
      <c r="AI24" s="2908"/>
      <c r="AJ24" s="2908"/>
      <c r="AK24" s="2908"/>
      <c r="AL24" s="2908"/>
      <c r="AM24" s="2908"/>
      <c r="AN24" s="2908"/>
      <c r="AO24" s="2908"/>
      <c r="AP24" s="2908"/>
      <c r="AQ24" s="2908"/>
      <c r="AR24" s="2908"/>
      <c r="AS24" s="2908"/>
      <c r="AT24" s="2908"/>
      <c r="AU24" s="2908"/>
      <c r="AV24" s="2908"/>
      <c r="AW24" s="2908"/>
      <c r="AX24" s="2908"/>
      <c r="AY24" s="2908"/>
      <c r="AZ24" s="2908"/>
      <c r="BA24" s="2908"/>
      <c r="BB24" s="2908"/>
      <c r="BC24" s="2908"/>
      <c r="BD24" s="2908"/>
      <c r="BE24" s="2908"/>
      <c r="BF24" s="2908"/>
      <c r="BG24" s="2908"/>
      <c r="BH24" s="2908"/>
      <c r="BI24" s="2908"/>
      <c r="BJ24" s="2908"/>
      <c r="BK24" s="2908"/>
      <c r="BL24" s="2908"/>
      <c r="BM24" s="2908"/>
      <c r="BN24" s="2908"/>
    </row>
    <row r="25" spans="1:66" ht="14.25" thickTop="1" thickBot="1">
      <c r="A25" s="828" t="s">
        <v>1569</v>
      </c>
      <c r="B25" s="811"/>
      <c r="C25" s="811"/>
      <c r="D25" s="811"/>
      <c r="E25" s="811"/>
      <c r="F25" s="811"/>
      <c r="G25" s="1318"/>
      <c r="K25" s="2902"/>
    </row>
    <row r="26" spans="1:66" s="836" customFormat="1" ht="13.5" thickBot="1">
      <c r="A26" s="2620"/>
      <c r="B26" s="807" t="s">
        <v>1570</v>
      </c>
      <c r="C26" s="2620"/>
      <c r="D26" s="807"/>
      <c r="E26" s="2621" t="s">
        <v>1571</v>
      </c>
      <c r="F26" s="2620"/>
      <c r="G26" s="2622" t="s">
        <v>1572</v>
      </c>
      <c r="H26" s="2909"/>
      <c r="I26" s="2909"/>
      <c r="J26" s="2909"/>
      <c r="K26" s="2909"/>
      <c r="L26" s="2910"/>
      <c r="M26" s="2910"/>
      <c r="N26" s="2909"/>
      <c r="O26" s="2909"/>
      <c r="P26" s="2909"/>
      <c r="Q26" s="2909"/>
      <c r="R26" s="2909"/>
      <c r="S26" s="2909"/>
      <c r="T26" s="2909"/>
      <c r="U26" s="2909"/>
      <c r="V26" s="2909"/>
      <c r="W26" s="2909"/>
      <c r="X26" s="2909"/>
      <c r="Y26" s="2909"/>
      <c r="Z26" s="2909"/>
      <c r="AA26" s="2909"/>
      <c r="AB26" s="2909"/>
      <c r="AC26" s="2909"/>
      <c r="AD26" s="2909"/>
      <c r="AE26" s="2909"/>
      <c r="AF26" s="2909"/>
      <c r="AG26" s="2909"/>
      <c r="AH26" s="2909"/>
      <c r="AI26" s="2909"/>
      <c r="AJ26" s="2909"/>
      <c r="AK26" s="2909"/>
      <c r="AL26" s="2909"/>
      <c r="AM26" s="2909"/>
      <c r="AN26" s="2909"/>
      <c r="AO26" s="2909"/>
      <c r="AP26" s="2909"/>
      <c r="AQ26" s="2909"/>
      <c r="AR26" s="2909"/>
      <c r="AS26" s="2909"/>
      <c r="AT26" s="2909"/>
      <c r="AU26" s="2909"/>
      <c r="AV26" s="2909"/>
      <c r="AW26" s="2909"/>
      <c r="AX26" s="2909"/>
      <c r="AY26" s="2909"/>
      <c r="AZ26" s="2909"/>
      <c r="BA26" s="2909"/>
      <c r="BB26" s="2909"/>
      <c r="BC26" s="2909"/>
      <c r="BD26" s="2909"/>
      <c r="BE26" s="2909"/>
      <c r="BF26" s="2909"/>
      <c r="BG26" s="2909"/>
      <c r="BH26" s="2909"/>
      <c r="BI26" s="2909"/>
      <c r="BJ26" s="2909"/>
      <c r="BK26" s="2909"/>
      <c r="BL26" s="2909"/>
      <c r="BM26" s="2909"/>
      <c r="BN26" s="2909"/>
    </row>
    <row r="27" spans="1:66" s="836" customFormat="1" ht="13.5" thickBot="1">
      <c r="A27" s="2620"/>
      <c r="B27" s="2623"/>
      <c r="C27" s="2620"/>
      <c r="D27" s="807"/>
      <c r="E27" s="2623"/>
      <c r="F27" s="2620"/>
      <c r="G27" s="2624"/>
      <c r="H27" s="2909"/>
      <c r="I27" s="2909"/>
      <c r="J27" s="2909"/>
      <c r="K27" s="2909"/>
      <c r="L27" s="2910"/>
      <c r="M27" s="2910"/>
      <c r="N27" s="2909"/>
      <c r="O27" s="2909"/>
      <c r="P27" s="2909"/>
      <c r="Q27" s="2909"/>
      <c r="R27" s="2909"/>
      <c r="S27" s="2909"/>
      <c r="T27" s="2909"/>
      <c r="U27" s="2909"/>
      <c r="V27" s="2909"/>
      <c r="W27" s="2909"/>
      <c r="X27" s="2909"/>
      <c r="Y27" s="2909"/>
      <c r="Z27" s="2909"/>
      <c r="AA27" s="2909"/>
      <c r="AB27" s="2909"/>
      <c r="AC27" s="2909"/>
      <c r="AD27" s="2909"/>
      <c r="AE27" s="2909"/>
      <c r="AF27" s="2909"/>
      <c r="AG27" s="2909"/>
      <c r="AH27" s="2909"/>
      <c r="AI27" s="2909"/>
      <c r="AJ27" s="2909"/>
      <c r="AK27" s="2909"/>
      <c r="AL27" s="2909"/>
      <c r="AM27" s="2909"/>
      <c r="AN27" s="2909"/>
      <c r="AO27" s="2909"/>
      <c r="AP27" s="2909"/>
      <c r="AQ27" s="2909"/>
      <c r="AR27" s="2909"/>
      <c r="AS27" s="2909"/>
      <c r="AT27" s="2909"/>
      <c r="AU27" s="2909"/>
      <c r="AV27" s="2909"/>
      <c r="AW27" s="2909"/>
      <c r="AX27" s="2909"/>
      <c r="AY27" s="2909"/>
      <c r="AZ27" s="2909"/>
      <c r="BA27" s="2909"/>
      <c r="BB27" s="2909"/>
      <c r="BC27" s="2909"/>
      <c r="BD27" s="2909"/>
      <c r="BE27" s="2909"/>
      <c r="BF27" s="2909"/>
      <c r="BG27" s="2909"/>
      <c r="BH27" s="2909"/>
      <c r="BI27" s="2909"/>
      <c r="BJ27" s="2909"/>
      <c r="BK27" s="2909"/>
      <c r="BL27" s="2909"/>
      <c r="BM27" s="2909"/>
      <c r="BN27" s="2909"/>
    </row>
    <row r="28" spans="1:66">
      <c r="A28" s="803" t="s">
        <v>1573</v>
      </c>
      <c r="B28" s="801"/>
      <c r="C28" s="4292" t="s">
        <v>1573</v>
      </c>
      <c r="D28" s="4293"/>
      <c r="E28" s="801"/>
      <c r="F28" s="803" t="s">
        <v>1573</v>
      </c>
      <c r="G28" s="801"/>
      <c r="K28" s="2902"/>
    </row>
    <row r="29" spans="1:66">
      <c r="A29" s="804" t="s">
        <v>1574</v>
      </c>
      <c r="B29" s="798"/>
      <c r="C29" s="4294" t="s">
        <v>1575</v>
      </c>
      <c r="D29" s="4295"/>
      <c r="E29" s="798"/>
      <c r="F29" s="804" t="s">
        <v>1575</v>
      </c>
      <c r="G29" s="798"/>
      <c r="K29" s="2902"/>
    </row>
    <row r="30" spans="1:66">
      <c r="A30" s="804" t="s">
        <v>1576</v>
      </c>
      <c r="B30" s="798"/>
      <c r="C30" s="4294" t="s">
        <v>1576</v>
      </c>
      <c r="D30" s="4295"/>
      <c r="E30" s="798"/>
      <c r="F30" s="804" t="s">
        <v>1577</v>
      </c>
      <c r="G30" s="798"/>
      <c r="K30" s="2902"/>
    </row>
    <row r="31" spans="1:66">
      <c r="A31" s="804" t="s">
        <v>1578</v>
      </c>
      <c r="B31" s="798"/>
      <c r="C31" s="4282" t="s">
        <v>1579</v>
      </c>
      <c r="D31" s="811"/>
      <c r="E31" s="2625" t="str">
        <f>E32&amp;" "&amp;E33&amp;" "&amp;E34&amp;" "&amp;E35</f>
        <v xml:space="preserve">   </v>
      </c>
      <c r="F31" s="804" t="s">
        <v>1580</v>
      </c>
      <c r="G31" s="798"/>
    </row>
    <row r="32" spans="1:66">
      <c r="A32" s="804" t="s">
        <v>1581</v>
      </c>
      <c r="B32" s="798"/>
      <c r="C32" s="4283"/>
      <c r="D32" s="259" t="s">
        <v>1582</v>
      </c>
      <c r="E32" s="798"/>
      <c r="F32" s="804" t="s">
        <v>1583</v>
      </c>
      <c r="G32" s="798"/>
    </row>
    <row r="33" spans="1:7" ht="24.75" thickBot="1">
      <c r="A33" s="805" t="s">
        <v>1584</v>
      </c>
      <c r="B33" s="802"/>
      <c r="C33" s="4283"/>
      <c r="D33" s="259" t="s">
        <v>1585</v>
      </c>
      <c r="E33" s="798"/>
      <c r="F33" s="804" t="s">
        <v>1586</v>
      </c>
      <c r="G33" s="798"/>
    </row>
    <row r="34" spans="1:7">
      <c r="A34" s="803" t="s">
        <v>1587</v>
      </c>
      <c r="B34" s="801"/>
      <c r="C34" s="4283"/>
      <c r="D34" s="259" t="s">
        <v>1588</v>
      </c>
      <c r="E34" s="798"/>
      <c r="F34" s="804" t="s">
        <v>1589</v>
      </c>
      <c r="G34" s="798"/>
    </row>
    <row r="35" spans="1:7" ht="13.5" thickBot="1">
      <c r="A35" s="804" t="s">
        <v>1590</v>
      </c>
      <c r="B35" s="798"/>
      <c r="C35" s="4284"/>
      <c r="D35" s="259" t="s">
        <v>1591</v>
      </c>
      <c r="E35" s="798"/>
      <c r="F35" s="805" t="s">
        <v>1592</v>
      </c>
      <c r="G35" s="2626"/>
    </row>
    <row r="36" spans="1:7">
      <c r="A36" s="804" t="s">
        <v>1549</v>
      </c>
      <c r="B36" s="798"/>
      <c r="C36" s="4294" t="s">
        <v>1593</v>
      </c>
      <c r="D36" s="4295"/>
      <c r="E36" s="798"/>
      <c r="F36" s="2627" t="s">
        <v>1594</v>
      </c>
      <c r="G36" s="801"/>
    </row>
    <row r="37" spans="1:7" ht="13.5" thickBot="1">
      <c r="A37" s="804" t="s">
        <v>1595</v>
      </c>
      <c r="B37" s="798"/>
      <c r="C37" s="4296" t="s">
        <v>1596</v>
      </c>
      <c r="D37" s="4297"/>
      <c r="E37" s="802"/>
      <c r="F37" s="1463" t="s">
        <v>1597</v>
      </c>
      <c r="G37" s="798"/>
    </row>
    <row r="38" spans="1:7" ht="13.5" thickBot="1">
      <c r="A38" s="804" t="s">
        <v>1598</v>
      </c>
      <c r="B38" s="798"/>
      <c r="C38" s="4280" t="s">
        <v>1599</v>
      </c>
      <c r="D38" s="1443" t="s">
        <v>1583</v>
      </c>
      <c r="E38" s="801"/>
      <c r="F38" s="805" t="s">
        <v>1600</v>
      </c>
      <c r="G38" s="802"/>
    </row>
    <row r="39" spans="1:7">
      <c r="A39" s="804" t="s">
        <v>1601</v>
      </c>
      <c r="B39" s="798"/>
      <c r="C39" s="4287"/>
      <c r="D39" s="259" t="s">
        <v>1590</v>
      </c>
      <c r="E39" s="798"/>
      <c r="F39" s="803" t="s">
        <v>1602</v>
      </c>
      <c r="G39" s="801"/>
    </row>
    <row r="40" spans="1:7">
      <c r="A40" s="804" t="s">
        <v>1603</v>
      </c>
      <c r="B40" s="798"/>
      <c r="C40" s="4287" t="s">
        <v>1604</v>
      </c>
      <c r="D40" s="259" t="s">
        <v>1549</v>
      </c>
      <c r="E40" s="798"/>
      <c r="F40" s="804" t="s">
        <v>1605</v>
      </c>
      <c r="G40" s="798"/>
    </row>
    <row r="41" spans="1:7" ht="24.75" customHeight="1" thickBot="1">
      <c r="A41" s="805" t="s">
        <v>1606</v>
      </c>
      <c r="B41" s="802"/>
      <c r="C41" s="4288"/>
      <c r="D41" s="1446" t="s">
        <v>1551</v>
      </c>
      <c r="E41" s="802"/>
      <c r="F41" s="805" t="s">
        <v>1607</v>
      </c>
      <c r="G41" s="802"/>
    </row>
    <row r="42" spans="1:7">
      <c r="A42" s="806" t="s">
        <v>1608</v>
      </c>
      <c r="B42" s="2628"/>
      <c r="C42" s="4276" t="s">
        <v>1608</v>
      </c>
      <c r="D42" s="4277"/>
      <c r="E42" s="2628"/>
      <c r="F42" s="803" t="s">
        <v>1609</v>
      </c>
      <c r="G42" s="2628"/>
    </row>
    <row r="43" spans="1:7">
      <c r="A43" s="821" t="s">
        <v>1610</v>
      </c>
      <c r="B43" s="2629"/>
      <c r="C43" s="1455"/>
      <c r="D43" s="2616"/>
      <c r="E43" s="2629"/>
      <c r="F43" s="821"/>
      <c r="G43" s="2629"/>
    </row>
    <row r="44" spans="1:7">
      <c r="A44" s="821" t="s">
        <v>1564</v>
      </c>
      <c r="B44" s="822"/>
      <c r="C44" s="1455"/>
      <c r="D44" s="1521" t="s">
        <v>1564</v>
      </c>
      <c r="E44" s="822"/>
      <c r="F44" s="821" t="s">
        <v>1564</v>
      </c>
      <c r="G44" s="822"/>
    </row>
    <row r="45" spans="1:7">
      <c r="A45" s="821" t="s">
        <v>1565</v>
      </c>
      <c r="B45" s="822"/>
      <c r="C45" s="1455"/>
      <c r="D45" s="2616" t="s">
        <v>1565</v>
      </c>
      <c r="E45" s="822"/>
      <c r="F45" s="821" t="s">
        <v>1565</v>
      </c>
      <c r="G45" s="822"/>
    </row>
    <row r="46" spans="1:7">
      <c r="A46" s="821" t="s">
        <v>1566</v>
      </c>
      <c r="B46" s="822"/>
      <c r="C46" s="1455"/>
      <c r="D46" s="2616" t="s">
        <v>1566</v>
      </c>
      <c r="E46" s="822"/>
      <c r="F46" s="821" t="s">
        <v>1566</v>
      </c>
      <c r="G46" s="822"/>
    </row>
    <row r="47" spans="1:7">
      <c r="A47" s="821" t="s">
        <v>1567</v>
      </c>
      <c r="B47" s="822"/>
      <c r="C47" s="1455"/>
      <c r="D47" s="2616" t="s">
        <v>1567</v>
      </c>
      <c r="E47" s="822"/>
      <c r="F47" s="821" t="s">
        <v>1567</v>
      </c>
      <c r="G47" s="822"/>
    </row>
    <row r="48" spans="1:7">
      <c r="A48" s="821"/>
      <c r="B48" s="822"/>
      <c r="C48" s="1455"/>
      <c r="D48" s="2616"/>
      <c r="E48" s="822"/>
      <c r="F48" s="821"/>
      <c r="G48" s="822"/>
    </row>
    <row r="49" spans="1:66" ht="13.5" thickBot="1">
      <c r="A49" s="805" t="s">
        <v>1611</v>
      </c>
      <c r="B49" s="802"/>
      <c r="C49" s="4278" t="s">
        <v>1611</v>
      </c>
      <c r="D49" s="4279"/>
      <c r="E49" s="820"/>
      <c r="F49" s="805" t="s">
        <v>1612</v>
      </c>
      <c r="G49" s="802"/>
    </row>
    <row r="50" spans="1:66">
      <c r="A50" s="804" t="s">
        <v>1613</v>
      </c>
      <c r="B50" s="819"/>
      <c r="C50" s="4280" t="s">
        <v>1614</v>
      </c>
      <c r="D50" s="4281"/>
      <c r="E50" s="2630"/>
      <c r="F50" s="837"/>
      <c r="G50" s="838"/>
    </row>
    <row r="51" spans="1:66" ht="13.5" thickBot="1">
      <c r="A51" s="804" t="s">
        <v>1615</v>
      </c>
      <c r="B51" s="819"/>
      <c r="C51" s="4288" t="s">
        <v>1616</v>
      </c>
      <c r="D51" s="4291"/>
      <c r="E51" s="802"/>
      <c r="F51" s="811"/>
      <c r="G51" s="830"/>
    </row>
    <row r="52" spans="1:66">
      <c r="A52" s="804" t="s">
        <v>1594</v>
      </c>
      <c r="B52" s="798"/>
      <c r="C52" s="811"/>
      <c r="D52" s="811"/>
      <c r="E52" s="811"/>
      <c r="F52" s="811"/>
      <c r="G52" s="830"/>
    </row>
    <row r="53" spans="1:66" ht="24.75" thickBot="1">
      <c r="A53" s="805" t="s">
        <v>1617</v>
      </c>
      <c r="B53" s="2626"/>
      <c r="C53" s="829"/>
      <c r="D53" s="829"/>
      <c r="E53" s="829"/>
      <c r="F53" s="829"/>
      <c r="G53" s="831"/>
    </row>
    <row r="57" spans="1:66" s="810" customFormat="1">
      <c r="H57" s="2901"/>
      <c r="I57" s="2901"/>
      <c r="J57" s="2901"/>
      <c r="K57" s="2911"/>
      <c r="L57" s="2911"/>
      <c r="M57" s="2911"/>
      <c r="N57" s="2901"/>
      <c r="O57" s="2901"/>
      <c r="P57" s="2901"/>
      <c r="Q57" s="2901"/>
      <c r="R57" s="2901"/>
      <c r="S57" s="2901"/>
      <c r="T57" s="2901"/>
      <c r="U57" s="2901"/>
      <c r="V57" s="2901"/>
      <c r="W57" s="2901"/>
      <c r="X57" s="2901"/>
      <c r="Y57" s="2901"/>
      <c r="Z57" s="2901"/>
      <c r="AA57" s="2901"/>
      <c r="AB57" s="2901"/>
      <c r="AC57" s="2901"/>
      <c r="AD57" s="2901"/>
      <c r="AE57" s="2901"/>
      <c r="AF57" s="2901"/>
      <c r="AG57" s="2901"/>
      <c r="AH57" s="2901"/>
      <c r="AI57" s="2901"/>
      <c r="AJ57" s="2901"/>
      <c r="AK57" s="2901"/>
      <c r="AL57" s="2901"/>
      <c r="AM57" s="2901"/>
      <c r="AN57" s="2901"/>
      <c r="AO57" s="2901"/>
      <c r="AP57" s="2901"/>
      <c r="AQ57" s="2901"/>
      <c r="AR57" s="2901"/>
      <c r="AS57" s="2901"/>
      <c r="AT57" s="2901"/>
      <c r="AU57" s="2901"/>
      <c r="AV57" s="2901"/>
      <c r="AW57" s="2901"/>
      <c r="AX57" s="2901"/>
      <c r="AY57" s="2901"/>
      <c r="AZ57" s="2901"/>
      <c r="BA57" s="2901"/>
      <c r="BB57" s="2901"/>
      <c r="BC57" s="2901"/>
      <c r="BD57" s="2901"/>
      <c r="BE57" s="2901"/>
      <c r="BF57" s="2901"/>
      <c r="BG57" s="2901"/>
      <c r="BH57" s="2901"/>
      <c r="BI57" s="2901"/>
      <c r="BJ57" s="2901"/>
      <c r="BK57" s="2901"/>
      <c r="BL57" s="2901"/>
      <c r="BM57" s="2901"/>
      <c r="BN57" s="2901"/>
    </row>
    <row r="58" spans="1:66" s="810" customFormat="1">
      <c r="H58" s="2901"/>
      <c r="I58" s="2901"/>
      <c r="J58" s="2901"/>
      <c r="K58" s="2911"/>
      <c r="L58" s="2911"/>
      <c r="M58" s="2911"/>
      <c r="N58" s="2901"/>
      <c r="O58" s="2901"/>
      <c r="P58" s="2901"/>
      <c r="Q58" s="2901"/>
      <c r="R58" s="2901"/>
      <c r="S58" s="2901"/>
      <c r="T58" s="2901"/>
      <c r="U58" s="2901"/>
      <c r="V58" s="2901"/>
      <c r="W58" s="2901"/>
      <c r="X58" s="2901"/>
      <c r="Y58" s="2901"/>
      <c r="Z58" s="2901"/>
      <c r="AA58" s="2901"/>
      <c r="AB58" s="2901"/>
      <c r="AC58" s="2901"/>
      <c r="AD58" s="2901"/>
      <c r="AE58" s="2901"/>
      <c r="AF58" s="2901"/>
      <c r="AG58" s="2901"/>
      <c r="AH58" s="2901"/>
      <c r="AI58" s="2901"/>
      <c r="AJ58" s="2901"/>
      <c r="AK58" s="2901"/>
      <c r="AL58" s="2901"/>
      <c r="AM58" s="2901"/>
      <c r="AN58" s="2901"/>
      <c r="AO58" s="2901"/>
      <c r="AP58" s="2901"/>
      <c r="AQ58" s="2901"/>
      <c r="AR58" s="2901"/>
      <c r="AS58" s="2901"/>
      <c r="AT58" s="2901"/>
      <c r="AU58" s="2901"/>
      <c r="AV58" s="2901"/>
      <c r="AW58" s="2901"/>
      <c r="AX58" s="2901"/>
      <c r="AY58" s="2901"/>
      <c r="AZ58" s="2901"/>
      <c r="BA58" s="2901"/>
      <c r="BB58" s="2901"/>
      <c r="BC58" s="2901"/>
      <c r="BD58" s="2901"/>
      <c r="BE58" s="2901"/>
      <c r="BF58" s="2901"/>
      <c r="BG58" s="2901"/>
      <c r="BH58" s="2901"/>
      <c r="BI58" s="2901"/>
      <c r="BJ58" s="2901"/>
      <c r="BK58" s="2901"/>
      <c r="BL58" s="2901"/>
      <c r="BM58" s="2901"/>
      <c r="BN58" s="2901"/>
    </row>
    <row r="59" spans="1:66" s="810" customFormat="1">
      <c r="H59" s="2901"/>
      <c r="I59" s="2901"/>
      <c r="J59" s="2901"/>
      <c r="K59" s="2911"/>
      <c r="L59" s="2911"/>
      <c r="M59" s="2911"/>
      <c r="N59" s="2901"/>
      <c r="O59" s="2901"/>
      <c r="P59" s="2901"/>
      <c r="Q59" s="2901"/>
      <c r="R59" s="2901"/>
      <c r="S59" s="2901"/>
      <c r="T59" s="2901"/>
      <c r="U59" s="2901"/>
      <c r="V59" s="2901"/>
      <c r="W59" s="2901"/>
      <c r="X59" s="2901"/>
      <c r="Y59" s="2901"/>
      <c r="Z59" s="2901"/>
      <c r="AA59" s="2901"/>
      <c r="AB59" s="2901"/>
      <c r="AC59" s="2901"/>
      <c r="AD59" s="2901"/>
      <c r="AE59" s="2901"/>
      <c r="AF59" s="2901"/>
      <c r="AG59" s="2901"/>
      <c r="AH59" s="2901"/>
      <c r="AI59" s="2901"/>
      <c r="AJ59" s="2901"/>
      <c r="AK59" s="2901"/>
      <c r="AL59" s="2901"/>
      <c r="AM59" s="2901"/>
      <c r="AN59" s="2901"/>
      <c r="AO59" s="2901"/>
      <c r="AP59" s="2901"/>
      <c r="AQ59" s="2901"/>
      <c r="AR59" s="2901"/>
      <c r="AS59" s="2901"/>
      <c r="AT59" s="2901"/>
      <c r="AU59" s="2901"/>
      <c r="AV59" s="2901"/>
      <c r="AW59" s="2901"/>
      <c r="AX59" s="2901"/>
      <c r="AY59" s="2901"/>
      <c r="AZ59" s="2901"/>
      <c r="BA59" s="2901"/>
      <c r="BB59" s="2901"/>
      <c r="BC59" s="2901"/>
      <c r="BD59" s="2901"/>
      <c r="BE59" s="2901"/>
      <c r="BF59" s="2901"/>
      <c r="BG59" s="2901"/>
      <c r="BH59" s="2901"/>
      <c r="BI59" s="2901"/>
      <c r="BJ59" s="2901"/>
      <c r="BK59" s="2901"/>
      <c r="BL59" s="2901"/>
      <c r="BM59" s="2901"/>
      <c r="BN59" s="2901"/>
    </row>
    <row r="60" spans="1:66" s="810" customFormat="1">
      <c r="H60" s="2901"/>
      <c r="I60" s="2901"/>
      <c r="J60" s="2901"/>
      <c r="K60" s="2911"/>
      <c r="L60" s="2911"/>
      <c r="M60" s="2911"/>
      <c r="N60" s="2901"/>
      <c r="O60" s="2901"/>
      <c r="P60" s="2901"/>
      <c r="Q60" s="2901"/>
      <c r="R60" s="2901"/>
      <c r="S60" s="2901"/>
      <c r="T60" s="2901"/>
      <c r="U60" s="2901"/>
      <c r="V60" s="2901"/>
      <c r="W60" s="2901"/>
      <c r="X60" s="2901"/>
      <c r="Y60" s="2901"/>
      <c r="Z60" s="2901"/>
      <c r="AA60" s="2901"/>
      <c r="AB60" s="2901"/>
      <c r="AC60" s="2901"/>
      <c r="AD60" s="2901"/>
      <c r="AE60" s="2901"/>
      <c r="AF60" s="2901"/>
      <c r="AG60" s="2901"/>
      <c r="AH60" s="2901"/>
      <c r="AI60" s="2901"/>
      <c r="AJ60" s="2901"/>
      <c r="AK60" s="2901"/>
      <c r="AL60" s="2901"/>
      <c r="AM60" s="2901"/>
      <c r="AN60" s="2901"/>
      <c r="AO60" s="2901"/>
      <c r="AP60" s="2901"/>
      <c r="AQ60" s="2901"/>
      <c r="AR60" s="2901"/>
      <c r="AS60" s="2901"/>
      <c r="AT60" s="2901"/>
      <c r="AU60" s="2901"/>
      <c r="AV60" s="2901"/>
      <c r="AW60" s="2901"/>
      <c r="AX60" s="2901"/>
      <c r="AY60" s="2901"/>
      <c r="AZ60" s="2901"/>
      <c r="BA60" s="2901"/>
      <c r="BB60" s="2901"/>
      <c r="BC60" s="2901"/>
      <c r="BD60" s="2901"/>
      <c r="BE60" s="2901"/>
      <c r="BF60" s="2901"/>
      <c r="BG60" s="2901"/>
      <c r="BH60" s="2901"/>
      <c r="BI60" s="2901"/>
      <c r="BJ60" s="2901"/>
      <c r="BK60" s="2901"/>
      <c r="BL60" s="2901"/>
      <c r="BM60" s="2901"/>
      <c r="BN60" s="2901"/>
    </row>
    <row r="61" spans="1:66" s="810" customFormat="1">
      <c r="H61" s="2901"/>
      <c r="I61" s="2901"/>
      <c r="J61" s="2901"/>
      <c r="K61" s="2911"/>
      <c r="L61" s="2911"/>
      <c r="M61" s="2911"/>
      <c r="N61" s="2901"/>
      <c r="O61" s="2901"/>
      <c r="P61" s="2901"/>
      <c r="Q61" s="2901"/>
      <c r="R61" s="2901"/>
      <c r="S61" s="2901"/>
      <c r="T61" s="2901"/>
      <c r="U61" s="2901"/>
      <c r="V61" s="2901"/>
      <c r="W61" s="2901"/>
      <c r="X61" s="2901"/>
      <c r="Y61" s="2901"/>
      <c r="Z61" s="2901"/>
      <c r="AA61" s="2901"/>
      <c r="AB61" s="2901"/>
      <c r="AC61" s="2901"/>
      <c r="AD61" s="2901"/>
      <c r="AE61" s="2901"/>
      <c r="AF61" s="2901"/>
      <c r="AG61" s="2901"/>
      <c r="AH61" s="2901"/>
      <c r="AI61" s="2901"/>
      <c r="AJ61" s="2901"/>
      <c r="AK61" s="2901"/>
      <c r="AL61" s="2901"/>
      <c r="AM61" s="2901"/>
      <c r="AN61" s="2901"/>
      <c r="AO61" s="2901"/>
      <c r="AP61" s="2901"/>
      <c r="AQ61" s="2901"/>
      <c r="AR61" s="2901"/>
      <c r="AS61" s="2901"/>
      <c r="AT61" s="2901"/>
      <c r="AU61" s="2901"/>
      <c r="AV61" s="2901"/>
      <c r="AW61" s="2901"/>
      <c r="AX61" s="2901"/>
      <c r="AY61" s="2901"/>
      <c r="AZ61" s="2901"/>
      <c r="BA61" s="2901"/>
      <c r="BB61" s="2901"/>
      <c r="BC61" s="2901"/>
      <c r="BD61" s="2901"/>
      <c r="BE61" s="2901"/>
      <c r="BF61" s="2901"/>
      <c r="BG61" s="2901"/>
      <c r="BH61" s="2901"/>
      <c r="BI61" s="2901"/>
      <c r="BJ61" s="2901"/>
      <c r="BK61" s="2901"/>
      <c r="BL61" s="2901"/>
      <c r="BM61" s="2901"/>
      <c r="BN61" s="2901"/>
    </row>
    <row r="62" spans="1:66" s="810" customFormat="1">
      <c r="H62" s="2901"/>
      <c r="I62" s="2901"/>
      <c r="J62" s="2901"/>
      <c r="K62" s="2911"/>
      <c r="L62" s="2911"/>
      <c r="M62" s="2911"/>
      <c r="N62" s="2901"/>
      <c r="O62" s="2901"/>
      <c r="P62" s="2901"/>
      <c r="Q62" s="2901"/>
      <c r="R62" s="2901"/>
      <c r="S62" s="2901"/>
      <c r="T62" s="2901"/>
      <c r="U62" s="2901"/>
      <c r="V62" s="2901"/>
      <c r="W62" s="2901"/>
      <c r="X62" s="2901"/>
      <c r="Y62" s="2901"/>
      <c r="Z62" s="2901"/>
      <c r="AA62" s="2901"/>
      <c r="AB62" s="2901"/>
      <c r="AC62" s="2901"/>
      <c r="AD62" s="2901"/>
      <c r="AE62" s="2901"/>
      <c r="AF62" s="2901"/>
      <c r="AG62" s="2901"/>
      <c r="AH62" s="2901"/>
      <c r="AI62" s="2901"/>
      <c r="AJ62" s="2901"/>
      <c r="AK62" s="2901"/>
      <c r="AL62" s="2901"/>
      <c r="AM62" s="2901"/>
      <c r="AN62" s="2901"/>
      <c r="AO62" s="2901"/>
      <c r="AP62" s="2901"/>
      <c r="AQ62" s="2901"/>
      <c r="AR62" s="2901"/>
      <c r="AS62" s="2901"/>
      <c r="AT62" s="2901"/>
      <c r="AU62" s="2901"/>
      <c r="AV62" s="2901"/>
      <c r="AW62" s="2901"/>
      <c r="AX62" s="2901"/>
      <c r="AY62" s="2901"/>
      <c r="AZ62" s="2901"/>
      <c r="BA62" s="2901"/>
      <c r="BB62" s="2901"/>
      <c r="BC62" s="2901"/>
      <c r="BD62" s="2901"/>
      <c r="BE62" s="2901"/>
      <c r="BF62" s="2901"/>
      <c r="BG62" s="2901"/>
      <c r="BH62" s="2901"/>
      <c r="BI62" s="2901"/>
      <c r="BJ62" s="2901"/>
      <c r="BK62" s="2901"/>
      <c r="BL62" s="2901"/>
      <c r="BM62" s="2901"/>
      <c r="BN62" s="2901"/>
    </row>
    <row r="63" spans="1:66" s="810" customFormat="1">
      <c r="H63" s="2901"/>
      <c r="I63" s="2901"/>
      <c r="J63" s="2901"/>
      <c r="K63" s="2911"/>
      <c r="L63" s="2911"/>
      <c r="M63" s="2911"/>
      <c r="N63" s="2901"/>
      <c r="O63" s="2901"/>
      <c r="P63" s="2901"/>
      <c r="Q63" s="2901"/>
      <c r="R63" s="2901"/>
      <c r="S63" s="2901"/>
      <c r="T63" s="2901"/>
      <c r="U63" s="2901"/>
      <c r="V63" s="2901"/>
      <c r="W63" s="2901"/>
      <c r="X63" s="2901"/>
      <c r="Y63" s="2901"/>
      <c r="Z63" s="2901"/>
      <c r="AA63" s="2901"/>
      <c r="AB63" s="2901"/>
      <c r="AC63" s="2901"/>
      <c r="AD63" s="2901"/>
      <c r="AE63" s="2901"/>
      <c r="AF63" s="2901"/>
      <c r="AG63" s="2901"/>
      <c r="AH63" s="2901"/>
      <c r="AI63" s="2901"/>
      <c r="AJ63" s="2901"/>
      <c r="AK63" s="2901"/>
      <c r="AL63" s="2901"/>
      <c r="AM63" s="2901"/>
      <c r="AN63" s="2901"/>
      <c r="AO63" s="2901"/>
      <c r="AP63" s="2901"/>
      <c r="AQ63" s="2901"/>
      <c r="AR63" s="2901"/>
      <c r="AS63" s="2901"/>
      <c r="AT63" s="2901"/>
      <c r="AU63" s="2901"/>
      <c r="AV63" s="2901"/>
      <c r="AW63" s="2901"/>
      <c r="AX63" s="2901"/>
      <c r="AY63" s="2901"/>
      <c r="AZ63" s="2901"/>
      <c r="BA63" s="2901"/>
      <c r="BB63" s="2901"/>
      <c r="BC63" s="2901"/>
      <c r="BD63" s="2901"/>
      <c r="BE63" s="2901"/>
      <c r="BF63" s="2901"/>
      <c r="BG63" s="2901"/>
      <c r="BH63" s="2901"/>
      <c r="BI63" s="2901"/>
      <c r="BJ63" s="2901"/>
      <c r="BK63" s="2901"/>
      <c r="BL63" s="2901"/>
      <c r="BM63" s="2901"/>
      <c r="BN63" s="2901"/>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8"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dimension ref="A1:M9"/>
  <sheetViews>
    <sheetView workbookViewId="0">
      <selection activeCell="F18" sqref="F18"/>
    </sheetView>
  </sheetViews>
  <sheetFormatPr defaultColWidth="9" defaultRowHeight="14.25"/>
  <cols>
    <col min="1" max="1" width="12.125" style="1" customWidth="1"/>
    <col min="2" max="2" width="10.625" style="1" customWidth="1"/>
    <col min="3" max="3" width="15.625" style="1" customWidth="1"/>
    <col min="4" max="7" width="9.5" style="1" bestFit="1" customWidth="1"/>
    <col min="8" max="13" width="9.125" style="1" bestFit="1" customWidth="1"/>
    <col min="14" max="16384" width="9" style="1"/>
  </cols>
  <sheetData>
    <row r="1" spans="1:13">
      <c r="A1" s="4308" t="s">
        <v>0</v>
      </c>
      <c r="B1" s="4308" t="s">
        <v>2</v>
      </c>
      <c r="C1" s="4308" t="s">
        <v>3</v>
      </c>
      <c r="D1" s="4309" t="s">
        <v>67</v>
      </c>
      <c r="E1" s="4309" t="s">
        <v>68</v>
      </c>
      <c r="F1" s="4309"/>
      <c r="G1" s="4309"/>
      <c r="H1" s="4309"/>
      <c r="I1" s="4309"/>
      <c r="J1" s="4309"/>
      <c r="K1" s="4309"/>
      <c r="L1" s="4309"/>
      <c r="M1" s="4309"/>
    </row>
    <row r="2" spans="1:13" ht="27" customHeight="1">
      <c r="A2" s="4308"/>
      <c r="B2" s="4308"/>
      <c r="C2" s="4308"/>
      <c r="D2" s="4309"/>
      <c r="E2" s="4309" t="s">
        <v>51</v>
      </c>
      <c r="F2" s="4309" t="s">
        <v>52</v>
      </c>
      <c r="G2" s="4309"/>
      <c r="H2" s="4309"/>
      <c r="I2" s="4309"/>
      <c r="J2" s="4309" t="s">
        <v>53</v>
      </c>
      <c r="K2" s="4309"/>
      <c r="L2" s="4309"/>
      <c r="M2" s="4309"/>
    </row>
    <row r="3" spans="1:13" ht="28.5">
      <c r="A3" s="4308"/>
      <c r="B3" s="4308"/>
      <c r="C3" s="4308"/>
      <c r="D3" s="4309"/>
      <c r="E3" s="4309"/>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4309" t="s">
        <v>69</v>
      </c>
      <c r="B9" s="4309"/>
      <c r="C9" s="430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B32" sqref="B32"/>
    </sheetView>
  </sheetViews>
  <sheetFormatPr defaultColWidth="13.625" defaultRowHeight="12.75"/>
  <cols>
    <col min="1" max="1" width="20.875" style="2687" customWidth="1"/>
    <col min="2" max="2" width="16.625" style="2632" customWidth="1"/>
    <col min="3" max="3" width="18.125" style="2673" customWidth="1"/>
    <col min="4" max="4" width="34.125" style="2688" customWidth="1"/>
    <col min="5" max="5" width="17.625" style="2688" customWidth="1"/>
    <col min="6" max="6" width="15.5" style="2631" customWidth="1"/>
    <col min="7" max="8" width="9.125" style="2966" customWidth="1"/>
    <col min="9" max="9" width="15" style="2673" bestFit="1" customWidth="1"/>
    <col min="10" max="14" width="8.875" style="2673" customWidth="1"/>
    <col min="15" max="16" width="12.375" style="2673" customWidth="1"/>
    <col min="17" max="17" width="8.625" style="2673" customWidth="1"/>
    <col min="18" max="18" width="12.5" style="2673" customWidth="1"/>
    <col min="19" max="19" width="8.5" style="2673" customWidth="1"/>
    <col min="20" max="21" width="10.875" style="2673" customWidth="1"/>
    <col min="22" max="23" width="12.5" style="2673" customWidth="1"/>
    <col min="24" max="24" width="12.125" style="2673" customWidth="1"/>
    <col min="25" max="25" width="7.5" style="2673" customWidth="1"/>
    <col min="26" max="26" width="6.375" style="2673" customWidth="1"/>
    <col min="27" max="32" width="6.625" style="2673" customWidth="1"/>
    <col min="33" max="33" width="6.5" style="2673" customWidth="1"/>
    <col min="34" max="36" width="7.125" style="2673" customWidth="1"/>
    <col min="37" max="41" width="8" style="2673" customWidth="1"/>
    <col min="42" max="16384" width="13.625" style="2632"/>
  </cols>
  <sheetData>
    <row r="1" spans="1:41" ht="19.5" thickBot="1">
      <c r="A1" s="2920" t="s">
        <v>1618</v>
      </c>
      <c r="B1" s="947"/>
      <c r="D1" s="2631"/>
      <c r="E1" s="2631"/>
    </row>
    <row r="2" spans="1:41" s="2635" customFormat="1" ht="15.75" thickBot="1">
      <c r="A2" s="2921" t="s">
        <v>1619</v>
      </c>
      <c r="B2" s="2922">
        <f>项目基本情况!D2</f>
        <v>42402</v>
      </c>
      <c r="C2" s="1684"/>
      <c r="D2" s="4310" t="s">
        <v>1620</v>
      </c>
      <c r="E2" s="2633"/>
      <c r="F2" s="2634"/>
      <c r="G2" s="2967"/>
      <c r="H2" s="2967"/>
      <c r="I2" s="1684"/>
      <c r="J2" s="1684"/>
      <c r="K2" s="1684"/>
      <c r="L2" s="1684"/>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1684"/>
      <c r="AO2" s="1684"/>
    </row>
    <row r="3" spans="1:41" s="2635" customFormat="1" ht="15" customHeight="1" thickBot="1">
      <c r="A3" s="2638" t="s">
        <v>1621</v>
      </c>
      <c r="B3" s="2636" t="s">
        <v>2884</v>
      </c>
      <c r="C3" s="1684"/>
      <c r="D3" s="4311"/>
      <c r="E3" s="2637" t="s">
        <v>2919</v>
      </c>
      <c r="F3" s="2634"/>
      <c r="G3" s="2967"/>
      <c r="H3" s="2967"/>
      <c r="I3" s="1684"/>
      <c r="J3" s="1684"/>
      <c r="K3" s="1684"/>
      <c r="L3" s="1684"/>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1684"/>
      <c r="AO3" s="1684"/>
    </row>
    <row r="4" spans="1:41" s="2635" customFormat="1" ht="15" thickBot="1">
      <c r="A4" s="2641" t="s">
        <v>1622</v>
      </c>
      <c r="B4" s="2636" t="s">
        <v>2885</v>
      </c>
      <c r="C4" s="1684"/>
      <c r="D4" s="4311"/>
      <c r="E4" s="2637"/>
      <c r="F4" s="2634"/>
      <c r="G4" s="2967"/>
      <c r="H4" s="2967"/>
      <c r="I4" s="1684"/>
      <c r="J4" s="1684"/>
      <c r="K4" s="1684"/>
      <c r="L4" s="1684"/>
      <c r="M4" s="1684"/>
      <c r="N4" s="1684"/>
      <c r="O4" s="1684"/>
      <c r="P4" s="1684"/>
      <c r="Q4" s="1684"/>
      <c r="R4" s="1684"/>
      <c r="S4" s="1684"/>
      <c r="T4" s="1684"/>
      <c r="U4" s="1684"/>
      <c r="V4" s="1684"/>
      <c r="W4" s="1684"/>
      <c r="X4" s="1684"/>
      <c r="Y4" s="1684"/>
      <c r="Z4" s="1684"/>
      <c r="AA4" s="1684"/>
      <c r="AB4" s="1684"/>
      <c r="AC4" s="1684"/>
      <c r="AD4" s="1684"/>
      <c r="AE4" s="1684"/>
      <c r="AF4" s="1684"/>
      <c r="AG4" s="1684"/>
      <c r="AH4" s="1684"/>
      <c r="AI4" s="1684"/>
      <c r="AJ4" s="1684"/>
      <c r="AK4" s="1684"/>
      <c r="AL4" s="1684"/>
      <c r="AM4" s="1684"/>
      <c r="AN4" s="1684"/>
      <c r="AO4" s="1684"/>
    </row>
    <row r="5" spans="1:41" s="2635" customFormat="1" ht="15.75" thickBot="1">
      <c r="A5" s="2638" t="s">
        <v>1623</v>
      </c>
      <c r="B5" s="2639">
        <f>项目基本情况!C12</f>
        <v>1088.48</v>
      </c>
      <c r="C5" s="1684"/>
      <c r="D5" s="2923" t="s">
        <v>1624</v>
      </c>
      <c r="E5" s="2640"/>
      <c r="F5" s="2634"/>
      <c r="G5" s="2967"/>
      <c r="H5" s="2967"/>
      <c r="I5" s="1684"/>
      <c r="J5" s="1684"/>
      <c r="K5" s="1684"/>
      <c r="L5" s="1684"/>
      <c r="M5" s="1684"/>
      <c r="N5" s="1684"/>
      <c r="O5" s="1684"/>
      <c r="P5" s="1684"/>
      <c r="Q5" s="1684"/>
      <c r="R5" s="1684"/>
      <c r="S5" s="1684"/>
      <c r="T5" s="1684"/>
      <c r="U5" s="1684"/>
      <c r="V5" s="1684"/>
      <c r="W5" s="1684"/>
      <c r="X5" s="1684"/>
      <c r="Y5" s="1684"/>
      <c r="Z5" s="1684"/>
      <c r="AA5" s="1684"/>
      <c r="AB5" s="1684"/>
      <c r="AC5" s="1684"/>
      <c r="AD5" s="1684"/>
      <c r="AE5" s="1684"/>
      <c r="AF5" s="1684"/>
      <c r="AG5" s="1684"/>
      <c r="AH5" s="1684"/>
      <c r="AI5" s="1684"/>
      <c r="AJ5" s="1684"/>
      <c r="AK5" s="1684"/>
      <c r="AL5" s="1684"/>
      <c r="AM5" s="1684"/>
      <c r="AN5" s="1684"/>
      <c r="AO5" s="1684"/>
    </row>
    <row r="6" spans="1:41" s="2635" customFormat="1" ht="15.75" thickBot="1">
      <c r="A6" s="2641" t="s">
        <v>1625</v>
      </c>
      <c r="B6" s="2642">
        <f>项目基本情况!C13</f>
        <v>0</v>
      </c>
      <c r="C6" s="1684"/>
      <c r="D6" s="2923" t="s">
        <v>1626</v>
      </c>
      <c r="E6" s="2640"/>
      <c r="F6" s="2634"/>
      <c r="G6" s="2967"/>
      <c r="H6" s="2967"/>
      <c r="I6" s="1684"/>
      <c r="J6" s="1684"/>
      <c r="K6" s="1684"/>
      <c r="L6" s="1684"/>
      <c r="M6" s="1684"/>
      <c r="N6" s="1684"/>
      <c r="O6" s="1684"/>
      <c r="P6" s="1684"/>
      <c r="Q6" s="1684"/>
      <c r="R6" s="1684"/>
      <c r="S6" s="1684"/>
      <c r="T6" s="1684"/>
      <c r="U6" s="1684"/>
      <c r="V6" s="1684"/>
      <c r="W6" s="1684"/>
      <c r="X6" s="1684"/>
      <c r="Y6" s="1684"/>
      <c r="Z6" s="1684"/>
      <c r="AA6" s="1684"/>
      <c r="AB6" s="1684"/>
      <c r="AC6" s="1684"/>
      <c r="AD6" s="1684"/>
      <c r="AE6" s="1684"/>
      <c r="AF6" s="1684"/>
      <c r="AG6" s="1684"/>
      <c r="AH6" s="1684"/>
      <c r="AI6" s="1684"/>
      <c r="AJ6" s="1684"/>
      <c r="AK6" s="1684"/>
      <c r="AL6" s="1684"/>
      <c r="AM6" s="1684"/>
      <c r="AN6" s="1684"/>
      <c r="AO6" s="1684"/>
    </row>
    <row r="7" spans="1:41" s="1684" customFormat="1" ht="15.75" thickBot="1">
      <c r="A7" s="2969"/>
      <c r="D7" s="2970"/>
      <c r="E7" s="2970"/>
      <c r="F7" s="2967"/>
      <c r="G7" s="2967"/>
      <c r="H7" s="2967"/>
    </row>
    <row r="8" spans="1:41" s="1684" customFormat="1" ht="15" hidden="1">
      <c r="A8" s="2969"/>
      <c r="D8" s="2970"/>
      <c r="E8" s="2970"/>
      <c r="F8" s="2967"/>
      <c r="G8" s="2967"/>
      <c r="H8" s="2967"/>
    </row>
    <row r="9" spans="1:41" s="1684" customFormat="1" ht="15" hidden="1" thickBot="1">
      <c r="C9" s="3089"/>
      <c r="D9" s="2967"/>
      <c r="E9" s="2967"/>
      <c r="F9" s="2967"/>
      <c r="G9" s="2967"/>
      <c r="H9" s="2967"/>
    </row>
    <row r="10" spans="1:41" s="2635" customFormat="1" ht="15" thickBot="1">
      <c r="A10" s="2924" t="s">
        <v>1627</v>
      </c>
      <c r="B10" s="2644" t="s">
        <v>3530</v>
      </c>
      <c r="C10" s="1684"/>
      <c r="D10" s="2921" t="s">
        <v>1628</v>
      </c>
      <c r="E10" s="2925" t="s">
        <v>1629</v>
      </c>
      <c r="F10" s="3090" t="s">
        <v>2832</v>
      </c>
      <c r="G10" s="1684"/>
      <c r="H10" s="1684"/>
      <c r="I10" s="1684"/>
      <c r="J10" s="1684"/>
      <c r="K10" s="1684"/>
      <c r="L10" s="1684"/>
      <c r="M10" s="1684"/>
      <c r="N10" s="1684"/>
      <c r="O10" s="1684"/>
      <c r="P10" s="1684"/>
      <c r="Q10" s="1684"/>
      <c r="R10" s="1684"/>
      <c r="S10" s="1684"/>
      <c r="T10" s="1684"/>
      <c r="U10" s="1684"/>
      <c r="V10" s="1684"/>
      <c r="W10" s="1684"/>
      <c r="X10" s="1684"/>
      <c r="Y10" s="1684"/>
      <c r="Z10" s="1684"/>
      <c r="AA10" s="1684"/>
      <c r="AB10" s="1684"/>
      <c r="AC10" s="1684"/>
      <c r="AD10" s="1684"/>
      <c r="AE10" s="1684"/>
      <c r="AF10" s="1684"/>
      <c r="AG10" s="1684"/>
      <c r="AH10" s="1684"/>
      <c r="AI10" s="1684"/>
      <c r="AJ10" s="1684"/>
      <c r="AK10" s="1684"/>
      <c r="AL10" s="1684"/>
      <c r="AM10" s="1684"/>
      <c r="AN10" s="1684"/>
      <c r="AO10" s="1684"/>
    </row>
    <row r="11" spans="1:41" s="2648" customFormat="1" ht="14.25">
      <c r="A11" s="2926" t="s">
        <v>1630</v>
      </c>
      <c r="B11" s="2646">
        <v>50</v>
      </c>
      <c r="C11" s="1684"/>
      <c r="D11" s="2927" t="s">
        <v>1631</v>
      </c>
      <c r="E11" s="2647">
        <v>160</v>
      </c>
      <c r="F11" s="1312" t="s">
        <v>1632</v>
      </c>
      <c r="G11" s="1684"/>
      <c r="H11" s="1684"/>
      <c r="I11" s="1684"/>
      <c r="J11" s="1684"/>
      <c r="K11" s="1684"/>
      <c r="L11" s="2709"/>
      <c r="M11" s="2709"/>
      <c r="N11" s="2709"/>
      <c r="O11" s="2709"/>
      <c r="P11" s="2709"/>
      <c r="Q11" s="2709"/>
      <c r="R11" s="1684"/>
      <c r="S11" s="1684"/>
      <c r="T11" s="1684"/>
      <c r="U11" s="1684"/>
      <c r="V11" s="1684"/>
      <c r="W11" s="1684"/>
      <c r="X11" s="1684"/>
      <c r="Y11" s="1684"/>
      <c r="Z11" s="1684"/>
      <c r="AA11" s="1684"/>
      <c r="AB11" s="1684"/>
      <c r="AC11" s="1684"/>
      <c r="AD11" s="1684"/>
      <c r="AE11" s="1684"/>
      <c r="AF11" s="1684"/>
      <c r="AG11" s="1684"/>
      <c r="AH11" s="1684"/>
      <c r="AI11" s="1684"/>
      <c r="AJ11" s="1684"/>
      <c r="AK11" s="1684"/>
      <c r="AL11" s="1684"/>
      <c r="AM11" s="1684"/>
      <c r="AN11" s="1684"/>
      <c r="AO11" s="1684"/>
    </row>
    <row r="12" spans="1:41" s="2635" customFormat="1" ht="15">
      <c r="A12" s="2928" t="s">
        <v>1633</v>
      </c>
      <c r="B12" s="2649">
        <v>52076</v>
      </c>
      <c r="C12" s="1684"/>
      <c r="D12" s="2928" t="s">
        <v>1634</v>
      </c>
      <c r="E12" s="2650">
        <v>200</v>
      </c>
      <c r="F12" s="1311"/>
      <c r="G12" s="1684"/>
      <c r="H12" s="1684">
        <v>4.6399999999999997</v>
      </c>
      <c r="I12" s="1684"/>
      <c r="J12" s="1684"/>
      <c r="K12" s="1684"/>
      <c r="L12" s="1684"/>
      <c r="M12" s="1684"/>
      <c r="N12" s="1684"/>
      <c r="O12" s="1684"/>
      <c r="P12" s="1684"/>
      <c r="Q12" s="1684"/>
      <c r="R12" s="1684"/>
      <c r="S12" s="1684"/>
      <c r="T12" s="1684"/>
      <c r="U12" s="1684"/>
      <c r="V12" s="1684"/>
      <c r="W12" s="1684"/>
      <c r="X12" s="1684"/>
      <c r="Y12" s="1684"/>
      <c r="Z12" s="1684"/>
      <c r="AA12" s="1684"/>
      <c r="AB12" s="1684"/>
      <c r="AC12" s="1684"/>
      <c r="AD12" s="1684"/>
      <c r="AE12" s="1684"/>
      <c r="AF12" s="1684"/>
      <c r="AG12" s="1684"/>
      <c r="AH12" s="1684"/>
      <c r="AI12" s="1684"/>
      <c r="AJ12" s="1684"/>
      <c r="AK12" s="1684"/>
      <c r="AL12" s="1684"/>
      <c r="AM12" s="1684"/>
      <c r="AN12" s="1684"/>
      <c r="AO12" s="1684"/>
    </row>
    <row r="13" spans="1:41" s="2635" customFormat="1" ht="15" thickBot="1">
      <c r="A13" s="2929" t="s">
        <v>1635</v>
      </c>
      <c r="B13" s="2930">
        <f>IF(B12="",B11-(YEAR($B$2)-B27+B24),ROUNDDOWN(MIN((B12-$B$2)/365,B11),2))</f>
        <v>26.5</v>
      </c>
      <c r="C13" s="2965"/>
      <c r="D13" s="2931" t="s">
        <v>1636</v>
      </c>
      <c r="E13" s="2651">
        <f>E12*B5</f>
        <v>217696</v>
      </c>
      <c r="F13" s="3157" t="s">
        <v>2887</v>
      </c>
      <c r="G13" s="1684"/>
      <c r="H13" s="1684"/>
      <c r="I13" s="1684"/>
      <c r="J13" s="1684"/>
      <c r="K13" s="1684"/>
      <c r="L13" s="1684"/>
      <c r="M13" s="1684"/>
      <c r="N13" s="1684"/>
      <c r="O13" s="1684"/>
      <c r="P13" s="1684"/>
      <c r="Q13" s="1684"/>
      <c r="R13" s="1684"/>
      <c r="S13" s="1684"/>
      <c r="T13" s="1684"/>
      <c r="U13" s="1684"/>
      <c r="V13" s="1684"/>
      <c r="W13" s="1684"/>
      <c r="X13" s="1684"/>
      <c r="Y13" s="1684"/>
      <c r="Z13" s="1684"/>
      <c r="AA13" s="1684"/>
      <c r="AB13" s="1684"/>
      <c r="AC13" s="1684"/>
      <c r="AD13" s="1684"/>
      <c r="AE13" s="1684"/>
      <c r="AF13" s="1684"/>
      <c r="AG13" s="1684"/>
      <c r="AH13" s="1684"/>
      <c r="AI13" s="1684"/>
      <c r="AJ13" s="1684"/>
      <c r="AK13" s="1684"/>
      <c r="AL13" s="1684"/>
      <c r="AM13" s="1684"/>
      <c r="AN13" s="1684"/>
      <c r="AO13" s="1684"/>
    </row>
    <row r="14" spans="1:41" s="2635" customFormat="1" ht="14.25">
      <c r="A14" s="2928" t="s">
        <v>1637</v>
      </c>
      <c r="B14" s="2932">
        <f>IF(ISERROR(ROUND(POWER(1+B15,B11-B13)*(POWER(1+B15,B13)-1)/(POWER(1+B15,B11)-1),3)),0,ROUND(POWER(1+B15,B11-B13)*(POWER(1+B15,B13)-1)/(POWER(1+B15,B11)-1),3))</f>
        <v>0.77400000000000002</v>
      </c>
      <c r="C14" s="1684"/>
      <c r="D14" s="2933" t="s">
        <v>1638</v>
      </c>
      <c r="E14" s="2652">
        <v>200</v>
      </c>
      <c r="F14" s="1311"/>
      <c r="G14" s="1684"/>
      <c r="H14" s="1684"/>
      <c r="I14" s="1684"/>
      <c r="J14" s="1684"/>
      <c r="K14" s="1684"/>
      <c r="L14" s="1684"/>
      <c r="M14" s="1684"/>
      <c r="N14" s="1684"/>
      <c r="O14" s="1684"/>
      <c r="P14" s="1684"/>
      <c r="Q14" s="1684"/>
      <c r="R14" s="1684"/>
      <c r="S14" s="1684"/>
      <c r="T14" s="1684"/>
      <c r="U14" s="1684"/>
      <c r="V14" s="1684"/>
      <c r="W14" s="1684"/>
      <c r="X14" s="1684"/>
      <c r="Y14" s="1684"/>
      <c r="Z14" s="1684"/>
      <c r="AA14" s="1684"/>
      <c r="AB14" s="1684"/>
      <c r="AC14" s="1684"/>
      <c r="AD14" s="1684"/>
      <c r="AE14" s="1684"/>
      <c r="AF14" s="1684"/>
      <c r="AG14" s="1684"/>
      <c r="AH14" s="1684"/>
      <c r="AI14" s="1684"/>
      <c r="AJ14" s="1684"/>
      <c r="AK14" s="1684"/>
      <c r="AL14" s="1684"/>
      <c r="AM14" s="1684"/>
      <c r="AN14" s="1684"/>
      <c r="AO14" s="1684"/>
    </row>
    <row r="15" spans="1:41" s="2635" customFormat="1" ht="14.25">
      <c r="A15" s="2928" t="s">
        <v>1639</v>
      </c>
      <c r="B15" s="2653">
        <v>4.4999999999999998E-2</v>
      </c>
      <c r="C15" s="2561" t="s">
        <v>2833</v>
      </c>
      <c r="D15" s="2928" t="s">
        <v>1640</v>
      </c>
      <c r="E15" s="2934">
        <f>E14-E16</f>
        <v>200</v>
      </c>
      <c r="F15" s="1311"/>
      <c r="G15" s="1684"/>
      <c r="H15" s="1684"/>
      <c r="I15" s="1684"/>
      <c r="J15" s="1684"/>
      <c r="K15" s="1684"/>
      <c r="L15" s="1684"/>
      <c r="M15" s="1684"/>
      <c r="N15" s="1684"/>
      <c r="O15" s="1684"/>
      <c r="P15" s="1684"/>
      <c r="Q15" s="1684"/>
      <c r="R15" s="1684"/>
      <c r="S15" s="1684"/>
      <c r="T15" s="1684"/>
      <c r="U15" s="1684"/>
      <c r="V15" s="1684"/>
      <c r="W15" s="1684"/>
      <c r="X15" s="1684"/>
      <c r="Y15" s="1684"/>
      <c r="Z15" s="1684"/>
      <c r="AA15" s="1684"/>
      <c r="AB15" s="1684"/>
      <c r="AC15" s="1684"/>
      <c r="AD15" s="1684"/>
      <c r="AE15" s="1684"/>
      <c r="AF15" s="1684"/>
      <c r="AG15" s="1684"/>
      <c r="AH15" s="1684"/>
      <c r="AI15" s="1684"/>
      <c r="AJ15" s="1684"/>
      <c r="AK15" s="1684"/>
      <c r="AL15" s="1684"/>
      <c r="AM15" s="1684"/>
      <c r="AN15" s="1684"/>
      <c r="AO15" s="1684"/>
    </row>
    <row r="16" spans="1:41" s="2635" customFormat="1" ht="15" thickBot="1">
      <c r="A16" s="2928" t="s">
        <v>1641</v>
      </c>
      <c r="B16" s="2653">
        <v>0.05</v>
      </c>
      <c r="C16" s="2561" t="s">
        <v>2834</v>
      </c>
      <c r="D16" s="2935" t="s">
        <v>1642</v>
      </c>
      <c r="E16" s="2654">
        <v>0</v>
      </c>
      <c r="F16" s="1310"/>
      <c r="G16" s="1684"/>
      <c r="H16" s="1684"/>
      <c r="I16" s="1684"/>
      <c r="J16" s="1684"/>
      <c r="K16" s="1684"/>
      <c r="L16" s="1684"/>
      <c r="M16" s="1684"/>
      <c r="N16" s="1684"/>
      <c r="O16" s="1684"/>
      <c r="P16" s="1684"/>
      <c r="Q16" s="1684"/>
      <c r="R16" s="1684"/>
      <c r="S16" s="1684"/>
      <c r="T16" s="1684"/>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row>
    <row r="17" spans="1:41" s="2635" customFormat="1" ht="15" thickBot="1">
      <c r="A17" s="2935" t="s">
        <v>2831</v>
      </c>
      <c r="B17" s="3088">
        <v>5.5E-2</v>
      </c>
      <c r="C17" s="2561" t="s">
        <v>2835</v>
      </c>
      <c r="D17" s="2924" t="s">
        <v>1644</v>
      </c>
      <c r="E17" s="2655">
        <v>4000</v>
      </c>
      <c r="F17" s="947"/>
      <c r="G17" s="1684"/>
      <c r="H17" s="1684"/>
      <c r="I17" s="1684"/>
      <c r="J17" s="1684"/>
      <c r="K17" s="1684"/>
      <c r="L17" s="1684"/>
      <c r="M17" s="1684"/>
      <c r="N17" s="1684"/>
      <c r="O17" s="1684"/>
      <c r="P17" s="1684"/>
      <c r="Q17" s="1684"/>
      <c r="R17" s="1684"/>
      <c r="S17" s="1684"/>
      <c r="T17" s="1684"/>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row>
    <row r="18" spans="1:41" s="2635" customFormat="1" ht="15" thickBot="1">
      <c r="A18" s="2936" t="s">
        <v>1643</v>
      </c>
      <c r="B18" s="3096">
        <v>0.06</v>
      </c>
      <c r="C18" s="1684"/>
      <c r="D18" s="2937" t="str">
        <f>IF(B26=0,"建安总额","在建建安")</f>
        <v>建安总额</v>
      </c>
      <c r="E18" s="2938">
        <f>ROUND(B5*E17*IF(B26=0,1,E20),0)</f>
        <v>4353920</v>
      </c>
      <c r="F18" s="2656">
        <f>ROUND(E5*E17*IF(B26=0,1,E20),0)</f>
        <v>0</v>
      </c>
      <c r="G18" s="1684"/>
      <c r="H18" s="1684"/>
      <c r="I18" s="1684"/>
      <c r="J18" s="1684"/>
      <c r="K18" s="1684"/>
      <c r="L18" s="1684"/>
      <c r="M18" s="1684"/>
      <c r="N18" s="1684"/>
      <c r="O18" s="1684"/>
      <c r="P18" s="1684"/>
      <c r="Q18" s="1684"/>
      <c r="R18" s="1684"/>
      <c r="S18" s="1684"/>
      <c r="T18" s="1684"/>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row>
    <row r="19" spans="1:41" s="2635" customFormat="1" ht="15" thickBot="1">
      <c r="A19" s="1311"/>
      <c r="B19" s="1311"/>
      <c r="C19" s="1684"/>
      <c r="D19" s="2937" t="str">
        <f>IF(B26=0,"——","续建建安")</f>
        <v>——</v>
      </c>
      <c r="E19" s="2938" t="str">
        <f>IF(B26=0,"——",ROUND(B5*E17*(1-E20),0))</f>
        <v>——</v>
      </c>
      <c r="F19" s="2656" t="str">
        <f>IF(B26=0,"——",ROUND(E5*E17*(1-E20),0))</f>
        <v>——</v>
      </c>
      <c r="G19" s="1684"/>
      <c r="H19" s="1684"/>
      <c r="I19" s="1684"/>
      <c r="J19" s="1684"/>
      <c r="K19" s="1684"/>
      <c r="L19" s="1684"/>
      <c r="M19" s="1684"/>
      <c r="N19" s="1684"/>
      <c r="O19" s="1684"/>
      <c r="P19" s="1684"/>
      <c r="Q19" s="1684"/>
      <c r="R19" s="1684"/>
      <c r="S19" s="1684"/>
      <c r="T19" s="1684"/>
      <c r="U19" s="1684"/>
      <c r="V19" s="1684"/>
      <c r="W19" s="1684"/>
      <c r="X19" s="1684"/>
      <c r="Y19" s="1684"/>
      <c r="Z19" s="1684"/>
      <c r="AA19" s="1684"/>
      <c r="AB19" s="1684"/>
      <c r="AC19" s="1684"/>
      <c r="AD19" s="1684"/>
      <c r="AE19" s="1684"/>
      <c r="AF19" s="1684"/>
      <c r="AG19" s="1684"/>
      <c r="AH19" s="1684"/>
      <c r="AI19" s="1684"/>
      <c r="AJ19" s="1684"/>
      <c r="AK19" s="1684"/>
      <c r="AL19" s="1684"/>
      <c r="AM19" s="1684"/>
      <c r="AN19" s="1684"/>
      <c r="AO19" s="1684"/>
    </row>
    <row r="20" spans="1:41" s="2635" customFormat="1" ht="15" thickBot="1">
      <c r="A20" s="2939" t="s">
        <v>1645</v>
      </c>
      <c r="B20" s="1311"/>
      <c r="C20" s="1684"/>
      <c r="D20" s="2941" t="str">
        <f>IF(B26=0,"成新率","工程进度")</f>
        <v>成新率</v>
      </c>
      <c r="E20" s="2658">
        <f>'结果表-收益法倒推'!M4</f>
        <v>0.77</v>
      </c>
      <c r="F20" s="947"/>
      <c r="G20" s="1684"/>
      <c r="H20" s="1684"/>
      <c r="I20" s="1684"/>
      <c r="J20" s="1684"/>
      <c r="K20" s="1684"/>
      <c r="L20" s="1684"/>
      <c r="M20" s="1684"/>
      <c r="N20" s="1684"/>
      <c r="O20" s="1684"/>
      <c r="P20" s="1684"/>
      <c r="Q20" s="1684"/>
      <c r="R20" s="1684"/>
      <c r="S20" s="1684"/>
      <c r="T20" s="1684"/>
      <c r="U20" s="1684"/>
      <c r="V20" s="1684"/>
      <c r="W20" s="1684"/>
      <c r="X20" s="1684"/>
      <c r="Y20" s="1684"/>
      <c r="Z20" s="1684"/>
      <c r="AA20" s="1684"/>
      <c r="AB20" s="1684"/>
      <c r="AC20" s="1684"/>
      <c r="AD20" s="1684"/>
      <c r="AE20" s="1684"/>
      <c r="AF20" s="1684"/>
      <c r="AG20" s="1684"/>
      <c r="AH20" s="1684"/>
      <c r="AI20" s="1684"/>
      <c r="AJ20" s="1684"/>
      <c r="AK20" s="1684"/>
      <c r="AL20" s="1684"/>
      <c r="AM20" s="1684"/>
      <c r="AN20" s="1684"/>
      <c r="AO20" s="1684"/>
    </row>
    <row r="21" spans="1:41" s="2635" customFormat="1" ht="14.25">
      <c r="A21" s="2940" t="s">
        <v>1646</v>
      </c>
      <c r="B21" s="2657">
        <v>0</v>
      </c>
      <c r="C21" s="1684"/>
      <c r="D21" s="2928" t="s">
        <v>1648</v>
      </c>
      <c r="E21" s="2660">
        <v>0.05</v>
      </c>
      <c r="F21" s="2671" t="s">
        <v>2841</v>
      </c>
      <c r="G21" s="1684"/>
      <c r="H21" s="1684"/>
      <c r="I21" s="1684"/>
      <c r="J21" s="1684"/>
      <c r="K21" s="1684"/>
      <c r="L21" s="1684"/>
      <c r="M21" s="1684"/>
      <c r="N21" s="1684"/>
      <c r="O21" s="1684"/>
      <c r="P21" s="1684"/>
      <c r="Q21" s="1684"/>
      <c r="R21" s="1684"/>
      <c r="S21" s="1684"/>
      <c r="T21" s="1684"/>
      <c r="U21" s="1684"/>
      <c r="V21" s="1684"/>
      <c r="W21" s="1684"/>
      <c r="X21" s="1684"/>
      <c r="Y21" s="1684"/>
      <c r="Z21" s="1684"/>
      <c r="AA21" s="1684"/>
      <c r="AB21" s="1684"/>
      <c r="AC21" s="1684"/>
      <c r="AD21" s="1684"/>
      <c r="AE21" s="1684"/>
      <c r="AF21" s="1684"/>
      <c r="AG21" s="1684"/>
      <c r="AH21" s="1684"/>
      <c r="AI21" s="1684"/>
      <c r="AJ21" s="1684"/>
      <c r="AK21" s="1684"/>
      <c r="AL21" s="1684"/>
      <c r="AM21" s="1684"/>
      <c r="AN21" s="1684"/>
      <c r="AO21" s="1684"/>
    </row>
    <row r="22" spans="1:41" s="2635" customFormat="1" ht="14.25">
      <c r="A22" s="2942" t="s">
        <v>1647</v>
      </c>
      <c r="B22" s="2659">
        <v>2</v>
      </c>
      <c r="C22" s="1684"/>
      <c r="D22" s="2928" t="s">
        <v>1650</v>
      </c>
      <c r="E22" s="2663"/>
      <c r="F22" s="2671" t="s">
        <v>2839</v>
      </c>
      <c r="G22" s="1684"/>
      <c r="H22" s="1684"/>
      <c r="I22" s="1684"/>
      <c r="J22" s="1684"/>
      <c r="K22" s="1684"/>
      <c r="L22" s="1684"/>
      <c r="M22" s="1684"/>
      <c r="N22" s="1684"/>
      <c r="O22" s="1684"/>
      <c r="P22" s="1684"/>
      <c r="Q22" s="1684"/>
      <c r="R22" s="1684"/>
      <c r="S22" s="1684"/>
      <c r="T22" s="1684"/>
      <c r="U22" s="1684"/>
      <c r="V22" s="1684"/>
      <c r="W22" s="1684"/>
      <c r="X22" s="1684"/>
      <c r="Y22" s="1684"/>
      <c r="Z22" s="1684"/>
      <c r="AA22" s="1684"/>
      <c r="AB22" s="1684"/>
      <c r="AC22" s="1684"/>
      <c r="AD22" s="1684"/>
      <c r="AE22" s="1684"/>
      <c r="AF22" s="1684"/>
      <c r="AG22" s="1684"/>
      <c r="AH22" s="1684"/>
      <c r="AI22" s="1684"/>
      <c r="AJ22" s="1684"/>
      <c r="AK22" s="1684"/>
      <c r="AL22" s="1684"/>
      <c r="AM22" s="1684"/>
      <c r="AN22" s="1684"/>
      <c r="AO22" s="1684"/>
    </row>
    <row r="23" spans="1:41" s="2635" customFormat="1" ht="14.25">
      <c r="A23" s="2943" t="s">
        <v>1649</v>
      </c>
      <c r="B23" s="2662">
        <v>2</v>
      </c>
      <c r="C23" s="1684"/>
      <c r="D23" s="2928" t="s">
        <v>1652</v>
      </c>
      <c r="E23" s="2650">
        <v>200</v>
      </c>
      <c r="F23" s="2671"/>
      <c r="G23" s="1684"/>
      <c r="H23" s="1684"/>
      <c r="I23" s="1684"/>
      <c r="J23" s="1684"/>
      <c r="K23" s="1684"/>
      <c r="L23" s="1684"/>
      <c r="M23" s="1684"/>
      <c r="N23" s="1684"/>
      <c r="O23" s="1684"/>
      <c r="P23" s="1684"/>
      <c r="Q23" s="1684"/>
      <c r="R23" s="1684"/>
      <c r="S23" s="1684"/>
      <c r="T23" s="1684"/>
      <c r="U23" s="1684"/>
      <c r="V23" s="1684"/>
      <c r="W23" s="1684"/>
      <c r="X23" s="1684"/>
      <c r="Y23" s="1684"/>
      <c r="Z23" s="1684"/>
      <c r="AA23" s="1684"/>
      <c r="AB23" s="1684"/>
      <c r="AC23" s="1684"/>
      <c r="AD23" s="1684"/>
      <c r="AE23" s="1684"/>
      <c r="AF23" s="1684"/>
      <c r="AG23" s="1684"/>
      <c r="AH23" s="1684"/>
      <c r="AI23" s="1684"/>
      <c r="AJ23" s="1684"/>
      <c r="AK23" s="1684"/>
      <c r="AL23" s="1684"/>
      <c r="AM23" s="1684"/>
      <c r="AN23" s="1684"/>
      <c r="AO23" s="1684"/>
    </row>
    <row r="24" spans="1:41" s="2635" customFormat="1" ht="15" thickBot="1">
      <c r="A24" s="2944" t="s">
        <v>1651</v>
      </c>
      <c r="B24" s="2945">
        <f>B21+B22</f>
        <v>2</v>
      </c>
      <c r="C24" s="1684"/>
      <c r="D24" s="2935" t="s">
        <v>1654</v>
      </c>
      <c r="E24" s="2664">
        <v>1.4999999999999999E-2</v>
      </c>
      <c r="F24" s="2671" t="s">
        <v>2842</v>
      </c>
      <c r="G24" s="1684"/>
      <c r="H24" s="1684"/>
      <c r="I24" s="1684"/>
      <c r="J24" s="1684"/>
      <c r="K24" s="1684"/>
      <c r="L24" s="1684"/>
      <c r="M24" s="1684"/>
      <c r="N24" s="1684"/>
      <c r="O24" s="1684"/>
      <c r="P24" s="1684"/>
      <c r="Q24" s="1684"/>
      <c r="R24" s="1684"/>
      <c r="S24" s="1684"/>
      <c r="T24" s="1684"/>
      <c r="U24" s="1684"/>
      <c r="V24" s="1684"/>
      <c r="W24" s="1684"/>
      <c r="X24" s="1684"/>
      <c r="Y24" s="1684"/>
      <c r="Z24" s="1684"/>
      <c r="AA24" s="1684"/>
      <c r="AB24" s="1684"/>
      <c r="AC24" s="1684"/>
      <c r="AD24" s="1684"/>
      <c r="AE24" s="1684"/>
      <c r="AF24" s="1684"/>
      <c r="AG24" s="1684"/>
      <c r="AH24" s="1684"/>
      <c r="AI24" s="1684"/>
      <c r="AJ24" s="1684"/>
      <c r="AK24" s="1684"/>
      <c r="AL24" s="1684"/>
      <c r="AM24" s="1684"/>
      <c r="AN24" s="1684"/>
      <c r="AO24" s="1684"/>
    </row>
    <row r="25" spans="1:41" ht="14.25">
      <c r="A25" s="2946" t="s">
        <v>1653</v>
      </c>
      <c r="B25" s="2947">
        <f>B21+B23</f>
        <v>2</v>
      </c>
      <c r="C25" s="1684"/>
      <c r="D25" s="2927" t="s">
        <v>1656</v>
      </c>
      <c r="E25" s="2660">
        <v>0.03</v>
      </c>
      <c r="F25" s="2671" t="s">
        <v>2840</v>
      </c>
      <c r="I25" s="2966"/>
    </row>
    <row r="26" spans="1:41" ht="15" thickBot="1">
      <c r="A26" s="2944" t="s">
        <v>1655</v>
      </c>
      <c r="B26" s="2948">
        <f>B22-B23</f>
        <v>0</v>
      </c>
      <c r="D26" s="2928" t="s">
        <v>1658</v>
      </c>
      <c r="E26" s="2663">
        <v>0.03</v>
      </c>
      <c r="F26" s="2671" t="s">
        <v>2840</v>
      </c>
      <c r="G26" s="2967"/>
      <c r="H26" s="2967"/>
      <c r="I26" s="1684"/>
      <c r="J26" s="1684"/>
      <c r="K26" s="1684"/>
      <c r="L26" s="1684"/>
      <c r="M26" s="1684"/>
      <c r="N26" s="1684"/>
    </row>
    <row r="27" spans="1:41" ht="15.75" thickBot="1">
      <c r="A27" s="2949" t="s">
        <v>1657</v>
      </c>
      <c r="B27" s="2665">
        <v>2002</v>
      </c>
      <c r="C27" s="1684"/>
      <c r="D27" s="3152" t="s">
        <v>2939</v>
      </c>
      <c r="E27" s="2950">
        <f ca="1">IF(D27="利息：取LPR",存贷款利率!G1,存贷款利率!G1+F27)</f>
        <v>4.7500000000000001E-2</v>
      </c>
      <c r="F27" s="3153">
        <v>1.0999999999999999E-2</v>
      </c>
      <c r="G27" s="2967"/>
      <c r="H27" s="2967"/>
      <c r="K27" s="1684"/>
      <c r="N27" s="1684"/>
    </row>
    <row r="28" spans="1:41" ht="15" thickBot="1">
      <c r="A28" s="947"/>
      <c r="B28" s="947"/>
      <c r="D28" s="2931" t="s">
        <v>1660</v>
      </c>
      <c r="E28" s="2667">
        <v>0.2</v>
      </c>
      <c r="G28" s="2967"/>
      <c r="H28" s="2967"/>
      <c r="K28" s="1684"/>
      <c r="N28" s="1684"/>
    </row>
    <row r="29" spans="1:41" ht="14.25">
      <c r="A29" s="2951" t="s">
        <v>1659</v>
      </c>
      <c r="B29" s="2666" t="s">
        <v>2886</v>
      </c>
      <c r="D29" s="2933" t="s">
        <v>1661</v>
      </c>
      <c r="E29" s="2952">
        <f>E30+E31</f>
        <v>5.6000000000000001E-2</v>
      </c>
      <c r="F29" s="1310"/>
      <c r="G29" s="2967"/>
      <c r="H29" s="2967"/>
      <c r="K29" s="1684"/>
      <c r="N29" s="1684"/>
    </row>
    <row r="30" spans="1:41" ht="14.25">
      <c r="A30" s="2928" t="str">
        <f>IF(B29="租赁期内按合同租金","合同租金","市场租金")</f>
        <v>市场租金</v>
      </c>
      <c r="B30" s="2668"/>
      <c r="D30" s="2935" t="s">
        <v>1663</v>
      </c>
      <c r="E30" s="2669">
        <v>0.05</v>
      </c>
      <c r="F30" s="2954">
        <f>IF(B2&lt;DATE(2016,5,1),0,E30)</f>
        <v>0</v>
      </c>
      <c r="G30" s="2967"/>
      <c r="H30" s="2967"/>
      <c r="K30" s="1684"/>
      <c r="N30" s="1684"/>
    </row>
    <row r="31" spans="1:41" ht="14.25">
      <c r="A31" s="2928" t="s">
        <v>1662</v>
      </c>
      <c r="B31" s="2953">
        <f ca="1">存贷款利率!I1</f>
        <v>1.4999999999999999E-2</v>
      </c>
      <c r="D31" s="2935" t="s">
        <v>1665</v>
      </c>
      <c r="E31" s="2955">
        <f>E30*(E32+E33+E34)+E35</f>
        <v>6.000000000000001E-3</v>
      </c>
      <c r="F31" s="1310"/>
      <c r="G31" s="2967"/>
      <c r="H31" s="2967"/>
      <c r="K31" s="1684"/>
      <c r="N31" s="1684"/>
    </row>
    <row r="32" spans="1:41" ht="14.25">
      <c r="A32" s="2928" t="s">
        <v>1664</v>
      </c>
      <c r="B32" s="2653">
        <v>0.03</v>
      </c>
      <c r="D32" s="2935" t="s">
        <v>1667</v>
      </c>
      <c r="E32" s="2670">
        <v>7.0000000000000007E-2</v>
      </c>
      <c r="F32" s="2671" t="s">
        <v>2726</v>
      </c>
      <c r="G32" s="2967"/>
      <c r="H32" s="2967"/>
      <c r="K32" s="1684"/>
      <c r="L32" s="1684"/>
      <c r="M32" s="1684"/>
      <c r="N32" s="1684"/>
    </row>
    <row r="33" spans="1:14" ht="14.25">
      <c r="A33" s="2928" t="s">
        <v>1666</v>
      </c>
      <c r="B33" s="2653">
        <v>0.1</v>
      </c>
      <c r="D33" s="2935" t="s">
        <v>1669</v>
      </c>
      <c r="E33" s="2669">
        <v>0.03</v>
      </c>
      <c r="F33" s="1309" t="s">
        <v>1670</v>
      </c>
      <c r="G33" s="2967"/>
      <c r="H33" s="2967"/>
      <c r="K33" s="1684"/>
      <c r="L33" s="1684"/>
      <c r="M33" s="1684"/>
      <c r="N33" s="1684"/>
    </row>
    <row r="34" spans="1:14" s="2673" customFormat="1" ht="14.25">
      <c r="A34" s="2928" t="s">
        <v>1668</v>
      </c>
      <c r="B34" s="2956">
        <f>收益法!J54</f>
        <v>26.5</v>
      </c>
      <c r="D34" s="2935" t="s">
        <v>1671</v>
      </c>
      <c r="E34" s="2669">
        <v>0.02</v>
      </c>
      <c r="F34" s="1309" t="s">
        <v>1672</v>
      </c>
      <c r="G34" s="2967"/>
      <c r="H34" s="2967"/>
      <c r="I34" s="1684"/>
      <c r="J34" s="1684"/>
      <c r="K34" s="1684"/>
      <c r="L34" s="1684"/>
      <c r="M34" s="1684"/>
      <c r="N34" s="1684"/>
    </row>
    <row r="35" spans="1:14" s="2673" customFormat="1" ht="15" thickBot="1">
      <c r="A35" s="2935" t="str">
        <f>IF(B29="租赁期内按合同租金","剩余租赁期","——")</f>
        <v>——</v>
      </c>
      <c r="B35" s="2672"/>
      <c r="D35" s="2931" t="s">
        <v>1674</v>
      </c>
      <c r="E35" s="2675"/>
      <c r="F35" s="1312" t="s">
        <v>1675</v>
      </c>
      <c r="G35" s="2967"/>
      <c r="H35" s="2967"/>
      <c r="I35" s="1684"/>
      <c r="J35" s="1684"/>
      <c r="K35" s="1684"/>
      <c r="L35" s="1684"/>
      <c r="M35" s="1684"/>
      <c r="N35" s="1684"/>
    </row>
    <row r="36" spans="1:14" s="2673" customFormat="1" ht="15">
      <c r="A36" s="2957" t="s">
        <v>1673</v>
      </c>
      <c r="B36" s="2958"/>
      <c r="D36" s="2959" t="s">
        <v>1676</v>
      </c>
      <c r="E36" s="2677">
        <v>0.03</v>
      </c>
      <c r="F36" s="1311" t="s">
        <v>1677</v>
      </c>
      <c r="G36" s="2967"/>
      <c r="H36" s="2967"/>
      <c r="I36" s="1684"/>
      <c r="J36" s="1684"/>
      <c r="K36" s="1684"/>
      <c r="L36" s="1684"/>
      <c r="M36" s="1684"/>
      <c r="N36" s="1684"/>
    </row>
    <row r="37" spans="1:14" s="2673" customFormat="1" ht="15" thickBot="1">
      <c r="A37" s="2933" t="str">
        <f>IF(B29="租赁期内按合同租金","租金","——")</f>
        <v>——</v>
      </c>
      <c r="B37" s="2676"/>
      <c r="D37" s="2935" t="s">
        <v>1678</v>
      </c>
      <c r="E37" s="2669">
        <v>5.0000000000000001E-4</v>
      </c>
      <c r="F37" s="1311" t="s">
        <v>1679</v>
      </c>
      <c r="G37" s="2967"/>
      <c r="H37" s="2967"/>
      <c r="I37" s="1684"/>
      <c r="J37" s="1684"/>
      <c r="K37" s="1684"/>
      <c r="L37" s="1684"/>
      <c r="M37" s="1684"/>
      <c r="N37" s="1684"/>
    </row>
    <row r="38" spans="1:14" s="2673" customFormat="1" ht="14.25">
      <c r="A38" s="2928" t="str">
        <f>IF(B29="租赁期内按合同租金","年租金增长率","——")</f>
        <v>——</v>
      </c>
      <c r="B38" s="2653"/>
      <c r="D38" s="2960" t="s">
        <v>1680</v>
      </c>
      <c r="E38" s="2961">
        <v>1.2E-2</v>
      </c>
      <c r="F38" s="1311"/>
      <c r="G38" s="2966"/>
      <c r="H38" s="2966"/>
      <c r="I38" s="2967"/>
      <c r="J38" s="1684"/>
      <c r="K38" s="1684"/>
      <c r="L38" s="1684"/>
      <c r="M38" s="1684"/>
      <c r="N38" s="1684"/>
    </row>
    <row r="39" spans="1:14" s="2673" customFormat="1" ht="15" thickBot="1">
      <c r="A39" s="2928" t="str">
        <f>IF(B29="租赁期内按合同租金","空置率","——")</f>
        <v>——</v>
      </c>
      <c r="B39" s="2653"/>
      <c r="D39" s="2931" t="s">
        <v>1681</v>
      </c>
      <c r="E39" s="2962">
        <v>0.12</v>
      </c>
      <c r="F39" s="1311"/>
      <c r="G39" s="2967"/>
      <c r="H39" s="2967"/>
      <c r="I39" s="1684"/>
      <c r="J39" s="1684"/>
      <c r="K39" s="1684"/>
      <c r="L39" s="1684"/>
      <c r="M39" s="1684"/>
      <c r="N39" s="1684"/>
    </row>
    <row r="40" spans="1:14" ht="14.25">
      <c r="A40" s="2928" t="str">
        <f>IF(B29="租赁期内按合同租金","成新率","——")</f>
        <v>——</v>
      </c>
      <c r="B40" s="2653"/>
      <c r="D40" s="2960" t="s">
        <v>1682</v>
      </c>
      <c r="E40" s="2964">
        <f>SUMIF(D42:D51,E41,E42:E51)</f>
        <v>3</v>
      </c>
      <c r="F40" s="1311"/>
      <c r="G40" s="2967"/>
      <c r="H40" s="2967"/>
      <c r="I40" s="1684"/>
      <c r="J40" s="1684"/>
      <c r="K40" s="1684"/>
      <c r="L40" s="1684"/>
      <c r="M40" s="1684"/>
      <c r="N40" s="1684"/>
    </row>
    <row r="41" spans="1:14" ht="15" thickBot="1">
      <c r="A41" s="2935" t="str">
        <f>IF(B29="租赁期内按合同租金","租赁期外收益期","——")</f>
        <v>——</v>
      </c>
      <c r="B41" s="2963" t="str">
        <f>IF(B29="租赁期内按合同租金",B34-B35,"——")</f>
        <v>——</v>
      </c>
      <c r="D41" s="2928" t="s">
        <v>1684</v>
      </c>
      <c r="E41" s="2679" t="s">
        <v>480</v>
      </c>
      <c r="F41" s="1311" t="s">
        <v>1685</v>
      </c>
      <c r="G41" s="1771" t="s">
        <v>1686</v>
      </c>
      <c r="H41" s="2967"/>
      <c r="I41" s="1684"/>
      <c r="J41" s="1684"/>
      <c r="K41" s="1684"/>
      <c r="L41" s="1684"/>
      <c r="M41" s="1684"/>
      <c r="N41" s="1684"/>
    </row>
    <row r="42" spans="1:14" ht="14.25">
      <c r="A42" s="2927" t="s">
        <v>1683</v>
      </c>
      <c r="B42" s="2678">
        <v>1</v>
      </c>
      <c r="D42" s="2681" t="s">
        <v>1688</v>
      </c>
      <c r="E42" s="2668">
        <f>F42</f>
        <v>30</v>
      </c>
      <c r="F42" s="1311">
        <v>30</v>
      </c>
      <c r="G42" s="2967"/>
      <c r="H42" s="2967"/>
      <c r="I42" s="1684"/>
      <c r="J42" s="1684"/>
      <c r="K42" s="1684"/>
      <c r="L42" s="1684"/>
      <c r="M42" s="1684"/>
      <c r="N42" s="1684"/>
    </row>
    <row r="43" spans="1:14" ht="14.25">
      <c r="A43" s="2928" t="s">
        <v>1687</v>
      </c>
      <c r="B43" s="2680">
        <v>365</v>
      </c>
      <c r="D43" s="2681" t="s">
        <v>1690</v>
      </c>
      <c r="E43" s="2668">
        <f t="shared" ref="E43:E47" si="0">F43</f>
        <v>24</v>
      </c>
      <c r="F43" s="1311">
        <v>24</v>
      </c>
      <c r="G43" s="2967"/>
      <c r="H43" s="2967"/>
      <c r="I43" s="1684"/>
      <c r="J43" s="1684"/>
      <c r="K43" s="1684"/>
      <c r="L43" s="1684"/>
      <c r="M43" s="1684"/>
      <c r="N43" s="1684"/>
    </row>
    <row r="44" spans="1:14" ht="14.25">
      <c r="A44" s="2928" t="s">
        <v>1689</v>
      </c>
      <c r="B44" s="2668"/>
      <c r="D44" s="2681" t="s">
        <v>1692</v>
      </c>
      <c r="E44" s="2668">
        <f t="shared" si="0"/>
        <v>18</v>
      </c>
      <c r="F44" s="1311">
        <v>18</v>
      </c>
      <c r="G44" s="2673"/>
      <c r="H44" s="2673"/>
      <c r="I44" s="2967"/>
      <c r="J44" s="1684"/>
      <c r="K44" s="1684"/>
      <c r="L44" s="1684"/>
      <c r="M44" s="1684"/>
      <c r="N44" s="1684"/>
    </row>
    <row r="45" spans="1:14" ht="14.25">
      <c r="A45" s="2928" t="s">
        <v>1691</v>
      </c>
      <c r="B45" s="2682">
        <v>0.02</v>
      </c>
      <c r="C45" s="2561" t="s">
        <v>2838</v>
      </c>
      <c r="D45" s="2681" t="s">
        <v>1694</v>
      </c>
      <c r="E45" s="2668">
        <f t="shared" si="0"/>
        <v>12</v>
      </c>
      <c r="F45" s="1311">
        <v>12</v>
      </c>
      <c r="G45" s="2673"/>
      <c r="H45" s="2673"/>
      <c r="M45" s="1684"/>
      <c r="N45" s="1684"/>
    </row>
    <row r="46" spans="1:14" ht="14.25">
      <c r="A46" s="2928" t="s">
        <v>1693</v>
      </c>
      <c r="B46" s="2683">
        <v>2E-3</v>
      </c>
      <c r="C46" s="2561" t="s">
        <v>2836</v>
      </c>
      <c r="D46" s="2681" t="s">
        <v>1457</v>
      </c>
      <c r="E46" s="2668">
        <f t="shared" si="0"/>
        <v>3</v>
      </c>
      <c r="F46" s="1311">
        <v>3</v>
      </c>
      <c r="G46" s="2673"/>
      <c r="H46" s="2673"/>
      <c r="M46" s="1684"/>
      <c r="N46" s="1684"/>
    </row>
    <row r="47" spans="1:14" ht="15" thickBot="1">
      <c r="A47" s="2931" t="s">
        <v>1695</v>
      </c>
      <c r="B47" s="2684">
        <v>0.02</v>
      </c>
      <c r="C47" s="2561" t="s">
        <v>2837</v>
      </c>
      <c r="D47" s="2681" t="s">
        <v>1696</v>
      </c>
      <c r="E47" s="2668">
        <f t="shared" si="0"/>
        <v>1.5</v>
      </c>
      <c r="F47" s="1311">
        <v>1.5</v>
      </c>
      <c r="G47" s="2673"/>
      <c r="H47" s="2673"/>
      <c r="M47" s="1684"/>
      <c r="N47" s="1684"/>
    </row>
    <row r="48" spans="1:14" ht="14.25">
      <c r="A48" s="2673"/>
      <c r="B48" s="2673"/>
      <c r="D48" s="2681" t="s">
        <v>1697</v>
      </c>
      <c r="E48" s="2668"/>
      <c r="F48" s="1311"/>
      <c r="G48" s="2673"/>
      <c r="H48" s="2673"/>
      <c r="M48" s="1684"/>
      <c r="N48" s="1684"/>
    </row>
    <row r="49" spans="1:41" ht="14.25">
      <c r="A49" s="2673"/>
      <c r="B49" s="2673"/>
      <c r="D49" s="2681" t="s">
        <v>1698</v>
      </c>
      <c r="E49" s="2668"/>
      <c r="F49" s="1311"/>
      <c r="G49" s="2673"/>
      <c r="H49" s="2673"/>
      <c r="M49" s="1684"/>
      <c r="N49" s="1684"/>
    </row>
    <row r="50" spans="1:41" ht="14.25">
      <c r="A50" s="2673"/>
      <c r="B50" s="2673"/>
      <c r="D50" s="2681" t="s">
        <v>1699</v>
      </c>
      <c r="E50" s="2668"/>
      <c r="F50" s="1311"/>
      <c r="G50" s="2673"/>
      <c r="H50" s="2673"/>
      <c r="M50" s="1684"/>
      <c r="N50" s="1684"/>
    </row>
    <row r="51" spans="1:41" s="947" customFormat="1" ht="15" thickBot="1">
      <c r="A51" s="2673"/>
      <c r="B51" s="2673"/>
      <c r="C51" s="2673"/>
      <c r="D51" s="2685" t="s">
        <v>1700</v>
      </c>
      <c r="E51" s="2686"/>
      <c r="F51" s="1311"/>
      <c r="G51" s="2673"/>
      <c r="H51" s="2673"/>
      <c r="I51" s="2673"/>
      <c r="J51" s="2673"/>
      <c r="K51" s="2673"/>
      <c r="L51" s="2673"/>
      <c r="M51" s="1684"/>
      <c r="N51" s="1684"/>
      <c r="O51" s="2673"/>
      <c r="P51" s="2673"/>
      <c r="Q51" s="2673"/>
      <c r="R51" s="2673"/>
      <c r="S51" s="2673"/>
      <c r="T51" s="2673"/>
      <c r="U51" s="2673"/>
      <c r="V51" s="2673"/>
      <c r="W51" s="2673"/>
      <c r="X51" s="2673"/>
      <c r="Y51" s="2673"/>
      <c r="Z51" s="2673"/>
      <c r="AA51" s="2673"/>
      <c r="AB51" s="2673"/>
      <c r="AC51" s="2673"/>
      <c r="AD51" s="2673"/>
      <c r="AE51" s="2673"/>
      <c r="AF51" s="2673"/>
      <c r="AG51" s="2673"/>
      <c r="AH51" s="2673"/>
      <c r="AI51" s="2673"/>
      <c r="AJ51" s="2673"/>
      <c r="AK51" s="2673"/>
      <c r="AL51" s="2673"/>
      <c r="AM51" s="2673"/>
      <c r="AN51" s="2673"/>
      <c r="AO51" s="2673"/>
    </row>
    <row r="52" spans="1:41" s="2673" customFormat="1" ht="14.25">
      <c r="D52" s="2967"/>
      <c r="E52" s="2967"/>
      <c r="F52" s="2967"/>
      <c r="G52" s="2967"/>
      <c r="H52" s="2967"/>
      <c r="I52" s="1684"/>
      <c r="J52" s="1684"/>
      <c r="K52" s="1684"/>
      <c r="L52" s="1684"/>
      <c r="M52" s="1684"/>
      <c r="N52" s="1684"/>
    </row>
    <row r="53" spans="1:41" s="2673" customFormat="1" ht="14.25">
      <c r="D53" s="2967"/>
      <c r="E53" s="2967"/>
      <c r="F53" s="2967"/>
      <c r="G53" s="2967"/>
      <c r="H53" s="2967"/>
      <c r="I53" s="1684"/>
      <c r="J53" s="1684"/>
      <c r="K53" s="1684"/>
      <c r="L53" s="1684"/>
      <c r="M53" s="1684"/>
      <c r="N53" s="1684"/>
    </row>
    <row r="54" spans="1:41" s="2673" customFormat="1" ht="14.25">
      <c r="D54" s="2967"/>
      <c r="E54" s="2967"/>
      <c r="F54" s="2967"/>
      <c r="G54" s="2967"/>
      <c r="H54" s="2967"/>
      <c r="I54" s="1684"/>
      <c r="J54" s="1684"/>
      <c r="K54" s="1684"/>
      <c r="L54" s="1684"/>
      <c r="M54" s="1684"/>
      <c r="N54" s="1684"/>
    </row>
    <row r="55" spans="1:41" s="2673" customFormat="1" ht="14.25">
      <c r="D55" s="2967"/>
      <c r="E55" s="2967"/>
      <c r="F55" s="2967"/>
      <c r="G55" s="2967"/>
      <c r="H55" s="2967"/>
      <c r="I55" s="1684"/>
      <c r="J55" s="1684"/>
      <c r="K55" s="1684"/>
      <c r="L55" s="1684"/>
      <c r="M55" s="1684"/>
      <c r="N55" s="1684"/>
    </row>
    <row r="56" spans="1:41" s="2673" customFormat="1" ht="14.25">
      <c r="D56" s="2967"/>
      <c r="E56" s="2967"/>
      <c r="F56" s="2967"/>
      <c r="G56" s="2967"/>
      <c r="H56" s="2967"/>
      <c r="I56" s="1684"/>
      <c r="J56" s="1684"/>
      <c r="K56" s="1684"/>
      <c r="L56" s="1684"/>
      <c r="M56" s="1684"/>
      <c r="N56" s="1684"/>
    </row>
    <row r="57" spans="1:41" s="2673" customFormat="1" ht="14.25">
      <c r="D57" s="2967"/>
      <c r="E57" s="2967"/>
      <c r="F57" s="2967"/>
      <c r="G57" s="2967"/>
      <c r="H57" s="2967"/>
      <c r="I57" s="1684"/>
      <c r="J57" s="1684"/>
      <c r="K57" s="1684"/>
      <c r="L57" s="1684"/>
      <c r="M57" s="1684"/>
      <c r="N57" s="1684"/>
    </row>
    <row r="58" spans="1:41" s="2673" customFormat="1" ht="14.25">
      <c r="D58" s="2967"/>
      <c r="E58" s="2967"/>
      <c r="F58" s="2967"/>
      <c r="G58" s="2967"/>
      <c r="H58" s="2967"/>
      <c r="I58" s="1684"/>
      <c r="J58" s="1684"/>
      <c r="K58" s="1684"/>
      <c r="L58" s="1684"/>
      <c r="M58" s="1684"/>
      <c r="N58" s="1684"/>
    </row>
    <row r="59" spans="1:41" s="2673" customFormat="1" ht="14.25">
      <c r="D59" s="2967"/>
      <c r="E59" s="2967"/>
      <c r="F59" s="2967"/>
      <c r="G59" s="2967"/>
      <c r="H59" s="2967"/>
      <c r="I59" s="1684"/>
      <c r="J59" s="1684"/>
      <c r="K59" s="1684"/>
      <c r="L59" s="1684"/>
      <c r="M59" s="2968"/>
      <c r="N59" s="1684"/>
    </row>
    <row r="60" spans="1:41" s="2673" customFormat="1" ht="14.25">
      <c r="D60" s="2967"/>
      <c r="E60" s="2967"/>
      <c r="F60" s="2967"/>
      <c r="G60" s="2967"/>
      <c r="H60" s="2967"/>
      <c r="I60" s="1684"/>
      <c r="J60" s="1684"/>
      <c r="K60" s="1684"/>
      <c r="L60" s="1684"/>
      <c r="M60" s="1684"/>
      <c r="N60" s="1684"/>
    </row>
    <row r="61" spans="1:41" s="2673" customFormat="1" ht="14.25">
      <c r="D61" s="2967"/>
      <c r="E61" s="2967"/>
      <c r="F61" s="2967"/>
      <c r="G61" s="2967"/>
      <c r="H61" s="2967"/>
      <c r="I61" s="1684"/>
      <c r="J61" s="1684"/>
      <c r="K61" s="1684"/>
      <c r="L61" s="1684"/>
      <c r="M61" s="1684"/>
      <c r="N61" s="1684"/>
    </row>
    <row r="62" spans="1:41" s="2673" customFormat="1" ht="14.25">
      <c r="D62" s="2967"/>
      <c r="E62" s="2967"/>
      <c r="F62" s="2967"/>
      <c r="G62" s="2967"/>
      <c r="H62" s="2967"/>
      <c r="I62" s="1684"/>
      <c r="J62" s="1684"/>
      <c r="K62" s="1684"/>
      <c r="L62" s="1684"/>
      <c r="M62" s="1684"/>
      <c r="N62" s="1684"/>
    </row>
    <row r="63" spans="1:41" s="2673" customFormat="1" ht="14.25">
      <c r="D63" s="2967"/>
      <c r="E63" s="2967"/>
      <c r="F63" s="2967"/>
      <c r="G63" s="2967"/>
      <c r="H63" s="2967"/>
      <c r="I63" s="1684"/>
      <c r="J63" s="1684"/>
      <c r="K63" s="1684"/>
      <c r="L63" s="1684"/>
      <c r="M63" s="1684"/>
      <c r="N63" s="1684"/>
    </row>
    <row r="64" spans="1:41" s="2673" customFormat="1" ht="14.25">
      <c r="D64" s="2967"/>
      <c r="E64" s="2967"/>
      <c r="F64" s="2967"/>
      <c r="G64" s="2967"/>
      <c r="H64" s="2967"/>
      <c r="I64" s="1684"/>
      <c r="J64" s="1684"/>
      <c r="K64" s="1684"/>
      <c r="L64" s="1684"/>
      <c r="M64" s="1684"/>
      <c r="N64" s="1684"/>
    </row>
    <row r="65" spans="1:14" s="2673" customFormat="1" ht="14.25">
      <c r="D65" s="2967"/>
      <c r="E65" s="2967"/>
      <c r="F65" s="2967"/>
      <c r="G65" s="2967"/>
      <c r="H65" s="2967"/>
      <c r="I65" s="1684"/>
      <c r="J65" s="1684"/>
      <c r="K65" s="1684"/>
      <c r="L65" s="1684"/>
      <c r="M65" s="1684"/>
      <c r="N65" s="1684"/>
    </row>
    <row r="66" spans="1:14" s="2673" customFormat="1" ht="14.25">
      <c r="D66" s="2967"/>
      <c r="E66" s="2967"/>
      <c r="F66" s="2967"/>
      <c r="G66" s="2967"/>
      <c r="H66" s="2967"/>
      <c r="I66" s="1684"/>
      <c r="J66" s="1684"/>
      <c r="K66" s="1684"/>
      <c r="L66" s="1684"/>
      <c r="M66" s="1684"/>
      <c r="N66" s="1684"/>
    </row>
    <row r="67" spans="1:14" s="2673" customFormat="1" ht="14.25">
      <c r="A67" s="2971"/>
      <c r="D67" s="2967"/>
      <c r="E67" s="2967"/>
      <c r="F67" s="2967"/>
      <c r="G67" s="2967"/>
      <c r="H67" s="2967"/>
      <c r="I67" s="1684"/>
      <c r="J67" s="1684"/>
      <c r="K67" s="1684"/>
      <c r="L67" s="1684"/>
      <c r="M67" s="1684"/>
      <c r="N67" s="1684"/>
    </row>
    <row r="68" spans="1:14" s="2673" customFormat="1" ht="14.25">
      <c r="A68" s="2971"/>
      <c r="D68" s="2967"/>
      <c r="E68" s="2967"/>
      <c r="F68" s="2967"/>
      <c r="G68" s="2966"/>
      <c r="H68" s="2966"/>
    </row>
    <row r="69" spans="1:14" s="2673" customFormat="1">
      <c r="A69" s="2971"/>
      <c r="D69" s="2966"/>
      <c r="E69" s="2966"/>
      <c r="F69" s="2966"/>
      <c r="G69" s="2966"/>
      <c r="H69" s="2966"/>
    </row>
    <row r="70" spans="1:14" s="2673" customFormat="1">
      <c r="A70" s="2971"/>
      <c r="D70" s="2966"/>
      <c r="E70" s="2966"/>
      <c r="F70" s="2966"/>
      <c r="G70" s="2966"/>
      <c r="H70" s="2966"/>
    </row>
    <row r="71" spans="1:14" s="2673" customFormat="1">
      <c r="A71" s="2971"/>
      <c r="D71" s="2966"/>
      <c r="E71" s="2966"/>
      <c r="F71" s="2966"/>
      <c r="G71" s="2966"/>
      <c r="H71" s="2966"/>
    </row>
    <row r="72" spans="1:14" s="2673" customFormat="1">
      <c r="A72" s="2971"/>
      <c r="D72" s="2966"/>
      <c r="E72" s="2966"/>
      <c r="F72" s="2966"/>
      <c r="G72" s="2966"/>
      <c r="H72" s="2966"/>
    </row>
    <row r="73" spans="1:14" s="2673" customFormat="1">
      <c r="A73" s="2971"/>
      <c r="D73" s="2966"/>
      <c r="E73" s="2966"/>
      <c r="F73" s="2966"/>
      <c r="G73" s="2966"/>
      <c r="H73" s="2966"/>
    </row>
    <row r="74" spans="1:14" s="2673" customFormat="1">
      <c r="A74" s="2971"/>
      <c r="D74" s="2966"/>
      <c r="E74" s="2966"/>
      <c r="F74" s="2966"/>
      <c r="G74" s="2966"/>
      <c r="H74" s="2966"/>
    </row>
    <row r="75" spans="1:14" s="2673" customFormat="1">
      <c r="A75" s="2971"/>
      <c r="D75" s="2966"/>
      <c r="E75" s="2966"/>
      <c r="F75" s="2966"/>
      <c r="G75" s="2966"/>
      <c r="H75" s="2966"/>
    </row>
    <row r="76" spans="1:14" s="2673" customFormat="1">
      <c r="A76" s="2971"/>
      <c r="D76" s="2966"/>
      <c r="E76" s="2966"/>
      <c r="F76" s="2966"/>
      <c r="G76" s="2966"/>
      <c r="H76" s="2966"/>
    </row>
    <row r="77" spans="1:14" s="2673" customFormat="1">
      <c r="A77" s="2971"/>
      <c r="D77" s="2966"/>
      <c r="E77" s="2966"/>
      <c r="F77" s="2966"/>
      <c r="G77" s="2966"/>
      <c r="H77" s="2966"/>
    </row>
    <row r="78" spans="1:14" s="2673" customFormat="1">
      <c r="A78" s="2971"/>
      <c r="D78" s="2966"/>
      <c r="E78" s="2966"/>
      <c r="F78" s="2966"/>
      <c r="G78" s="2966"/>
      <c r="H78" s="2966"/>
    </row>
    <row r="79" spans="1:14" s="2673" customFormat="1">
      <c r="A79" s="2971"/>
      <c r="D79" s="2966"/>
      <c r="E79" s="2966"/>
      <c r="F79" s="2966"/>
      <c r="G79" s="2966"/>
      <c r="H79" s="2966"/>
    </row>
    <row r="80" spans="1:14" s="2673" customFormat="1">
      <c r="A80" s="2971"/>
      <c r="D80" s="2966"/>
      <c r="E80" s="2966"/>
      <c r="F80" s="2966"/>
      <c r="G80" s="2966"/>
      <c r="H80" s="2966"/>
    </row>
    <row r="81" spans="1:8" s="2673" customFormat="1">
      <c r="A81" s="2971"/>
      <c r="D81" s="2966"/>
      <c r="E81" s="2966"/>
      <c r="F81" s="2966"/>
      <c r="G81" s="2966"/>
      <c r="H81" s="2966"/>
    </row>
    <row r="82" spans="1:8" s="2673" customFormat="1">
      <c r="A82" s="2971"/>
      <c r="D82" s="2966"/>
      <c r="E82" s="2966"/>
      <c r="F82" s="2966"/>
      <c r="G82" s="2966"/>
      <c r="H82" s="2966"/>
    </row>
    <row r="83" spans="1:8" s="2673" customFormat="1">
      <c r="A83" s="2971"/>
      <c r="D83" s="2966"/>
      <c r="E83" s="2966"/>
      <c r="F83" s="2966"/>
      <c r="G83" s="2966"/>
      <c r="H83" s="2966"/>
    </row>
    <row r="84" spans="1:8" s="2673" customFormat="1">
      <c r="A84" s="2971"/>
      <c r="D84" s="2966"/>
      <c r="E84" s="2966"/>
      <c r="F84" s="2966"/>
      <c r="G84" s="2966"/>
      <c r="H84" s="2966"/>
    </row>
    <row r="85" spans="1:8" s="2673" customFormat="1">
      <c r="A85" s="2971"/>
      <c r="D85" s="2966"/>
      <c r="E85" s="2966"/>
      <c r="F85" s="2966"/>
      <c r="G85" s="2966"/>
      <c r="H85" s="2966"/>
    </row>
    <row r="86" spans="1:8" s="2673" customFormat="1">
      <c r="A86" s="2971"/>
      <c r="D86" s="2966"/>
      <c r="E86" s="2966"/>
      <c r="F86" s="2966"/>
      <c r="G86" s="2966"/>
      <c r="H86" s="2966"/>
    </row>
    <row r="87" spans="1:8" s="2673" customFormat="1">
      <c r="A87" s="2971"/>
      <c r="D87" s="2966"/>
      <c r="E87" s="2966"/>
      <c r="F87" s="2966"/>
      <c r="G87" s="2966"/>
      <c r="H87" s="2966"/>
    </row>
    <row r="88" spans="1:8" s="2673" customFormat="1">
      <c r="A88" s="2971"/>
      <c r="D88" s="2966"/>
      <c r="E88" s="2966"/>
      <c r="F88" s="2966"/>
      <c r="G88" s="2966"/>
      <c r="H88" s="2966"/>
    </row>
    <row r="89" spans="1:8" s="2673" customFormat="1">
      <c r="A89" s="2971"/>
      <c r="D89" s="2966"/>
      <c r="E89" s="2966"/>
      <c r="F89" s="2966"/>
      <c r="G89" s="2966"/>
      <c r="H89" s="2966"/>
    </row>
    <row r="90" spans="1:8" s="2673" customFormat="1">
      <c r="A90" s="2971"/>
      <c r="D90" s="2966"/>
      <c r="E90" s="2966"/>
      <c r="F90" s="2966"/>
      <c r="G90" s="2966"/>
      <c r="H90" s="2966"/>
    </row>
    <row r="91" spans="1:8" s="2673" customFormat="1">
      <c r="A91" s="2971"/>
      <c r="D91" s="2966"/>
      <c r="E91" s="2966"/>
      <c r="F91" s="2966"/>
      <c r="G91" s="2966"/>
      <c r="H91" s="2966"/>
    </row>
    <row r="92" spans="1:8" s="2673" customFormat="1">
      <c r="A92" s="2971"/>
      <c r="D92" s="2966"/>
      <c r="E92" s="2966"/>
      <c r="F92" s="2966"/>
      <c r="G92" s="2966"/>
      <c r="H92" s="2966"/>
    </row>
    <row r="93" spans="1:8" s="2673" customFormat="1">
      <c r="A93" s="2971"/>
      <c r="D93" s="2966"/>
      <c r="E93" s="2966"/>
      <c r="F93" s="2966"/>
      <c r="G93" s="2966"/>
      <c r="H93" s="2966"/>
    </row>
    <row r="94" spans="1:8" s="2673" customFormat="1">
      <c r="A94" s="2971"/>
      <c r="D94" s="2966"/>
      <c r="E94" s="2966"/>
      <c r="F94" s="2966"/>
      <c r="G94" s="2966"/>
      <c r="H94" s="2966"/>
    </row>
    <row r="95" spans="1:8" s="2673" customFormat="1">
      <c r="A95" s="2971"/>
      <c r="D95" s="2966"/>
      <c r="E95" s="2966"/>
      <c r="F95" s="2966"/>
      <c r="G95" s="2966"/>
      <c r="H95" s="2966"/>
    </row>
    <row r="96" spans="1:8" s="2673" customFormat="1">
      <c r="A96" s="2971"/>
      <c r="D96" s="2966"/>
      <c r="E96" s="2966"/>
      <c r="F96" s="2966"/>
      <c r="G96" s="2966"/>
      <c r="H96" s="2966"/>
    </row>
    <row r="97" spans="1:8" s="2673" customFormat="1">
      <c r="A97" s="2971"/>
      <c r="D97" s="2966"/>
      <c r="E97" s="2966"/>
      <c r="F97" s="2966"/>
      <c r="G97" s="2966"/>
      <c r="H97" s="2966"/>
    </row>
    <row r="98" spans="1:8" s="2673" customFormat="1">
      <c r="A98" s="2971"/>
      <c r="D98" s="2966"/>
      <c r="E98" s="2966"/>
      <c r="F98" s="2966"/>
      <c r="G98" s="2966"/>
      <c r="H98" s="2966"/>
    </row>
    <row r="99" spans="1:8" s="2673" customFormat="1">
      <c r="A99" s="2971"/>
      <c r="D99" s="2966"/>
      <c r="E99" s="2966"/>
      <c r="F99" s="2966"/>
      <c r="G99" s="2966"/>
      <c r="H99" s="2966"/>
    </row>
    <row r="100" spans="1:8" s="2673" customFormat="1">
      <c r="A100" s="2971"/>
      <c r="D100" s="2966"/>
      <c r="E100" s="2966"/>
      <c r="F100" s="2966"/>
      <c r="G100" s="2966"/>
      <c r="H100" s="2966"/>
    </row>
    <row r="101" spans="1:8" s="2673" customFormat="1">
      <c r="A101" s="2971"/>
      <c r="D101" s="2966"/>
      <c r="E101" s="2966"/>
      <c r="F101" s="2966"/>
      <c r="G101" s="2966"/>
      <c r="H101" s="2966"/>
    </row>
    <row r="102" spans="1:8" s="2673" customFormat="1">
      <c r="A102" s="2971"/>
      <c r="D102" s="2966"/>
      <c r="E102" s="2966"/>
      <c r="F102" s="2966"/>
      <c r="G102" s="2966"/>
      <c r="H102" s="2966"/>
    </row>
    <row r="103" spans="1:8" s="2673" customFormat="1">
      <c r="A103" s="2971"/>
      <c r="D103" s="2966"/>
      <c r="E103" s="2966"/>
      <c r="F103" s="2966"/>
      <c r="G103" s="2966"/>
      <c r="H103" s="2966"/>
    </row>
    <row r="104" spans="1:8" s="2673" customFormat="1">
      <c r="A104" s="2971"/>
      <c r="D104" s="2966"/>
      <c r="E104" s="2966"/>
      <c r="F104" s="2966"/>
      <c r="G104" s="2966"/>
      <c r="H104" s="2966"/>
    </row>
    <row r="105" spans="1:8" s="2673" customFormat="1">
      <c r="A105" s="2971"/>
      <c r="D105" s="2966"/>
      <c r="E105" s="2966"/>
      <c r="F105" s="2966"/>
      <c r="G105" s="2966"/>
      <c r="H105" s="2966"/>
    </row>
    <row r="106" spans="1:8" s="2673" customFormat="1">
      <c r="A106" s="2971"/>
      <c r="D106" s="2966"/>
      <c r="E106" s="2966"/>
      <c r="F106" s="2966"/>
      <c r="G106" s="2966"/>
      <c r="H106" s="2966"/>
    </row>
    <row r="107" spans="1:8" s="2673" customFormat="1">
      <c r="A107" s="2971"/>
      <c r="D107" s="2966"/>
      <c r="E107" s="2966"/>
      <c r="F107" s="2966"/>
      <c r="G107" s="2966"/>
      <c r="H107" s="2966"/>
    </row>
    <row r="108" spans="1:8" s="2673" customFormat="1">
      <c r="A108" s="2971"/>
      <c r="D108" s="2966"/>
      <c r="E108" s="2966"/>
      <c r="F108" s="2966"/>
      <c r="G108" s="2966"/>
      <c r="H108" s="2966"/>
    </row>
    <row r="109" spans="1:8" s="2673" customFormat="1">
      <c r="A109" s="2971"/>
      <c r="D109" s="2966"/>
      <c r="E109" s="2966"/>
      <c r="F109" s="2966"/>
      <c r="G109" s="2966"/>
      <c r="H109" s="2966"/>
    </row>
    <row r="110" spans="1:8" s="2673" customFormat="1">
      <c r="A110" s="2971"/>
      <c r="D110" s="2966"/>
      <c r="E110" s="2966"/>
      <c r="F110" s="2966"/>
      <c r="G110" s="2966"/>
      <c r="H110" s="2966"/>
    </row>
    <row r="111" spans="1:8" s="2673" customFormat="1">
      <c r="A111" s="2971"/>
      <c r="D111" s="2966"/>
      <c r="E111" s="2966"/>
      <c r="F111" s="2966"/>
      <c r="G111" s="2966"/>
      <c r="H111" s="2966"/>
    </row>
    <row r="112" spans="1:8" s="2673" customFormat="1">
      <c r="A112" s="2971"/>
      <c r="D112" s="2966"/>
      <c r="E112" s="2966"/>
      <c r="F112" s="2966"/>
      <c r="G112" s="2966"/>
      <c r="H112" s="2966"/>
    </row>
    <row r="113" spans="1:8" s="2673" customFormat="1">
      <c r="A113" s="2971"/>
      <c r="D113" s="2966"/>
      <c r="E113" s="2966"/>
      <c r="F113" s="2966"/>
      <c r="G113" s="2966"/>
      <c r="H113" s="2966"/>
    </row>
    <row r="114" spans="1:8" s="2673" customFormat="1">
      <c r="A114" s="2971"/>
      <c r="D114" s="2966"/>
      <c r="E114" s="2966"/>
      <c r="F114" s="2966"/>
      <c r="G114" s="2966"/>
      <c r="H114" s="2966"/>
    </row>
    <row r="115" spans="1:8" s="2673" customFormat="1">
      <c r="A115" s="2971"/>
      <c r="D115" s="2966"/>
      <c r="E115" s="2966"/>
      <c r="F115" s="2966"/>
      <c r="G115" s="2966"/>
      <c r="H115" s="2966"/>
    </row>
    <row r="116" spans="1:8" s="2673" customFormat="1">
      <c r="A116" s="2971"/>
      <c r="D116" s="2966"/>
      <c r="E116" s="2966"/>
      <c r="F116" s="2966"/>
      <c r="G116" s="2966"/>
      <c r="H116" s="2966"/>
    </row>
    <row r="117" spans="1:8" s="2673" customFormat="1">
      <c r="A117" s="2971"/>
      <c r="D117" s="2966"/>
      <c r="E117" s="2966"/>
      <c r="F117" s="2966"/>
      <c r="G117" s="2966"/>
      <c r="H117" s="2966"/>
    </row>
    <row r="118" spans="1:8" s="2673" customFormat="1">
      <c r="A118" s="2971"/>
      <c r="D118" s="2966"/>
      <c r="E118" s="2966"/>
      <c r="F118" s="2966"/>
      <c r="G118" s="2966"/>
      <c r="H118" s="2966"/>
    </row>
    <row r="119" spans="1:8" s="2673" customFormat="1">
      <c r="A119" s="2971"/>
      <c r="D119" s="2966"/>
      <c r="E119" s="2966"/>
      <c r="F119" s="2966"/>
      <c r="G119" s="2966"/>
      <c r="H119" s="2966"/>
    </row>
    <row r="120" spans="1:8" s="2673" customFormat="1">
      <c r="A120" s="2971"/>
      <c r="D120" s="2966"/>
      <c r="E120" s="2966"/>
      <c r="F120" s="2966"/>
      <c r="G120" s="2966"/>
      <c r="H120" s="2966"/>
    </row>
    <row r="121" spans="1:8" s="2673" customFormat="1">
      <c r="A121" s="2971"/>
      <c r="D121" s="2966"/>
      <c r="E121" s="2966"/>
      <c r="F121" s="2966"/>
      <c r="G121" s="2966"/>
      <c r="H121" s="2966"/>
    </row>
    <row r="122" spans="1:8" s="2673" customFormat="1">
      <c r="A122" s="2971"/>
      <c r="D122" s="2966"/>
      <c r="E122" s="2966"/>
      <c r="F122" s="2966"/>
      <c r="G122" s="2966"/>
      <c r="H122" s="2966"/>
    </row>
    <row r="123" spans="1:8" s="2673" customFormat="1">
      <c r="A123" s="2971"/>
      <c r="D123" s="2966"/>
      <c r="E123" s="2966"/>
      <c r="F123" s="2966"/>
      <c r="G123" s="2966"/>
      <c r="H123" s="2966"/>
    </row>
    <row r="124" spans="1:8" s="2673" customFormat="1">
      <c r="A124" s="2971"/>
      <c r="D124" s="2966"/>
      <c r="E124" s="2966"/>
      <c r="F124" s="2966"/>
      <c r="G124" s="2966"/>
      <c r="H124" s="2966"/>
    </row>
    <row r="125" spans="1:8" s="2673" customFormat="1">
      <c r="A125" s="2971"/>
      <c r="D125" s="2966"/>
      <c r="E125" s="2966"/>
      <c r="F125" s="2966"/>
      <c r="G125" s="2966"/>
      <c r="H125" s="2966"/>
    </row>
    <row r="126" spans="1:8" s="2673" customFormat="1">
      <c r="A126" s="2971"/>
      <c r="D126" s="2966"/>
      <c r="E126" s="2966"/>
      <c r="F126" s="2966"/>
      <c r="G126" s="2966"/>
      <c r="H126" s="2966"/>
    </row>
    <row r="127" spans="1:8" s="2673" customFormat="1">
      <c r="A127" s="2971"/>
      <c r="D127" s="2966"/>
      <c r="E127" s="2966"/>
      <c r="F127" s="2966"/>
      <c r="G127" s="2966"/>
      <c r="H127" s="2966"/>
    </row>
    <row r="128" spans="1:8" s="2673" customFormat="1">
      <c r="A128" s="2971"/>
      <c r="D128" s="2966"/>
      <c r="E128" s="2966"/>
      <c r="F128" s="2966"/>
      <c r="G128" s="2966"/>
      <c r="H128" s="2966"/>
    </row>
    <row r="129" spans="1:8" s="2673" customFormat="1">
      <c r="A129" s="2971"/>
      <c r="D129" s="2966"/>
      <c r="E129" s="2966"/>
      <c r="F129" s="2966"/>
      <c r="G129" s="2966"/>
      <c r="H129" s="2966"/>
    </row>
    <row r="130" spans="1:8" s="2673" customFormat="1">
      <c r="A130" s="2971"/>
      <c r="D130" s="2966"/>
      <c r="E130" s="2966"/>
      <c r="F130" s="2966"/>
      <c r="G130" s="2966"/>
      <c r="H130" s="2966"/>
    </row>
    <row r="131" spans="1:8" s="2673" customFormat="1">
      <c r="A131" s="2971"/>
      <c r="D131" s="2966"/>
      <c r="E131" s="2966"/>
      <c r="F131" s="2966"/>
      <c r="G131" s="2966"/>
      <c r="H131" s="2966"/>
    </row>
    <row r="132" spans="1:8" s="2673" customFormat="1">
      <c r="A132" s="2971"/>
      <c r="D132" s="2966"/>
      <c r="E132" s="2966"/>
      <c r="F132" s="2966"/>
      <c r="G132" s="2966"/>
      <c r="H132" s="2966"/>
    </row>
    <row r="133" spans="1:8" s="2673" customFormat="1">
      <c r="A133" s="2971"/>
      <c r="D133" s="2966"/>
      <c r="E133" s="2966"/>
      <c r="F133" s="2966"/>
      <c r="G133" s="2966"/>
      <c r="H133" s="2966"/>
    </row>
    <row r="134" spans="1:8" s="2673" customFormat="1">
      <c r="A134" s="2971"/>
      <c r="D134" s="2966"/>
      <c r="E134" s="2966"/>
      <c r="F134" s="2966"/>
      <c r="G134" s="2966"/>
      <c r="H134" s="2966"/>
    </row>
    <row r="135" spans="1:8" s="2673" customFormat="1">
      <c r="A135" s="2971"/>
      <c r="D135" s="2966"/>
      <c r="E135" s="2966"/>
      <c r="F135" s="2966"/>
      <c r="G135" s="2966"/>
      <c r="H135" s="2966"/>
    </row>
    <row r="136" spans="1:8" s="2673" customFormat="1">
      <c r="A136" s="2971"/>
      <c r="D136" s="2966"/>
      <c r="E136" s="2966"/>
      <c r="F136" s="2966"/>
      <c r="G136" s="2966"/>
      <c r="H136" s="2966"/>
    </row>
    <row r="137" spans="1:8" s="2673" customFormat="1">
      <c r="A137" s="2971"/>
      <c r="D137" s="2966"/>
      <c r="E137" s="2966"/>
      <c r="F137" s="2966"/>
      <c r="G137" s="2966"/>
      <c r="H137" s="2966"/>
    </row>
    <row r="138" spans="1:8" s="2673" customFormat="1">
      <c r="A138" s="2971"/>
      <c r="D138" s="2966"/>
      <c r="E138" s="2966"/>
      <c r="F138" s="2966"/>
      <c r="G138" s="2966"/>
      <c r="H138" s="2966"/>
    </row>
    <row r="139" spans="1:8" s="2673" customFormat="1">
      <c r="A139" s="2971"/>
      <c r="D139" s="2966"/>
      <c r="E139" s="2966"/>
      <c r="F139" s="2966"/>
      <c r="G139" s="2966"/>
      <c r="H139" s="2966"/>
    </row>
    <row r="140" spans="1:8" s="2673" customFormat="1">
      <c r="A140" s="2971"/>
      <c r="D140" s="2966"/>
      <c r="E140" s="2966"/>
      <c r="F140" s="2966"/>
      <c r="G140" s="2966"/>
      <c r="H140" s="2966"/>
    </row>
    <row r="141" spans="1:8" s="2673" customFormat="1">
      <c r="A141" s="2971"/>
      <c r="D141" s="2966"/>
      <c r="E141" s="2966"/>
      <c r="F141" s="2966"/>
      <c r="G141" s="2966"/>
      <c r="H141" s="2966"/>
    </row>
    <row r="142" spans="1:8" s="2673" customFormat="1">
      <c r="A142" s="2971"/>
      <c r="D142" s="2966"/>
      <c r="E142" s="2966"/>
      <c r="F142" s="2966"/>
      <c r="G142" s="2966"/>
      <c r="H142" s="2966"/>
    </row>
    <row r="143" spans="1:8" s="2673" customFormat="1">
      <c r="A143" s="2971"/>
      <c r="D143" s="2966"/>
      <c r="E143" s="2966"/>
      <c r="F143" s="2966"/>
      <c r="G143" s="2966"/>
      <c r="H143" s="2966"/>
    </row>
    <row r="144" spans="1:8" s="2673" customFormat="1">
      <c r="A144" s="2971"/>
      <c r="D144" s="2966"/>
      <c r="E144" s="2966"/>
      <c r="F144" s="2966"/>
      <c r="G144" s="2966"/>
      <c r="H144" s="2966"/>
    </row>
    <row r="145" spans="1:8" s="2673" customFormat="1">
      <c r="A145" s="2971"/>
      <c r="D145" s="2966"/>
      <c r="E145" s="2966"/>
      <c r="F145" s="2966"/>
      <c r="G145" s="2966"/>
      <c r="H145" s="2966"/>
    </row>
    <row r="146" spans="1:8" s="2673" customFormat="1">
      <c r="A146" s="2971"/>
      <c r="D146" s="2966"/>
      <c r="E146" s="2966"/>
      <c r="F146" s="2966"/>
      <c r="G146" s="2966"/>
      <c r="H146" s="2966"/>
    </row>
    <row r="147" spans="1:8" s="2673" customFormat="1">
      <c r="A147" s="2971"/>
      <c r="D147" s="2966"/>
      <c r="E147" s="2966"/>
      <c r="F147" s="2966"/>
      <c r="G147" s="2966"/>
      <c r="H147" s="2966"/>
    </row>
    <row r="148" spans="1:8" s="2673" customFormat="1">
      <c r="A148" s="2971"/>
      <c r="D148" s="2966"/>
      <c r="E148" s="2966"/>
      <c r="F148" s="2966"/>
      <c r="G148" s="2966"/>
      <c r="H148" s="2966"/>
    </row>
    <row r="149" spans="1:8" s="2673" customFormat="1">
      <c r="A149" s="2971"/>
      <c r="D149" s="2966"/>
      <c r="E149" s="2966"/>
      <c r="F149" s="2966"/>
      <c r="G149" s="2966"/>
      <c r="H149" s="2966"/>
    </row>
    <row r="150" spans="1:8" s="2673" customFormat="1">
      <c r="A150" s="2971"/>
      <c r="D150" s="2966"/>
      <c r="E150" s="2966"/>
      <c r="F150" s="2966"/>
      <c r="G150" s="2966"/>
      <c r="H150" s="2966"/>
    </row>
    <row r="151" spans="1:8" s="2673" customFormat="1">
      <c r="A151" s="2971"/>
      <c r="D151" s="2966"/>
      <c r="E151" s="2966"/>
      <c r="F151" s="2966"/>
      <c r="G151" s="2966"/>
      <c r="H151" s="2966"/>
    </row>
    <row r="152" spans="1:8" s="2673" customFormat="1">
      <c r="A152" s="2971"/>
      <c r="D152" s="2966"/>
      <c r="E152" s="2966"/>
      <c r="F152" s="2966"/>
      <c r="G152" s="2966"/>
      <c r="H152" s="2966"/>
    </row>
    <row r="153" spans="1:8" s="2673" customFormat="1">
      <c r="A153" s="2971"/>
      <c r="D153" s="2966"/>
      <c r="E153" s="2966"/>
      <c r="F153" s="2966"/>
      <c r="G153" s="2966"/>
      <c r="H153" s="2966"/>
    </row>
    <row r="154" spans="1:8" s="2673" customFormat="1">
      <c r="A154" s="2971"/>
      <c r="D154" s="2966"/>
      <c r="E154" s="2966"/>
      <c r="F154" s="2966"/>
      <c r="G154" s="2966"/>
      <c r="H154" s="2966"/>
    </row>
    <row r="155" spans="1:8" s="2673" customFormat="1">
      <c r="A155" s="2971"/>
      <c r="D155" s="2966"/>
      <c r="E155" s="2966"/>
      <c r="F155" s="2966"/>
      <c r="G155" s="2966"/>
      <c r="H155" s="2966"/>
    </row>
    <row r="156" spans="1:8" s="2673" customFormat="1">
      <c r="A156" s="2971"/>
      <c r="D156" s="2966"/>
      <c r="E156" s="2966"/>
      <c r="F156" s="2966"/>
      <c r="G156" s="2966"/>
      <c r="H156" s="2966"/>
    </row>
    <row r="157" spans="1:8" s="2673" customFormat="1">
      <c r="A157" s="2971"/>
      <c r="D157" s="2966"/>
      <c r="E157" s="2966"/>
      <c r="F157" s="2966"/>
      <c r="G157" s="2966"/>
      <c r="H157" s="2966"/>
    </row>
    <row r="158" spans="1:8">
      <c r="A158" s="2971"/>
      <c r="B158" s="2673"/>
    </row>
  </sheetData>
  <sheetProtection password="CEE9" sheet="1" objects="1" scenarios="1" formatCells="0" formatColumns="0" formatRows="0"/>
  <mergeCells count="1">
    <mergeCell ref="D2:D4"/>
  </mergeCells>
  <phoneticPr fontId="5"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69"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A11" sqref="A11:D11"/>
      <selection pane="topRight" activeCell="A11" sqref="A11:D11"/>
      <selection pane="bottomLeft" activeCell="A11" sqref="A11:D11"/>
      <selection pane="bottomRight" activeCell="C9" sqref="C9"/>
    </sheetView>
  </sheetViews>
  <sheetFormatPr defaultColWidth="9" defaultRowHeight="14.25"/>
  <cols>
    <col min="1" max="1" width="14.625" style="2635" customWidth="1"/>
    <col min="2" max="2" width="24.5" style="2648" customWidth="1"/>
    <col min="3" max="3" width="29.625" style="2709" customWidth="1"/>
    <col min="4" max="4" width="2.625" style="2709" customWidth="1"/>
    <col min="5" max="5" width="5.875" style="2709" customWidth="1"/>
    <col min="6" max="6" width="27" style="2648" customWidth="1"/>
    <col min="7" max="7" width="32.375" style="2710" customWidth="1"/>
    <col min="8" max="8" width="11.875" style="2706" customWidth="1"/>
    <col min="9" max="9" width="16.625" style="2707" customWidth="1"/>
    <col min="10" max="10" width="2.625" style="2706" customWidth="1"/>
    <col min="11" max="11" width="11.875" style="2706" customWidth="1"/>
    <col min="12" max="12" width="16.625" style="2707" customWidth="1"/>
    <col min="13" max="13" width="2.625" style="2706" customWidth="1"/>
    <col min="14" max="14" width="11.875" style="2706" customWidth="1"/>
    <col min="15" max="15" width="16.625" style="2707" customWidth="1"/>
    <col min="16" max="16" width="2.625" style="2706" customWidth="1"/>
    <col min="17" max="17" width="11.875" style="2706" customWidth="1"/>
    <col min="18" max="18" width="16.625" style="2708" customWidth="1"/>
    <col min="19" max="29" width="9" style="2696"/>
    <col min="30" max="16384" width="9" style="2635"/>
  </cols>
  <sheetData>
    <row r="1" spans="1:29" s="2694" customFormat="1" ht="19.5" thickBot="1">
      <c r="A1" s="4312" t="s">
        <v>1701</v>
      </c>
      <c r="B1" s="4313"/>
      <c r="C1" s="4313"/>
      <c r="D1" s="4313"/>
      <c r="E1" s="4313"/>
      <c r="F1" s="4313"/>
      <c r="G1" s="4313"/>
      <c r="H1" s="2689"/>
      <c r="I1" s="2690"/>
      <c r="J1" s="2689"/>
      <c r="K1" s="2689"/>
      <c r="L1" s="2690"/>
      <c r="M1" s="2689"/>
      <c r="N1" s="2689"/>
      <c r="O1" s="2690"/>
      <c r="P1" s="2689"/>
      <c r="Q1" s="2691"/>
      <c r="R1" s="2692"/>
      <c r="S1" s="2693"/>
      <c r="T1" s="2693"/>
      <c r="U1" s="2693"/>
      <c r="V1" s="2693"/>
      <c r="W1" s="2693"/>
      <c r="X1" s="2693"/>
      <c r="Y1" s="2693"/>
      <c r="Z1" s="2693"/>
      <c r="AA1" s="2693"/>
      <c r="AB1" s="2693"/>
      <c r="AC1" s="2693"/>
    </row>
    <row r="2" spans="1:29" s="2632" customFormat="1" ht="13.5" thickBot="1">
      <c r="A2" s="3097"/>
      <c r="B2" s="3098"/>
      <c r="C2" s="3099" t="s">
        <v>2843</v>
      </c>
      <c r="D2" s="3100"/>
      <c r="E2" s="3097"/>
      <c r="F2" s="3101"/>
      <c r="G2" s="3099" t="s">
        <v>2844</v>
      </c>
      <c r="H2" s="3102"/>
      <c r="I2" s="3102"/>
      <c r="J2" s="3102"/>
      <c r="K2" s="3102"/>
      <c r="L2" s="3102"/>
      <c r="M2" s="3102"/>
      <c r="N2" s="3102"/>
      <c r="O2" s="3102"/>
      <c r="P2" s="3102"/>
      <c r="Q2" s="3102"/>
      <c r="R2" s="3102"/>
      <c r="S2" s="3102"/>
      <c r="T2" s="3102"/>
      <c r="U2" s="3102"/>
      <c r="V2" s="3102"/>
      <c r="W2" s="3102"/>
      <c r="X2" s="3102"/>
      <c r="Y2" s="3102"/>
      <c r="Z2" s="3102"/>
      <c r="AA2" s="3102"/>
      <c r="AB2" s="3102"/>
      <c r="AC2" s="3102"/>
    </row>
    <row r="3" spans="1:29" s="2632" customFormat="1" ht="36" hidden="1">
      <c r="A3" s="3103" t="s">
        <v>2845</v>
      </c>
      <c r="B3" s="3104" t="s">
        <v>2846</v>
      </c>
      <c r="C3" s="3359" t="s">
        <v>3237</v>
      </c>
      <c r="D3" s="3105"/>
      <c r="E3" s="3106" t="s">
        <v>2845</v>
      </c>
      <c r="F3" s="3107" t="s">
        <v>2847</v>
      </c>
      <c r="G3" s="3108" t="s">
        <v>2848</v>
      </c>
      <c r="H3" s="3102"/>
      <c r="I3" s="3102"/>
      <c r="J3" s="3102"/>
      <c r="K3" s="3102"/>
      <c r="L3" s="3102"/>
      <c r="M3" s="3102"/>
      <c r="N3" s="3102"/>
      <c r="O3" s="3102"/>
      <c r="P3" s="3102"/>
      <c r="Q3" s="3102"/>
      <c r="R3" s="3102"/>
      <c r="S3" s="3102"/>
      <c r="T3" s="3102"/>
      <c r="U3" s="3102"/>
      <c r="V3" s="3102"/>
      <c r="W3" s="3102"/>
      <c r="X3" s="3102"/>
      <c r="Y3" s="3102"/>
      <c r="Z3" s="3102"/>
      <c r="AA3" s="3102"/>
      <c r="AB3" s="3102"/>
      <c r="AC3" s="3102"/>
    </row>
    <row r="4" spans="1:29" s="2632" customFormat="1" ht="24.75" hidden="1">
      <c r="A4" s="3106"/>
      <c r="B4" s="3091" t="s">
        <v>2849</v>
      </c>
      <c r="C4" s="3360" t="s">
        <v>3238</v>
      </c>
      <c r="D4" s="3105"/>
      <c r="E4" s="3109"/>
      <c r="F4" s="3093" t="s">
        <v>2850</v>
      </c>
      <c r="G4" s="3110" t="s">
        <v>2851</v>
      </c>
      <c r="H4" s="3102"/>
      <c r="I4" s="3102"/>
      <c r="J4" s="3102"/>
      <c r="K4" s="3102"/>
      <c r="L4" s="3102"/>
      <c r="M4" s="3102"/>
      <c r="N4" s="3102"/>
      <c r="O4" s="3102"/>
      <c r="P4" s="3102"/>
      <c r="Q4" s="3102"/>
      <c r="R4" s="3102"/>
      <c r="S4" s="3102"/>
      <c r="T4" s="3102"/>
      <c r="U4" s="3102"/>
      <c r="V4" s="3102"/>
      <c r="W4" s="3102"/>
      <c r="X4" s="3102"/>
      <c r="Y4" s="3102"/>
      <c r="Z4" s="3102"/>
      <c r="AA4" s="3102"/>
      <c r="AB4" s="3102"/>
      <c r="AC4" s="3102"/>
    </row>
    <row r="5" spans="1:29" s="2632" customFormat="1" ht="49.5" customHeight="1">
      <c r="A5" s="3106"/>
      <c r="B5" s="3091" t="s">
        <v>2852</v>
      </c>
      <c r="C5" s="3361" t="s">
        <v>4245</v>
      </c>
      <c r="D5" s="3105"/>
      <c r="E5" s="3109"/>
      <c r="F5" s="3091" t="s">
        <v>2853</v>
      </c>
      <c r="G5" s="3110" t="s">
        <v>2854</v>
      </c>
      <c r="H5" s="3102"/>
      <c r="I5" s="3102"/>
      <c r="J5" s="3102"/>
      <c r="K5" s="3102"/>
      <c r="L5" s="3102"/>
      <c r="M5" s="3102"/>
      <c r="N5" s="3102"/>
      <c r="O5" s="3102"/>
      <c r="P5" s="3102"/>
      <c r="Q5" s="3102"/>
      <c r="R5" s="3102"/>
      <c r="S5" s="3102"/>
      <c r="T5" s="3102"/>
      <c r="U5" s="3102"/>
      <c r="V5" s="3102"/>
      <c r="W5" s="3102"/>
      <c r="X5" s="3102"/>
      <c r="Y5" s="3102"/>
      <c r="Z5" s="3102"/>
      <c r="AA5" s="3102"/>
      <c r="AB5" s="3102"/>
      <c r="AC5" s="3102"/>
    </row>
    <row r="6" spans="1:29" s="2632" customFormat="1" ht="75" customHeight="1">
      <c r="A6" s="3106"/>
      <c r="B6" s="3091" t="s">
        <v>2855</v>
      </c>
      <c r="C6" s="3362" t="s">
        <v>4740</v>
      </c>
      <c r="D6" s="3105"/>
      <c r="E6" s="3109"/>
      <c r="F6" s="3091" t="s">
        <v>2856</v>
      </c>
      <c r="G6" s="3110" t="s">
        <v>2857</v>
      </c>
      <c r="H6" s="3102"/>
      <c r="I6" s="3102"/>
      <c r="J6" s="3102"/>
      <c r="K6" s="3102"/>
      <c r="L6" s="3102"/>
      <c r="M6" s="3102"/>
      <c r="N6" s="3102"/>
      <c r="O6" s="3102"/>
      <c r="P6" s="3102"/>
      <c r="Q6" s="3102"/>
      <c r="R6" s="3102"/>
      <c r="S6" s="3102"/>
      <c r="T6" s="3102"/>
      <c r="U6" s="3102"/>
      <c r="V6" s="3102"/>
      <c r="W6" s="3102"/>
      <c r="X6" s="3102"/>
      <c r="Y6" s="3102"/>
      <c r="Z6" s="3102"/>
      <c r="AA6" s="3102"/>
      <c r="AB6" s="3102"/>
      <c r="AC6" s="3102"/>
    </row>
    <row r="7" spans="1:29" s="2632" customFormat="1" ht="186" customHeight="1" thickBot="1">
      <c r="A7" s="3106"/>
      <c r="B7" s="3091" t="s">
        <v>2853</v>
      </c>
      <c r="C7" s="3362" t="s">
        <v>4246</v>
      </c>
      <c r="D7" s="2980"/>
      <c r="E7" s="3111"/>
      <c r="F7" s="3112" t="s">
        <v>2858</v>
      </c>
      <c r="G7" s="3113" t="s">
        <v>2859</v>
      </c>
      <c r="H7" s="3102"/>
      <c r="I7" s="3102"/>
      <c r="J7" s="3102"/>
      <c r="K7" s="3102"/>
      <c r="L7" s="3102"/>
      <c r="M7" s="3102"/>
      <c r="N7" s="3102"/>
      <c r="O7" s="3102"/>
      <c r="P7" s="3102"/>
      <c r="Q7" s="3102"/>
      <c r="R7" s="3102"/>
      <c r="S7" s="3102"/>
      <c r="T7" s="3102"/>
      <c r="U7" s="3102"/>
      <c r="V7" s="3102"/>
      <c r="W7" s="3102"/>
      <c r="X7" s="3102"/>
      <c r="Y7" s="3102"/>
      <c r="Z7" s="3102"/>
      <c r="AA7" s="3102"/>
      <c r="AB7" s="3102"/>
      <c r="AC7" s="3102"/>
    </row>
    <row r="8" spans="1:29" s="2632" customFormat="1" ht="12.75">
      <c r="A8" s="3106"/>
      <c r="B8" s="3091" t="s">
        <v>2856</v>
      </c>
      <c r="C8" s="3362" t="s">
        <v>3239</v>
      </c>
      <c r="D8" s="2980"/>
      <c r="E8" s="2980"/>
      <c r="F8" s="2975"/>
      <c r="G8" s="2975"/>
      <c r="H8" s="3102"/>
      <c r="I8" s="3102"/>
      <c r="J8" s="3102"/>
      <c r="K8" s="3102"/>
      <c r="L8" s="3102"/>
      <c r="M8" s="3102"/>
      <c r="N8" s="3102"/>
      <c r="O8" s="3102"/>
      <c r="P8" s="3102"/>
      <c r="Q8" s="3102"/>
      <c r="R8" s="3102"/>
      <c r="S8" s="3102"/>
      <c r="T8" s="3102"/>
      <c r="U8" s="3102"/>
      <c r="V8" s="3102"/>
      <c r="W8" s="3102"/>
      <c r="X8" s="3102"/>
      <c r="Y8" s="3102"/>
      <c r="Z8" s="3102"/>
      <c r="AA8" s="3102"/>
      <c r="AB8" s="3102"/>
      <c r="AC8" s="3102"/>
    </row>
    <row r="9" spans="1:29" s="2632" customFormat="1" ht="48">
      <c r="A9" s="3106"/>
      <c r="B9" s="3091" t="s">
        <v>2860</v>
      </c>
      <c r="C9" s="3361" t="s">
        <v>4247</v>
      </c>
      <c r="D9" s="3105"/>
      <c r="E9" s="2980"/>
      <c r="F9" s="2975"/>
      <c r="G9" s="2975"/>
      <c r="H9" s="3102"/>
      <c r="I9" s="3102"/>
      <c r="J9" s="3102"/>
      <c r="K9" s="3102"/>
      <c r="L9" s="3102"/>
      <c r="M9" s="3102"/>
      <c r="N9" s="3102"/>
      <c r="O9" s="3102"/>
      <c r="P9" s="3102"/>
      <c r="Q9" s="3102"/>
      <c r="R9" s="3102"/>
      <c r="S9" s="3102"/>
      <c r="T9" s="3102"/>
      <c r="U9" s="3102"/>
      <c r="V9" s="3102"/>
      <c r="W9" s="3102"/>
      <c r="X9" s="3102"/>
      <c r="Y9" s="3102"/>
      <c r="Z9" s="3102"/>
      <c r="AA9" s="3102"/>
      <c r="AB9" s="3102"/>
      <c r="AC9" s="3102"/>
    </row>
    <row r="10" spans="1:29" s="2673" customFormat="1" ht="13.5" thickBot="1">
      <c r="A10" s="3114"/>
      <c r="B10" s="3095" t="s">
        <v>2861</v>
      </c>
      <c r="C10" s="3860" t="s">
        <v>4983</v>
      </c>
      <c r="D10" s="3105"/>
      <c r="E10" s="3105"/>
      <c r="F10" s="2975"/>
      <c r="G10" s="2975"/>
      <c r="H10" s="1498"/>
      <c r="I10" s="3115"/>
      <c r="J10" s="3116"/>
      <c r="K10" s="1498"/>
      <c r="L10" s="3115"/>
      <c r="M10" s="3116"/>
      <c r="N10" s="1498"/>
      <c r="O10" s="3115"/>
      <c r="P10" s="3116"/>
      <c r="Q10" s="1498"/>
      <c r="R10" s="3115"/>
      <c r="S10" s="3102"/>
      <c r="T10" s="3102"/>
      <c r="U10" s="3102"/>
      <c r="V10" s="3102"/>
      <c r="W10" s="3102"/>
      <c r="X10" s="3102"/>
      <c r="Y10" s="3102"/>
      <c r="Z10" s="3102"/>
      <c r="AA10" s="3102"/>
      <c r="AB10" s="3102"/>
      <c r="AC10" s="3102"/>
    </row>
    <row r="11" spans="1:29" s="2673" customFormat="1" ht="12.75">
      <c r="A11" s="3117"/>
      <c r="B11" s="2980"/>
      <c r="C11" s="3105"/>
      <c r="D11" s="3105"/>
      <c r="E11" s="3105"/>
      <c r="F11" s="2980"/>
      <c r="G11" s="3118"/>
      <c r="H11" s="1498"/>
      <c r="I11" s="3115"/>
      <c r="J11" s="3116"/>
      <c r="K11" s="1498"/>
      <c r="L11" s="3115"/>
      <c r="M11" s="3116"/>
      <c r="N11" s="1498"/>
      <c r="O11" s="3115"/>
      <c r="P11" s="3116"/>
      <c r="Q11" s="1498"/>
      <c r="R11" s="3115"/>
      <c r="S11" s="3102"/>
      <c r="T11" s="3102"/>
      <c r="U11" s="3102"/>
      <c r="V11" s="3102"/>
      <c r="W11" s="3102"/>
      <c r="X11" s="3102"/>
      <c r="Y11" s="3102"/>
      <c r="Z11" s="3102"/>
      <c r="AA11" s="3102"/>
      <c r="AB11" s="3102"/>
      <c r="AC11" s="3102"/>
    </row>
    <row r="12" spans="1:29" s="2694" customFormat="1" ht="18">
      <c r="A12" s="2643"/>
      <c r="B12" s="2698"/>
      <c r="C12" s="2697"/>
      <c r="D12" s="2699"/>
      <c r="E12" s="2697"/>
      <c r="F12" s="2698"/>
      <c r="G12" s="1842"/>
      <c r="H12" s="2700"/>
      <c r="I12" s="2701"/>
      <c r="J12" s="2700"/>
      <c r="K12" s="2700"/>
      <c r="L12" s="2702"/>
      <c r="M12" s="2700"/>
      <c r="N12" s="2703"/>
      <c r="O12" s="2704"/>
      <c r="P12" s="2703"/>
      <c r="Q12" s="2703"/>
      <c r="R12" s="2692"/>
      <c r="S12" s="2693"/>
      <c r="T12" s="2693"/>
      <c r="U12" s="2693"/>
      <c r="V12" s="2693"/>
      <c r="W12" s="2693"/>
      <c r="X12" s="2693"/>
      <c r="Y12" s="2693"/>
      <c r="Z12" s="2693"/>
      <c r="AA12" s="2693"/>
      <c r="AB12" s="2693"/>
      <c r="AC12" s="2693"/>
    </row>
    <row r="13" spans="1:29" ht="19.5" thickBot="1">
      <c r="A13" s="2705" t="s">
        <v>1707</v>
      </c>
      <c r="B13" s="2699"/>
      <c r="C13" s="2699"/>
      <c r="D13" s="2695"/>
      <c r="E13" s="2699"/>
      <c r="F13" s="2699"/>
      <c r="G13" s="2699"/>
    </row>
    <row r="14" spans="1:29" s="2632" customFormat="1" ht="13.5" thickBot="1">
      <c r="A14" s="3119"/>
      <c r="B14" s="3119"/>
      <c r="C14" s="3120" t="s">
        <v>2862</v>
      </c>
      <c r="D14" s="3105"/>
      <c r="E14" s="3121"/>
      <c r="F14" s="3121"/>
      <c r="G14" s="3099" t="s">
        <v>2863</v>
      </c>
      <c r="H14" s="3122"/>
      <c r="I14" s="3123"/>
      <c r="J14" s="3122"/>
      <c r="K14" s="3122"/>
      <c r="L14" s="3123"/>
      <c r="M14" s="3122"/>
      <c r="N14" s="3122"/>
      <c r="O14" s="3123"/>
      <c r="P14" s="3122"/>
      <c r="Q14" s="3122"/>
      <c r="R14" s="3124"/>
      <c r="S14" s="3102"/>
      <c r="T14" s="3102"/>
      <c r="U14" s="3102"/>
      <c r="V14" s="3102"/>
      <c r="W14" s="3102"/>
      <c r="X14" s="3102"/>
      <c r="Y14" s="3102"/>
      <c r="Z14" s="3102"/>
      <c r="AA14" s="3102"/>
      <c r="AB14" s="3102"/>
      <c r="AC14" s="3102"/>
    </row>
    <row r="15" spans="1:29" s="2632" customFormat="1" ht="38.25">
      <c r="A15" s="3125" t="s">
        <v>2864</v>
      </c>
      <c r="B15" s="3126" t="s">
        <v>2846</v>
      </c>
      <c r="C15" s="3127" t="str">
        <f>C3</f>
        <v>估价对象周边居住用地比例、居住小区规模和社区发展完善程度，综合评价居住社区成熟度一般</v>
      </c>
      <c r="D15" s="3105"/>
      <c r="E15" s="3128" t="s">
        <v>2865</v>
      </c>
      <c r="F15" s="3126" t="s">
        <v>2866</v>
      </c>
      <c r="G15" s="3129" t="str">
        <f>G3</f>
        <v>估价对象位于XX开发区，园区建设成熟度XX，产业集聚程度XX</v>
      </c>
      <c r="H15" s="3122"/>
      <c r="I15" s="3123"/>
      <c r="J15" s="3122"/>
      <c r="K15" s="3122"/>
      <c r="L15" s="3123"/>
      <c r="M15" s="3122"/>
      <c r="N15" s="3122"/>
      <c r="O15" s="3123"/>
      <c r="P15" s="3122"/>
      <c r="Q15" s="3122"/>
      <c r="R15" s="3124"/>
      <c r="S15" s="3102"/>
      <c r="T15" s="3102"/>
      <c r="U15" s="3102"/>
      <c r="V15" s="3102"/>
      <c r="W15" s="3102"/>
      <c r="X15" s="3102"/>
      <c r="Y15" s="3102"/>
      <c r="Z15" s="3102"/>
      <c r="AA15" s="3102"/>
      <c r="AB15" s="3102"/>
      <c r="AC15" s="3102"/>
    </row>
    <row r="16" spans="1:29" s="2632" customFormat="1" ht="25.5">
      <c r="A16" s="3130"/>
      <c r="B16" s="2572" t="s">
        <v>2849</v>
      </c>
      <c r="C16" s="3131" t="str">
        <f>C4</f>
        <v>估价对象位于XX商圈，周边商业氛围成熟，人流量大，商业繁华度好</v>
      </c>
      <c r="D16" s="3105"/>
      <c r="E16" s="3132"/>
      <c r="F16" s="3092" t="s">
        <v>2850</v>
      </c>
      <c r="G16" s="3133" t="str">
        <f>G4</f>
        <v>估价对象周边道路状况、公共交通通达情况、停车便捷程度，综合评价交通便捷度较好</v>
      </c>
      <c r="H16" s="3122"/>
      <c r="I16" s="3123"/>
      <c r="J16" s="3122"/>
      <c r="K16" s="3122"/>
      <c r="L16" s="3123"/>
      <c r="M16" s="3122"/>
      <c r="N16" s="3122"/>
      <c r="O16" s="3123"/>
      <c r="P16" s="3122"/>
      <c r="Q16" s="3122"/>
      <c r="R16" s="3124"/>
      <c r="S16" s="3102"/>
      <c r="T16" s="3102"/>
      <c r="U16" s="3102"/>
      <c r="V16" s="3102"/>
      <c r="W16" s="3102"/>
      <c r="X16" s="3102"/>
      <c r="Y16" s="3102"/>
      <c r="Z16" s="3102"/>
      <c r="AA16" s="3102"/>
      <c r="AB16" s="3102"/>
      <c r="AC16" s="3102"/>
    </row>
    <row r="17" spans="1:29" s="2632" customFormat="1" ht="51">
      <c r="A17" s="3130"/>
      <c r="B17" s="2572" t="s">
        <v>2852</v>
      </c>
      <c r="C17" s="3131" t="str">
        <f>C5</f>
        <v>估价对象位于上地商圈，周边办公楼项目有上地研华科技大厦、许继大厦、华为大厦、华环大厦、自主创新大厦等，入驻率高，办公集聚程度较好。</v>
      </c>
      <c r="D17" s="2980"/>
      <c r="E17" s="3132"/>
      <c r="F17" s="3092" t="s">
        <v>2867</v>
      </c>
      <c r="G17" s="3134"/>
      <c r="H17" s="3122"/>
      <c r="I17" s="3123"/>
      <c r="J17" s="3122"/>
      <c r="K17" s="3122"/>
      <c r="L17" s="3123"/>
      <c r="M17" s="3122"/>
      <c r="N17" s="3122"/>
      <c r="O17" s="3123"/>
      <c r="P17" s="3122"/>
      <c r="Q17" s="3122"/>
      <c r="R17" s="3124"/>
      <c r="S17" s="3102"/>
      <c r="T17" s="3102"/>
      <c r="U17" s="3102"/>
      <c r="V17" s="3102"/>
      <c r="W17" s="3102"/>
      <c r="X17" s="3102"/>
      <c r="Y17" s="3102"/>
      <c r="Z17" s="3102"/>
      <c r="AA17" s="3102"/>
      <c r="AB17" s="3102"/>
      <c r="AC17" s="3102"/>
    </row>
    <row r="18" spans="1:29" s="2632" customFormat="1" ht="76.5">
      <c r="A18" s="3130"/>
      <c r="B18" s="3092" t="s">
        <v>2855</v>
      </c>
      <c r="C18" s="3133" t="str">
        <f>C6</f>
        <v>估价对象临近高速路-京新高速，紧邻城市主干道-信息路，距离清河火车站、地铁昌平线、13号线清河站约900米，周边有320路、365路、446路、447路、495路等公交线路通达，停车便捷程度较好，综合评价交通便捷度好。</v>
      </c>
      <c r="D18" s="2980"/>
      <c r="E18" s="3132"/>
      <c r="F18" s="3092" t="s">
        <v>2858</v>
      </c>
      <c r="G18" s="3133" t="str">
        <f>G7</f>
        <v>该园区内是否有污染型企业，绿化情况，卫生条件，整体环境状况判断</v>
      </c>
      <c r="H18" s="3122"/>
      <c r="I18" s="3123"/>
      <c r="J18" s="3122"/>
      <c r="K18" s="3122"/>
      <c r="L18" s="3123"/>
      <c r="M18" s="3122"/>
      <c r="N18" s="3122"/>
      <c r="O18" s="3123"/>
      <c r="P18" s="3122"/>
      <c r="Q18" s="3122"/>
      <c r="R18" s="3124"/>
      <c r="S18" s="3102"/>
      <c r="T18" s="3102"/>
      <c r="U18" s="3102"/>
      <c r="V18" s="3102"/>
      <c r="W18" s="3102"/>
      <c r="X18" s="3102"/>
      <c r="Y18" s="3102"/>
      <c r="Z18" s="3102"/>
      <c r="AA18" s="3102"/>
      <c r="AB18" s="3102"/>
      <c r="AC18" s="3102"/>
    </row>
    <row r="19" spans="1:29" s="2632" customFormat="1" ht="12.75">
      <c r="A19" s="3130"/>
      <c r="B19" s="3092" t="s">
        <v>2868</v>
      </c>
      <c r="C19" s="3134"/>
      <c r="D19" s="3105"/>
      <c r="E19" s="3132"/>
      <c r="F19" s="3091" t="s">
        <v>2853</v>
      </c>
      <c r="G19" s="3133" t="str">
        <f>G5</f>
        <v>估价对象所在区域公共配套设施齐备情况</v>
      </c>
      <c r="H19" s="3122"/>
      <c r="I19" s="3123"/>
      <c r="J19" s="3122"/>
      <c r="K19" s="3122"/>
      <c r="L19" s="3123"/>
      <c r="M19" s="3122"/>
      <c r="N19" s="3122"/>
      <c r="O19" s="3123"/>
      <c r="P19" s="3122"/>
      <c r="Q19" s="3122"/>
      <c r="R19" s="3124"/>
      <c r="S19" s="3102"/>
      <c r="T19" s="3102"/>
      <c r="U19" s="3102"/>
      <c r="V19" s="3102"/>
      <c r="W19" s="3102"/>
      <c r="X19" s="3102"/>
      <c r="Y19" s="3102"/>
      <c r="Z19" s="3102"/>
      <c r="AA19" s="3102"/>
      <c r="AB19" s="3102"/>
      <c r="AC19" s="3102"/>
    </row>
    <row r="20" spans="1:29" s="2632" customFormat="1" ht="51">
      <c r="A20" s="3130"/>
      <c r="B20" s="3092" t="s">
        <v>2869</v>
      </c>
      <c r="C20" s="3131" t="str">
        <f>C9</f>
        <v>区域自然环境：上地公园、快乐成长家庭人口文化园等；人文环境；周边人文设施较少；
综合评价环境状况一般。</v>
      </c>
      <c r="D20" s="2980"/>
      <c r="E20" s="3132"/>
      <c r="F20" s="3091" t="s">
        <v>2856</v>
      </c>
      <c r="G20" s="3133" t="str">
        <f>G6</f>
        <v>估价对象所在区域基础设施水平</v>
      </c>
      <c r="H20" s="3122"/>
      <c r="I20" s="3123"/>
      <c r="J20" s="3122"/>
      <c r="K20" s="3122"/>
      <c r="L20" s="3123"/>
      <c r="M20" s="3122"/>
      <c r="N20" s="3122"/>
      <c r="O20" s="3123"/>
      <c r="P20" s="3122"/>
      <c r="Q20" s="3122"/>
      <c r="R20" s="3124"/>
      <c r="S20" s="3102"/>
      <c r="T20" s="3102"/>
      <c r="U20" s="3102"/>
      <c r="V20" s="3102"/>
      <c r="W20" s="3102"/>
      <c r="X20" s="3102"/>
      <c r="Y20" s="3102"/>
      <c r="Z20" s="3102"/>
      <c r="AA20" s="3102"/>
      <c r="AB20" s="3102"/>
      <c r="AC20" s="3102"/>
    </row>
    <row r="21" spans="1:29" s="2632" customFormat="1" ht="204">
      <c r="A21" s="3130"/>
      <c r="B21" s="3091" t="s">
        <v>2853</v>
      </c>
      <c r="C21" s="3133" t="str">
        <f>C7</f>
        <v>银行：农村商业银行、北京银行（上地支行）、中国工商银行（北京中关村支行）、中国银行（北京上地信息路支行）等金融场所；
商业设施：北京华联上地购物中心、数字山谷下沉商业广场等商业设施；
教育机构：北京八维研修学院、北京市上地实验学校、中关村第一小学（西二旗分校）、北京市海淀区第二实验小学（当代校区）、美和园幼儿园（智学苑分园）等教育机构；
医疗机构：北京市上地医院、北京市海淀区清河街道西二旗社区卫生服务站等医疗机构；
估价对象所在区域公共配套设施齐备情况较好。</v>
      </c>
      <c r="D21" s="3105"/>
      <c r="E21" s="3132"/>
      <c r="F21" s="3092" t="s">
        <v>2870</v>
      </c>
      <c r="G21" s="3135"/>
      <c r="H21" s="3122"/>
      <c r="I21" s="3123"/>
      <c r="J21" s="3122"/>
      <c r="K21" s="3122"/>
      <c r="L21" s="3123"/>
      <c r="M21" s="3122"/>
      <c r="N21" s="3122"/>
      <c r="O21" s="3123"/>
      <c r="P21" s="3122"/>
      <c r="Q21" s="3122"/>
      <c r="R21" s="3124"/>
      <c r="S21" s="3102"/>
      <c r="T21" s="3102"/>
      <c r="U21" s="3102"/>
      <c r="V21" s="3102"/>
      <c r="W21" s="3102"/>
      <c r="X21" s="3102"/>
      <c r="Y21" s="3102"/>
      <c r="Z21" s="3102"/>
      <c r="AA21" s="3102"/>
      <c r="AB21" s="3102"/>
      <c r="AC21" s="3102"/>
    </row>
    <row r="22" spans="1:29" s="2632" customFormat="1" ht="12.75">
      <c r="A22" s="3130"/>
      <c r="B22" s="3091" t="s">
        <v>2856</v>
      </c>
      <c r="C22" s="3133" t="str">
        <f>C8</f>
        <v>估价对象所在区域基础设施水平-七通</v>
      </c>
      <c r="D22" s="3105"/>
      <c r="E22" s="3132"/>
      <c r="F22" s="3092" t="s">
        <v>2861</v>
      </c>
      <c r="G22" s="3136"/>
      <c r="H22" s="3122"/>
      <c r="I22" s="3123"/>
      <c r="J22" s="3122"/>
      <c r="K22" s="3122"/>
      <c r="L22" s="3123"/>
      <c r="M22" s="3122"/>
      <c r="N22" s="3122"/>
      <c r="O22" s="3123"/>
      <c r="P22" s="3122"/>
      <c r="Q22" s="3122"/>
      <c r="R22" s="3124"/>
      <c r="S22" s="3102"/>
      <c r="T22" s="3102"/>
      <c r="U22" s="3102"/>
      <c r="V22" s="3102"/>
      <c r="W22" s="3102"/>
      <c r="X22" s="3102"/>
      <c r="Y22" s="3102"/>
      <c r="Z22" s="3102"/>
      <c r="AA22" s="3102"/>
      <c r="AB22" s="3102"/>
      <c r="AC22" s="3102"/>
    </row>
    <row r="23" spans="1:29" s="3102" customFormat="1" ht="13.5" thickBot="1">
      <c r="A23" s="3130"/>
      <c r="B23" s="3092" t="s">
        <v>2870</v>
      </c>
      <c r="C23" s="3135"/>
      <c r="D23" s="3122"/>
      <c r="E23" s="3137"/>
      <c r="F23" s="3094" t="s">
        <v>2871</v>
      </c>
      <c r="G23" s="3138"/>
      <c r="H23" s="3122"/>
      <c r="I23" s="3123"/>
      <c r="J23" s="3122"/>
      <c r="K23" s="3122"/>
      <c r="L23" s="3123"/>
      <c r="M23" s="3122"/>
      <c r="N23" s="3122"/>
      <c r="O23" s="3123"/>
      <c r="P23" s="3122"/>
      <c r="Q23" s="3122"/>
      <c r="R23" s="3124"/>
    </row>
    <row r="24" spans="1:29" s="3102" customFormat="1" ht="13.5" thickBot="1">
      <c r="A24" s="3139"/>
      <c r="B24" s="3094" t="s">
        <v>2872</v>
      </c>
      <c r="C24" s="3140" t="str">
        <f>C10</f>
        <v>城市主干道-信息路</v>
      </c>
      <c r="D24" s="3122"/>
      <c r="E24" s="3141"/>
      <c r="F24" s="3141"/>
      <c r="G24" s="3142"/>
      <c r="H24" s="3122"/>
      <c r="I24" s="3123"/>
      <c r="J24" s="3122"/>
      <c r="K24" s="3122"/>
      <c r="L24" s="3123"/>
      <c r="M24" s="3122"/>
      <c r="N24" s="3122"/>
      <c r="O24" s="3123"/>
      <c r="P24" s="3122"/>
      <c r="Q24" s="3122"/>
      <c r="R24" s="3124"/>
    </row>
    <row r="25" spans="1:29" s="2696" customFormat="1">
      <c r="B25" s="2706"/>
      <c r="C25" s="2706"/>
      <c r="D25" s="2706"/>
      <c r="H25" s="2706"/>
      <c r="I25" s="2707"/>
      <c r="J25" s="2706"/>
      <c r="K25" s="2706"/>
      <c r="L25" s="2707"/>
      <c r="M25" s="2706"/>
      <c r="N25" s="2706"/>
      <c r="O25" s="2707"/>
      <c r="P25" s="2706"/>
      <c r="Q25" s="2706"/>
      <c r="R25" s="2708"/>
    </row>
    <row r="26" spans="1:29" s="2696" customFormat="1">
      <c r="B26" s="2706"/>
      <c r="C26" s="2706"/>
      <c r="D26" s="2706"/>
      <c r="H26" s="2706"/>
      <c r="I26" s="2707"/>
      <c r="J26" s="2706"/>
      <c r="K26" s="2706"/>
      <c r="L26" s="2707"/>
      <c r="M26" s="2706"/>
      <c r="N26" s="2706"/>
      <c r="O26" s="2707"/>
      <c r="P26" s="2706"/>
      <c r="Q26" s="2706"/>
      <c r="R26" s="2708"/>
    </row>
    <row r="27" spans="1:29" s="2696" customFormat="1">
      <c r="B27" s="2706"/>
      <c r="C27" s="2706"/>
      <c r="D27" s="2706"/>
      <c r="H27" s="2706"/>
      <c r="I27" s="2707"/>
      <c r="J27" s="2706"/>
      <c r="K27" s="2706"/>
      <c r="L27" s="2707"/>
      <c r="M27" s="2706"/>
      <c r="N27" s="2706"/>
      <c r="O27" s="2707"/>
      <c r="P27" s="2706"/>
      <c r="Q27" s="2706"/>
      <c r="R27" s="2708"/>
    </row>
    <row r="28" spans="1:29" s="2696" customFormat="1">
      <c r="B28" s="2706"/>
      <c r="C28" s="2706"/>
      <c r="D28" s="2706"/>
      <c r="H28" s="2706"/>
      <c r="I28" s="2707"/>
      <c r="J28" s="2706"/>
      <c r="K28" s="2706"/>
      <c r="L28" s="2707"/>
      <c r="M28" s="2706"/>
      <c r="N28" s="2706"/>
      <c r="O28" s="2707"/>
      <c r="P28" s="2706"/>
      <c r="Q28" s="2706"/>
      <c r="R28" s="2708"/>
    </row>
    <row r="29" spans="1:29" s="2696" customFormat="1">
      <c r="B29" s="2706"/>
      <c r="C29" s="2706"/>
      <c r="D29" s="2706"/>
      <c r="H29" s="2706"/>
      <c r="I29" s="2707"/>
      <c r="J29" s="2706"/>
      <c r="K29" s="2706"/>
      <c r="L29" s="2707"/>
      <c r="M29" s="2706"/>
      <c r="N29" s="2706"/>
      <c r="O29" s="2707"/>
      <c r="P29" s="2706"/>
      <c r="Q29" s="2706"/>
      <c r="R29" s="2708"/>
    </row>
    <row r="30" spans="1:29" s="2696" customFormat="1">
      <c r="B30" s="2706"/>
      <c r="C30" s="2706"/>
      <c r="D30" s="2706"/>
      <c r="H30" s="2706"/>
      <c r="I30" s="2707"/>
      <c r="J30" s="2706"/>
      <c r="K30" s="2706"/>
      <c r="L30" s="2707"/>
      <c r="M30" s="2706"/>
      <c r="N30" s="2706"/>
      <c r="O30" s="2707"/>
      <c r="P30" s="2706"/>
      <c r="Q30" s="2706"/>
      <c r="R30" s="2708"/>
    </row>
    <row r="31" spans="1:29" s="2696" customFormat="1">
      <c r="B31" s="2706"/>
      <c r="C31" s="2706"/>
      <c r="D31" s="2706"/>
      <c r="H31" s="2706"/>
      <c r="I31" s="2707"/>
      <c r="J31" s="2706"/>
      <c r="K31" s="2706"/>
      <c r="L31" s="2707"/>
      <c r="M31" s="2706"/>
      <c r="N31" s="2706"/>
      <c r="O31" s="2707"/>
      <c r="P31" s="2706"/>
      <c r="Q31" s="2706"/>
      <c r="R31" s="2708"/>
    </row>
    <row r="32" spans="1:29" s="2696" customFormat="1">
      <c r="B32" s="2706"/>
      <c r="C32" s="2706"/>
      <c r="D32" s="2706"/>
      <c r="H32" s="2706"/>
      <c r="I32" s="2707"/>
      <c r="J32" s="2706"/>
      <c r="K32" s="2706"/>
      <c r="L32" s="2707"/>
      <c r="M32" s="2706"/>
      <c r="N32" s="2706"/>
      <c r="O32" s="2707"/>
      <c r="P32" s="2706"/>
      <c r="Q32" s="2706"/>
      <c r="R32" s="2708"/>
    </row>
    <row r="33" spans="2:18" s="2696" customFormat="1">
      <c r="B33" s="2706"/>
      <c r="C33" s="2706"/>
      <c r="D33" s="2706"/>
      <c r="H33" s="2706"/>
      <c r="I33" s="2707"/>
      <c r="J33" s="2706"/>
      <c r="K33" s="2706"/>
      <c r="L33" s="2707"/>
      <c r="M33" s="2706"/>
      <c r="N33" s="2706"/>
      <c r="O33" s="2707"/>
      <c r="P33" s="2706"/>
      <c r="Q33" s="2706"/>
      <c r="R33" s="2708"/>
    </row>
    <row r="34" spans="2:18" s="2696" customFormat="1">
      <c r="B34" s="2706"/>
      <c r="C34" s="2706"/>
      <c r="D34" s="2706"/>
      <c r="H34" s="2706"/>
      <c r="I34" s="2707"/>
      <c r="J34" s="2706"/>
      <c r="K34" s="2706"/>
      <c r="L34" s="2707"/>
      <c r="M34" s="2706"/>
      <c r="N34" s="2706"/>
      <c r="O34" s="2707"/>
      <c r="P34" s="2706"/>
      <c r="Q34" s="2706"/>
      <c r="R34" s="2708"/>
    </row>
    <row r="35" spans="2:18" s="2696" customFormat="1">
      <c r="B35" s="2706"/>
      <c r="C35" s="2706"/>
      <c r="D35" s="2706"/>
      <c r="H35" s="2706"/>
      <c r="I35" s="2707"/>
      <c r="J35" s="2706"/>
      <c r="K35" s="2706"/>
      <c r="L35" s="2707"/>
      <c r="M35" s="2706"/>
      <c r="N35" s="2706"/>
      <c r="O35" s="2707"/>
      <c r="P35" s="2706"/>
      <c r="Q35" s="2706"/>
      <c r="R35" s="2708"/>
    </row>
    <row r="36" spans="2:18" s="2696" customFormat="1">
      <c r="B36" s="2706"/>
      <c r="C36" s="2706"/>
      <c r="D36" s="2706"/>
      <c r="H36" s="2706"/>
      <c r="I36" s="2707"/>
      <c r="J36" s="2706"/>
      <c r="K36" s="2706"/>
      <c r="L36" s="2707"/>
      <c r="M36" s="2706"/>
      <c r="N36" s="2706"/>
      <c r="O36" s="2707"/>
      <c r="P36" s="2706"/>
      <c r="Q36" s="2706"/>
      <c r="R36" s="2708"/>
    </row>
    <row r="37" spans="2:18" s="2696" customFormat="1">
      <c r="B37" s="2706"/>
      <c r="C37" s="2706"/>
      <c r="D37" s="2706"/>
      <c r="H37" s="2706"/>
      <c r="I37" s="2707"/>
      <c r="J37" s="2706"/>
      <c r="K37" s="2706"/>
      <c r="L37" s="2707"/>
      <c r="M37" s="2706"/>
      <c r="N37" s="2706"/>
      <c r="O37" s="2707"/>
      <c r="P37" s="2706"/>
      <c r="Q37" s="2706"/>
      <c r="R37" s="2708"/>
    </row>
    <row r="38" spans="2:18" s="2696" customFormat="1">
      <c r="B38" s="2706"/>
      <c r="C38" s="2706"/>
      <c r="D38" s="2706"/>
      <c r="E38" s="2706"/>
      <c r="F38" s="2706"/>
      <c r="G38" s="2707"/>
      <c r="H38" s="2706"/>
      <c r="I38" s="2707"/>
      <c r="J38" s="2706"/>
      <c r="K38" s="2706"/>
      <c r="L38" s="2707"/>
      <c r="M38" s="2706"/>
      <c r="N38" s="2706"/>
      <c r="O38" s="2707"/>
      <c r="P38" s="2706"/>
      <c r="Q38" s="2706"/>
      <c r="R38" s="2708"/>
    </row>
    <row r="39" spans="2:18" s="2696" customFormat="1">
      <c r="B39" s="2706"/>
      <c r="C39" s="2706"/>
      <c r="D39" s="2706"/>
      <c r="E39" s="2706"/>
      <c r="F39" s="2706"/>
      <c r="G39" s="2707"/>
      <c r="H39" s="2706"/>
      <c r="I39" s="2707"/>
      <c r="J39" s="2706"/>
      <c r="K39" s="2706"/>
      <c r="L39" s="2707"/>
      <c r="M39" s="2706"/>
      <c r="N39" s="2706"/>
      <c r="O39" s="2707"/>
      <c r="P39" s="2706"/>
      <c r="Q39" s="2706"/>
      <c r="R39" s="2708"/>
    </row>
    <row r="40" spans="2:18" s="2696" customFormat="1">
      <c r="B40" s="2706"/>
      <c r="C40" s="2706"/>
      <c r="D40" s="2706"/>
      <c r="E40" s="2706"/>
      <c r="F40" s="2706"/>
      <c r="G40" s="2707"/>
      <c r="H40" s="2706"/>
      <c r="I40" s="2707"/>
      <c r="J40" s="2706"/>
      <c r="K40" s="2706"/>
      <c r="L40" s="2707"/>
      <c r="M40" s="2706"/>
      <c r="N40" s="2706"/>
      <c r="O40" s="2707"/>
      <c r="P40" s="2706"/>
      <c r="Q40" s="2706"/>
      <c r="R40" s="2708"/>
    </row>
    <row r="41" spans="2:18" s="2696" customFormat="1">
      <c r="B41" s="2706"/>
      <c r="C41" s="2706"/>
      <c r="D41" s="2706"/>
      <c r="E41" s="2706"/>
      <c r="F41" s="2706"/>
      <c r="G41" s="2707"/>
      <c r="H41" s="2706"/>
      <c r="I41" s="2707"/>
      <c r="J41" s="2706"/>
      <c r="K41" s="2706"/>
      <c r="L41" s="2707"/>
      <c r="M41" s="2706"/>
      <c r="N41" s="2706"/>
      <c r="O41" s="2707"/>
      <c r="P41" s="2706"/>
      <c r="Q41" s="2706"/>
      <c r="R41" s="2708"/>
    </row>
    <row r="42" spans="2:18" s="2696" customFormat="1">
      <c r="B42" s="2706"/>
      <c r="C42" s="2706"/>
      <c r="D42" s="2706"/>
      <c r="E42" s="2706"/>
      <c r="F42" s="2706"/>
      <c r="G42" s="2707"/>
      <c r="H42" s="2706"/>
      <c r="I42" s="2707"/>
      <c r="J42" s="2706"/>
      <c r="K42" s="2706"/>
      <c r="L42" s="2707"/>
      <c r="M42" s="2706"/>
      <c r="N42" s="2706"/>
      <c r="O42" s="2707"/>
      <c r="P42" s="2706"/>
      <c r="Q42" s="2706"/>
      <c r="R42" s="2708"/>
    </row>
    <row r="43" spans="2:18" s="2696" customFormat="1">
      <c r="B43" s="2706"/>
      <c r="C43" s="2706"/>
      <c r="D43" s="2706"/>
      <c r="E43" s="2706"/>
      <c r="F43" s="2706"/>
      <c r="G43" s="2707"/>
      <c r="H43" s="2706"/>
      <c r="I43" s="2707"/>
      <c r="J43" s="2706"/>
      <c r="K43" s="2706"/>
      <c r="L43" s="2707"/>
      <c r="M43" s="2706"/>
      <c r="N43" s="2706"/>
      <c r="O43" s="2707"/>
      <c r="P43" s="2706"/>
      <c r="Q43" s="2706"/>
      <c r="R43" s="2708"/>
    </row>
    <row r="44" spans="2:18" s="2696" customFormat="1">
      <c r="B44" s="2706"/>
      <c r="C44" s="2706"/>
      <c r="D44" s="2706"/>
      <c r="E44" s="2706"/>
      <c r="F44" s="2706"/>
      <c r="G44" s="2707"/>
      <c r="H44" s="2706"/>
      <c r="I44" s="2707"/>
      <c r="J44" s="2706"/>
      <c r="K44" s="2706"/>
      <c r="L44" s="2707"/>
      <c r="M44" s="2706"/>
      <c r="N44" s="2706"/>
      <c r="O44" s="2707"/>
      <c r="P44" s="2706"/>
      <c r="Q44" s="2706"/>
      <c r="R44" s="2708"/>
    </row>
    <row r="45" spans="2:18" s="2696" customFormat="1">
      <c r="B45" s="2706"/>
      <c r="C45" s="2706"/>
      <c r="D45" s="2706"/>
      <c r="E45" s="2706"/>
      <c r="F45" s="2706"/>
      <c r="G45" s="2707"/>
      <c r="H45" s="2706"/>
      <c r="I45" s="2707"/>
      <c r="J45" s="2706"/>
      <c r="K45" s="2706"/>
      <c r="L45" s="2707"/>
      <c r="M45" s="2706"/>
      <c r="N45" s="2706"/>
      <c r="O45" s="2707"/>
      <c r="P45" s="2706"/>
      <c r="Q45" s="2706"/>
      <c r="R45" s="2708"/>
    </row>
    <row r="46" spans="2:18" s="2696" customFormat="1">
      <c r="B46" s="2706"/>
      <c r="C46" s="2706"/>
      <c r="D46" s="2706"/>
      <c r="E46" s="2706"/>
      <c r="F46" s="2706"/>
      <c r="G46" s="2707"/>
      <c r="H46" s="2706"/>
      <c r="I46" s="2707"/>
      <c r="J46" s="2706"/>
      <c r="K46" s="2706"/>
      <c r="L46" s="2707"/>
      <c r="M46" s="2706"/>
      <c r="N46" s="2706"/>
      <c r="O46" s="2707"/>
      <c r="P46" s="2706"/>
      <c r="Q46" s="2706"/>
      <c r="R46" s="2708"/>
    </row>
    <row r="47" spans="2:18" s="2696" customFormat="1">
      <c r="B47" s="2706"/>
      <c r="C47" s="2706"/>
      <c r="D47" s="2706"/>
      <c r="E47" s="2706"/>
      <c r="F47" s="2706"/>
      <c r="G47" s="2707"/>
      <c r="H47" s="2706"/>
      <c r="I47" s="2707"/>
      <c r="J47" s="2706"/>
      <c r="K47" s="2706"/>
      <c r="L47" s="2707"/>
      <c r="M47" s="2706"/>
      <c r="N47" s="2706"/>
      <c r="O47" s="2707"/>
      <c r="P47" s="2706"/>
      <c r="Q47" s="2706"/>
      <c r="R47" s="2708"/>
    </row>
    <row r="48" spans="2:18" s="2696" customFormat="1">
      <c r="B48" s="2706"/>
      <c r="C48" s="2706"/>
      <c r="D48" s="2706"/>
      <c r="E48" s="2706"/>
      <c r="F48" s="2706"/>
      <c r="G48" s="2707"/>
      <c r="H48" s="2706"/>
      <c r="I48" s="2707"/>
      <c r="J48" s="2706"/>
      <c r="K48" s="2706"/>
      <c r="L48" s="2707"/>
      <c r="M48" s="2706"/>
      <c r="N48" s="2706"/>
      <c r="O48" s="2707"/>
      <c r="P48" s="2706"/>
      <c r="Q48" s="2706"/>
      <c r="R48" s="2708"/>
    </row>
    <row r="49" spans="2:18" s="2696" customFormat="1">
      <c r="B49" s="2706"/>
      <c r="C49" s="2706"/>
      <c r="D49" s="2706"/>
      <c r="E49" s="2706"/>
      <c r="F49" s="2706"/>
      <c r="G49" s="2707"/>
      <c r="H49" s="2706"/>
      <c r="I49" s="2707"/>
      <c r="J49" s="2706"/>
      <c r="K49" s="2706"/>
      <c r="L49" s="2707"/>
      <c r="M49" s="2706"/>
      <c r="N49" s="2706"/>
      <c r="O49" s="2707"/>
      <c r="P49" s="2706"/>
      <c r="Q49" s="2706"/>
      <c r="R49" s="2708"/>
    </row>
    <row r="50" spans="2:18" s="2696" customFormat="1">
      <c r="B50" s="2706"/>
      <c r="C50" s="2706"/>
      <c r="D50" s="2706"/>
      <c r="E50" s="2706"/>
      <c r="F50" s="2706"/>
      <c r="G50" s="2707"/>
      <c r="H50" s="2706"/>
      <c r="I50" s="2707"/>
      <c r="J50" s="2706"/>
      <c r="K50" s="2706"/>
      <c r="L50" s="2707"/>
      <c r="M50" s="2706"/>
      <c r="N50" s="2706"/>
      <c r="O50" s="2707"/>
      <c r="P50" s="2706"/>
      <c r="Q50" s="2706"/>
      <c r="R50" s="2708"/>
    </row>
    <row r="51" spans="2:18" s="2696" customFormat="1">
      <c r="B51" s="2706"/>
      <c r="C51" s="2706"/>
      <c r="D51" s="2706"/>
      <c r="E51" s="2706"/>
      <c r="F51" s="2706"/>
      <c r="G51" s="2707"/>
      <c r="H51" s="2706"/>
      <c r="I51" s="2707"/>
      <c r="J51" s="2706"/>
      <c r="K51" s="2706"/>
      <c r="L51" s="2707"/>
      <c r="M51" s="2706"/>
      <c r="N51" s="2706"/>
      <c r="O51" s="2707"/>
      <c r="P51" s="2706"/>
      <c r="Q51" s="2706"/>
      <c r="R51" s="2708"/>
    </row>
    <row r="52" spans="2:18" s="2696" customFormat="1">
      <c r="B52" s="2706"/>
      <c r="C52" s="2706"/>
      <c r="D52" s="2706"/>
      <c r="E52" s="2706"/>
      <c r="F52" s="2706"/>
      <c r="G52" s="2707"/>
      <c r="H52" s="2706"/>
      <c r="I52" s="2707"/>
      <c r="J52" s="2706"/>
      <c r="K52" s="2706"/>
      <c r="L52" s="2707"/>
      <c r="M52" s="2706"/>
      <c r="N52" s="2706"/>
      <c r="O52" s="2707"/>
      <c r="P52" s="2706"/>
      <c r="Q52" s="2706"/>
      <c r="R52" s="2708"/>
    </row>
    <row r="53" spans="2:18" s="2696" customFormat="1">
      <c r="B53" s="2706"/>
      <c r="C53" s="2706"/>
      <c r="D53" s="2706"/>
      <c r="E53" s="2706"/>
      <c r="F53" s="2706"/>
      <c r="G53" s="2707"/>
      <c r="H53" s="2706"/>
      <c r="I53" s="2707"/>
      <c r="J53" s="2706"/>
      <c r="K53" s="2706"/>
      <c r="L53" s="2707"/>
      <c r="M53" s="2706"/>
      <c r="N53" s="2706"/>
      <c r="O53" s="2707"/>
      <c r="P53" s="2706"/>
      <c r="Q53" s="2706"/>
      <c r="R53" s="2708"/>
    </row>
    <row r="54" spans="2:18" s="2696" customFormat="1">
      <c r="B54" s="2706"/>
      <c r="C54" s="2706"/>
      <c r="D54" s="2706"/>
      <c r="E54" s="2706"/>
      <c r="F54" s="2706"/>
      <c r="G54" s="2707"/>
      <c r="H54" s="2706"/>
      <c r="I54" s="2707"/>
      <c r="J54" s="2706"/>
      <c r="K54" s="2706"/>
      <c r="L54" s="2707"/>
      <c r="M54" s="2706"/>
      <c r="N54" s="2706"/>
      <c r="O54" s="2707"/>
      <c r="P54" s="2706"/>
      <c r="Q54" s="2706"/>
      <c r="R54" s="2708"/>
    </row>
    <row r="55" spans="2:18" s="2696" customFormat="1">
      <c r="B55" s="2706"/>
      <c r="C55" s="2706"/>
      <c r="D55" s="2706"/>
      <c r="E55" s="2706"/>
      <c r="F55" s="2706"/>
      <c r="G55" s="2707"/>
      <c r="H55" s="2706"/>
      <c r="I55" s="2707"/>
      <c r="J55" s="2706"/>
      <c r="K55" s="2706"/>
      <c r="L55" s="2707"/>
      <c r="M55" s="2706"/>
      <c r="N55" s="2706"/>
      <c r="O55" s="2707"/>
      <c r="P55" s="2706"/>
      <c r="Q55" s="2706"/>
      <c r="R55" s="2708"/>
    </row>
    <row r="56" spans="2:18" s="2696" customFormat="1">
      <c r="B56" s="2706"/>
      <c r="C56" s="2706"/>
      <c r="D56" s="2706"/>
      <c r="E56" s="2706"/>
      <c r="F56" s="2706"/>
      <c r="G56" s="2707"/>
      <c r="H56" s="2706"/>
      <c r="I56" s="2707"/>
      <c r="J56" s="2706"/>
      <c r="K56" s="2706"/>
      <c r="L56" s="2707"/>
      <c r="M56" s="2706"/>
      <c r="N56" s="2706"/>
      <c r="O56" s="2707"/>
      <c r="P56" s="2706"/>
      <c r="Q56" s="2706"/>
      <c r="R56" s="2708"/>
    </row>
    <row r="57" spans="2:18" s="2696" customFormat="1">
      <c r="B57" s="2706"/>
      <c r="C57" s="2706"/>
      <c r="D57" s="2706"/>
      <c r="E57" s="2706"/>
      <c r="F57" s="2706"/>
      <c r="G57" s="2707"/>
      <c r="H57" s="2706"/>
      <c r="I57" s="2707"/>
      <c r="J57" s="2706"/>
      <c r="K57" s="2706"/>
      <c r="L57" s="2707"/>
      <c r="M57" s="2706"/>
      <c r="N57" s="2706"/>
      <c r="O57" s="2707"/>
      <c r="P57" s="2706"/>
      <c r="Q57" s="2706"/>
      <c r="R57" s="2708"/>
    </row>
    <row r="58" spans="2:18" s="2696" customFormat="1">
      <c r="B58" s="2706"/>
      <c r="C58" s="2706"/>
      <c r="D58" s="2706"/>
      <c r="E58" s="2706"/>
      <c r="F58" s="2706"/>
      <c r="G58" s="2707"/>
      <c r="H58" s="2706"/>
      <c r="I58" s="2707"/>
      <c r="J58" s="2706"/>
      <c r="K58" s="2706"/>
      <c r="L58" s="2707"/>
      <c r="M58" s="2706"/>
      <c r="N58" s="2706"/>
      <c r="O58" s="2707"/>
      <c r="P58" s="2706"/>
      <c r="Q58" s="2706"/>
      <c r="R58" s="2708"/>
    </row>
    <row r="59" spans="2:18" s="2696" customFormat="1">
      <c r="B59" s="2706"/>
      <c r="C59" s="2706"/>
      <c r="D59" s="2706"/>
      <c r="E59" s="2706"/>
      <c r="F59" s="2706"/>
      <c r="G59" s="2707"/>
      <c r="H59" s="2706"/>
      <c r="I59" s="2707"/>
      <c r="J59" s="2706"/>
      <c r="K59" s="2706"/>
      <c r="L59" s="2707"/>
      <c r="M59" s="2706"/>
      <c r="N59" s="2706"/>
      <c r="O59" s="2707"/>
      <c r="P59" s="2706"/>
      <c r="Q59" s="2706"/>
      <c r="R59" s="2708"/>
    </row>
    <row r="60" spans="2:18" s="2696" customFormat="1">
      <c r="B60" s="2706"/>
      <c r="C60" s="2706"/>
      <c r="D60" s="2706"/>
      <c r="E60" s="2706"/>
      <c r="F60" s="2706"/>
      <c r="G60" s="2707"/>
      <c r="H60" s="2706"/>
      <c r="I60" s="2707"/>
      <c r="J60" s="2706"/>
      <c r="K60" s="2706"/>
      <c r="L60" s="2707"/>
      <c r="M60" s="2706"/>
      <c r="N60" s="2706"/>
      <c r="O60" s="2707"/>
      <c r="P60" s="2706"/>
      <c r="Q60" s="2706"/>
      <c r="R60" s="2708"/>
    </row>
    <row r="61" spans="2:18" s="2696" customFormat="1">
      <c r="B61" s="2706"/>
      <c r="C61" s="2706"/>
      <c r="D61" s="2706"/>
      <c r="E61" s="2706"/>
      <c r="F61" s="2706"/>
      <c r="G61" s="2707"/>
      <c r="H61" s="2706"/>
      <c r="I61" s="2707"/>
      <c r="J61" s="2706"/>
      <c r="K61" s="2706"/>
      <c r="L61" s="2707"/>
      <c r="M61" s="2706"/>
      <c r="N61" s="2706"/>
      <c r="O61" s="2707"/>
      <c r="P61" s="2706"/>
      <c r="Q61" s="2706"/>
      <c r="R61" s="2708"/>
    </row>
    <row r="62" spans="2:18" s="2696" customFormat="1">
      <c r="B62" s="2706"/>
      <c r="C62" s="2706"/>
      <c r="D62" s="2706"/>
      <c r="E62" s="2706"/>
      <c r="F62" s="2706"/>
      <c r="G62" s="2707"/>
      <c r="H62" s="2706"/>
      <c r="I62" s="2707"/>
      <c r="J62" s="2706"/>
      <c r="K62" s="2706"/>
      <c r="L62" s="2707"/>
      <c r="M62" s="2706"/>
      <c r="N62" s="2706"/>
      <c r="O62" s="2707"/>
      <c r="P62" s="2706"/>
      <c r="Q62" s="2706"/>
      <c r="R62" s="2708"/>
    </row>
    <row r="63" spans="2:18" s="2696" customFormat="1">
      <c r="B63" s="2706"/>
      <c r="C63" s="2706"/>
      <c r="D63" s="2706"/>
      <c r="E63" s="2706"/>
      <c r="F63" s="2706"/>
      <c r="G63" s="2707"/>
      <c r="H63" s="2706"/>
      <c r="I63" s="2707"/>
      <c r="J63" s="2706"/>
      <c r="K63" s="2706"/>
      <c r="L63" s="2707"/>
      <c r="M63" s="2706"/>
      <c r="N63" s="2706"/>
      <c r="O63" s="2707"/>
      <c r="P63" s="2706"/>
      <c r="Q63" s="2706"/>
      <c r="R63" s="2708"/>
    </row>
    <row r="64" spans="2:18" s="2696" customFormat="1">
      <c r="B64" s="2706"/>
      <c r="C64" s="2706"/>
      <c r="D64" s="2706"/>
      <c r="E64" s="2706"/>
      <c r="F64" s="2706"/>
      <c r="G64" s="2707"/>
      <c r="H64" s="2706"/>
      <c r="I64" s="2707"/>
      <c r="J64" s="2706"/>
      <c r="K64" s="2706"/>
      <c r="L64" s="2707"/>
      <c r="M64" s="2706"/>
      <c r="N64" s="2706"/>
      <c r="O64" s="2707"/>
      <c r="P64" s="2706"/>
      <c r="Q64" s="2706"/>
      <c r="R64" s="2708"/>
    </row>
    <row r="65" spans="2:18" s="2696" customFormat="1">
      <c r="B65" s="2706"/>
      <c r="C65" s="2706"/>
      <c r="D65" s="2706"/>
      <c r="E65" s="2706"/>
      <c r="F65" s="2706"/>
      <c r="G65" s="2707"/>
      <c r="H65" s="2706"/>
      <c r="I65" s="2707"/>
      <c r="J65" s="2706"/>
      <c r="K65" s="2706"/>
      <c r="L65" s="2707"/>
      <c r="M65" s="2706"/>
      <c r="N65" s="2706"/>
      <c r="O65" s="2707"/>
      <c r="P65" s="2706"/>
      <c r="Q65" s="2706"/>
      <c r="R65" s="2708"/>
    </row>
    <row r="66" spans="2:18" s="2696" customFormat="1">
      <c r="B66" s="2706"/>
      <c r="C66" s="2706"/>
      <c r="D66" s="2706"/>
      <c r="E66" s="2706"/>
      <c r="F66" s="2706"/>
      <c r="G66" s="2707"/>
      <c r="H66" s="2706"/>
      <c r="I66" s="2707"/>
      <c r="J66" s="2706"/>
      <c r="K66" s="2706"/>
      <c r="L66" s="2707"/>
      <c r="M66" s="2706"/>
      <c r="N66" s="2706"/>
      <c r="O66" s="2707"/>
      <c r="P66" s="2706"/>
      <c r="Q66" s="2706"/>
      <c r="R66" s="2708"/>
    </row>
    <row r="67" spans="2:18" s="2696" customFormat="1">
      <c r="B67" s="2706"/>
      <c r="C67" s="2706"/>
      <c r="D67" s="2706"/>
      <c r="E67" s="2706"/>
      <c r="F67" s="2706"/>
      <c r="G67" s="2707"/>
      <c r="H67" s="2706"/>
      <c r="I67" s="2707"/>
      <c r="J67" s="2706"/>
      <c r="K67" s="2706"/>
      <c r="L67" s="2707"/>
      <c r="M67" s="2706"/>
      <c r="N67" s="2706"/>
      <c r="O67" s="2707"/>
      <c r="P67" s="2706"/>
      <c r="Q67" s="2706"/>
      <c r="R67" s="2708"/>
    </row>
    <row r="68" spans="2:18" s="2696" customFormat="1">
      <c r="B68" s="2706"/>
      <c r="C68" s="2706"/>
      <c r="D68" s="2706"/>
      <c r="E68" s="2706"/>
      <c r="F68" s="2706"/>
      <c r="G68" s="2707"/>
      <c r="H68" s="2706"/>
      <c r="I68" s="2707"/>
      <c r="J68" s="2706"/>
      <c r="K68" s="2706"/>
      <c r="L68" s="2707"/>
      <c r="M68" s="2706"/>
      <c r="N68" s="2706"/>
      <c r="O68" s="2707"/>
      <c r="P68" s="2706"/>
      <c r="Q68" s="2706"/>
      <c r="R68" s="2708"/>
    </row>
    <row r="69" spans="2:18" s="2696" customFormat="1">
      <c r="B69" s="2706"/>
      <c r="C69" s="2706"/>
      <c r="D69" s="2706"/>
      <c r="E69" s="2706"/>
      <c r="F69" s="2706"/>
      <c r="G69" s="2707"/>
      <c r="H69" s="2706"/>
      <c r="I69" s="2707"/>
      <c r="J69" s="2706"/>
      <c r="K69" s="2706"/>
      <c r="L69" s="2707"/>
      <c r="M69" s="2706"/>
      <c r="N69" s="2706"/>
      <c r="O69" s="2707"/>
      <c r="P69" s="2706"/>
      <c r="Q69" s="2706"/>
      <c r="R69" s="2708"/>
    </row>
    <row r="70" spans="2:18" s="2696" customFormat="1">
      <c r="B70" s="2706"/>
      <c r="C70" s="2706"/>
      <c r="D70" s="2706"/>
      <c r="E70" s="2706"/>
      <c r="F70" s="2706"/>
      <c r="G70" s="2707"/>
      <c r="H70" s="2706"/>
      <c r="I70" s="2707"/>
      <c r="J70" s="2706"/>
      <c r="K70" s="2706"/>
      <c r="L70" s="2707"/>
      <c r="M70" s="2706"/>
      <c r="N70" s="2706"/>
      <c r="O70" s="2707"/>
      <c r="P70" s="2706"/>
      <c r="Q70" s="2706"/>
      <c r="R70" s="2708"/>
    </row>
    <row r="71" spans="2:18" s="2696" customFormat="1">
      <c r="B71" s="2706"/>
      <c r="C71" s="2706"/>
      <c r="D71" s="2706"/>
      <c r="E71" s="2706"/>
      <c r="F71" s="2706"/>
      <c r="G71" s="2707"/>
      <c r="H71" s="2706"/>
      <c r="I71" s="2707"/>
      <c r="J71" s="2706"/>
      <c r="K71" s="2706"/>
      <c r="L71" s="2707"/>
      <c r="M71" s="2706"/>
      <c r="N71" s="2706"/>
      <c r="O71" s="2707"/>
      <c r="P71" s="2706"/>
      <c r="Q71" s="2706"/>
      <c r="R71" s="2708"/>
    </row>
    <row r="72" spans="2:18" s="2696" customFormat="1">
      <c r="B72" s="2706"/>
      <c r="C72" s="2706"/>
      <c r="D72" s="2706"/>
      <c r="E72" s="2706"/>
      <c r="F72" s="2706"/>
      <c r="G72" s="2707"/>
      <c r="H72" s="2706"/>
      <c r="I72" s="2707"/>
      <c r="J72" s="2706"/>
      <c r="K72" s="2706"/>
      <c r="L72" s="2707"/>
      <c r="M72" s="2706"/>
      <c r="N72" s="2706"/>
      <c r="O72" s="2707"/>
      <c r="P72" s="2706"/>
      <c r="Q72" s="2706"/>
      <c r="R72" s="2708"/>
    </row>
    <row r="73" spans="2:18" s="2696" customFormat="1">
      <c r="B73" s="2706"/>
      <c r="C73" s="2706"/>
      <c r="D73" s="2706"/>
      <c r="E73" s="2706"/>
      <c r="F73" s="2706"/>
      <c r="G73" s="2707"/>
      <c r="H73" s="2706"/>
      <c r="I73" s="2707"/>
      <c r="J73" s="2706"/>
      <c r="K73" s="2706"/>
      <c r="L73" s="2707"/>
      <c r="M73" s="2706"/>
      <c r="N73" s="2706"/>
      <c r="O73" s="2707"/>
      <c r="P73" s="2706"/>
      <c r="Q73" s="2706"/>
      <c r="R73" s="2708"/>
    </row>
    <row r="74" spans="2:18" s="2696" customFormat="1">
      <c r="B74" s="2706"/>
      <c r="C74" s="2706"/>
      <c r="D74" s="2706"/>
      <c r="E74" s="2706"/>
      <c r="F74" s="2706"/>
      <c r="G74" s="2707"/>
      <c r="H74" s="2706"/>
      <c r="I74" s="2707"/>
      <c r="J74" s="2706"/>
      <c r="K74" s="2706"/>
      <c r="L74" s="2707"/>
      <c r="M74" s="2706"/>
      <c r="N74" s="2706"/>
      <c r="O74" s="2707"/>
      <c r="P74" s="2706"/>
      <c r="Q74" s="2706"/>
      <c r="R74" s="2708"/>
    </row>
    <row r="75" spans="2:18" s="2696" customFormat="1">
      <c r="B75" s="2706"/>
      <c r="C75" s="2706"/>
      <c r="D75" s="2706"/>
      <c r="E75" s="2706"/>
      <c r="F75" s="2706"/>
      <c r="G75" s="2707"/>
      <c r="H75" s="2706"/>
      <c r="I75" s="2707"/>
      <c r="J75" s="2706"/>
      <c r="K75" s="2706"/>
      <c r="L75" s="2707"/>
      <c r="M75" s="2706"/>
      <c r="N75" s="2706"/>
      <c r="O75" s="2707"/>
      <c r="P75" s="2706"/>
      <c r="Q75" s="2706"/>
      <c r="R75" s="2708"/>
    </row>
    <row r="76" spans="2:18" s="2696" customFormat="1">
      <c r="B76" s="2706"/>
      <c r="C76" s="2706"/>
      <c r="D76" s="2706"/>
      <c r="E76" s="2706"/>
      <c r="F76" s="2706"/>
      <c r="G76" s="2707"/>
      <c r="H76" s="2706"/>
      <c r="I76" s="2707"/>
      <c r="J76" s="2706"/>
      <c r="K76" s="2706"/>
      <c r="L76" s="2707"/>
      <c r="M76" s="2706"/>
      <c r="N76" s="2706"/>
      <c r="O76" s="2707"/>
      <c r="P76" s="2706"/>
      <c r="Q76" s="2706"/>
      <c r="R76" s="2708"/>
    </row>
    <row r="77" spans="2:18" s="2696" customFormat="1">
      <c r="B77" s="2706"/>
      <c r="C77" s="2706"/>
      <c r="D77" s="2706"/>
      <c r="E77" s="2706"/>
      <c r="F77" s="2706"/>
      <c r="G77" s="2707"/>
      <c r="H77" s="2706"/>
      <c r="I77" s="2707"/>
      <c r="J77" s="2706"/>
      <c r="K77" s="2706"/>
      <c r="L77" s="2707"/>
      <c r="M77" s="2706"/>
      <c r="N77" s="2706"/>
      <c r="O77" s="2707"/>
      <c r="P77" s="2706"/>
      <c r="Q77" s="2706"/>
      <c r="R77" s="2708"/>
    </row>
    <row r="78" spans="2:18" s="2696" customFormat="1">
      <c r="B78" s="2706"/>
      <c r="C78" s="2706"/>
      <c r="D78" s="2706"/>
      <c r="E78" s="2706"/>
      <c r="F78" s="2706"/>
      <c r="G78" s="2707"/>
      <c r="H78" s="2706"/>
      <c r="I78" s="2707"/>
      <c r="J78" s="2706"/>
      <c r="K78" s="2706"/>
      <c r="L78" s="2707"/>
      <c r="M78" s="2706"/>
      <c r="N78" s="2706"/>
      <c r="O78" s="2707"/>
      <c r="P78" s="2706"/>
      <c r="Q78" s="2706"/>
      <c r="R78" s="2708"/>
    </row>
    <row r="79" spans="2:18" s="2696" customFormat="1">
      <c r="B79" s="2706"/>
      <c r="C79" s="2706"/>
      <c r="D79" s="2706"/>
      <c r="E79" s="2706"/>
      <c r="F79" s="2706"/>
      <c r="G79" s="2707"/>
      <c r="H79" s="2706"/>
      <c r="I79" s="2707"/>
      <c r="J79" s="2706"/>
      <c r="K79" s="2706"/>
      <c r="L79" s="2707"/>
      <c r="M79" s="2706"/>
      <c r="N79" s="2706"/>
      <c r="O79" s="2707"/>
      <c r="P79" s="2706"/>
      <c r="Q79" s="2706"/>
      <c r="R79" s="2708"/>
    </row>
    <row r="80" spans="2:18" s="2696" customFormat="1">
      <c r="B80" s="2706"/>
      <c r="C80" s="2706"/>
      <c r="D80" s="2706"/>
      <c r="E80" s="2706"/>
      <c r="F80" s="2706"/>
      <c r="G80" s="2707"/>
      <c r="H80" s="2706"/>
      <c r="I80" s="2707"/>
      <c r="J80" s="2706"/>
      <c r="K80" s="2706"/>
      <c r="L80" s="2707"/>
      <c r="M80" s="2706"/>
      <c r="N80" s="2706"/>
      <c r="O80" s="2707"/>
      <c r="P80" s="2706"/>
      <c r="Q80" s="2706"/>
      <c r="R80" s="2708"/>
    </row>
    <row r="81" spans="2:18" s="2696" customFormat="1">
      <c r="B81" s="2706"/>
      <c r="C81" s="2706"/>
      <c r="D81" s="2706"/>
      <c r="E81" s="2706"/>
      <c r="F81" s="2706"/>
      <c r="G81" s="2707"/>
      <c r="H81" s="2706"/>
      <c r="I81" s="2707"/>
      <c r="J81" s="2706"/>
      <c r="K81" s="2706"/>
      <c r="L81" s="2707"/>
      <c r="M81" s="2706"/>
      <c r="N81" s="2706"/>
      <c r="O81" s="2707"/>
      <c r="P81" s="2706"/>
      <c r="Q81" s="2706"/>
      <c r="R81" s="2708"/>
    </row>
    <row r="82" spans="2:18" s="2696" customFormat="1">
      <c r="B82" s="2706"/>
      <c r="C82" s="2706"/>
      <c r="D82" s="2706"/>
      <c r="E82" s="2706"/>
      <c r="F82" s="2706"/>
      <c r="G82" s="2707"/>
      <c r="H82" s="2706"/>
      <c r="I82" s="2707"/>
      <c r="J82" s="2706"/>
      <c r="K82" s="2706"/>
      <c r="L82" s="2707"/>
      <c r="M82" s="2706"/>
      <c r="N82" s="2706"/>
      <c r="O82" s="2707"/>
      <c r="P82" s="2706"/>
      <c r="Q82" s="2706"/>
      <c r="R82" s="2708"/>
    </row>
    <row r="83" spans="2:18" s="2696" customFormat="1">
      <c r="B83" s="2706"/>
      <c r="C83" s="2706"/>
      <c r="D83" s="2706"/>
      <c r="E83" s="2706"/>
      <c r="F83" s="2706"/>
      <c r="G83" s="2707"/>
      <c r="H83" s="2706"/>
      <c r="I83" s="2707"/>
      <c r="J83" s="2706"/>
      <c r="K83" s="2706"/>
      <c r="L83" s="2707"/>
      <c r="M83" s="2706"/>
      <c r="N83" s="2706"/>
      <c r="O83" s="2707"/>
      <c r="P83" s="2706"/>
      <c r="Q83" s="2706"/>
      <c r="R83" s="2708"/>
    </row>
    <row r="84" spans="2:18" s="2696" customFormat="1">
      <c r="B84" s="2706"/>
      <c r="C84" s="2706"/>
      <c r="D84" s="2706"/>
      <c r="E84" s="2706"/>
      <c r="F84" s="2706"/>
      <c r="G84" s="2707"/>
      <c r="H84" s="2706"/>
      <c r="I84" s="2707"/>
      <c r="J84" s="2706"/>
      <c r="K84" s="2706"/>
      <c r="L84" s="2707"/>
      <c r="M84" s="2706"/>
      <c r="N84" s="2706"/>
      <c r="O84" s="2707"/>
      <c r="P84" s="2706"/>
      <c r="Q84" s="2706"/>
      <c r="R84" s="2708"/>
    </row>
    <row r="85" spans="2:18" s="2696" customFormat="1">
      <c r="B85" s="2706"/>
      <c r="C85" s="2706"/>
      <c r="D85" s="2706"/>
      <c r="E85" s="2706"/>
      <c r="F85" s="2706"/>
      <c r="G85" s="2707"/>
      <c r="H85" s="2706"/>
      <c r="I85" s="2707"/>
      <c r="J85" s="2706"/>
      <c r="K85" s="2706"/>
      <c r="L85" s="2707"/>
      <c r="M85" s="2706"/>
      <c r="N85" s="2706"/>
      <c r="O85" s="2707"/>
      <c r="P85" s="2706"/>
      <c r="Q85" s="2706"/>
      <c r="R85" s="2708"/>
    </row>
    <row r="86" spans="2:18" s="2696" customFormat="1">
      <c r="B86" s="2706"/>
      <c r="C86" s="2706"/>
      <c r="D86" s="2706"/>
      <c r="E86" s="2706"/>
      <c r="F86" s="2706"/>
      <c r="G86" s="2707"/>
      <c r="H86" s="2706"/>
      <c r="I86" s="2707"/>
      <c r="J86" s="2706"/>
      <c r="K86" s="2706"/>
      <c r="L86" s="2707"/>
      <c r="M86" s="2706"/>
      <c r="N86" s="2706"/>
      <c r="O86" s="2707"/>
      <c r="P86" s="2706"/>
      <c r="Q86" s="2706"/>
      <c r="R86" s="2708"/>
    </row>
    <row r="87" spans="2:18" s="2696" customFormat="1">
      <c r="B87" s="2706"/>
      <c r="C87" s="2706"/>
      <c r="D87" s="2706"/>
      <c r="E87" s="2706"/>
      <c r="F87" s="2706"/>
      <c r="G87" s="2707"/>
      <c r="H87" s="2706"/>
      <c r="I87" s="2707"/>
      <c r="J87" s="2706"/>
      <c r="K87" s="2706"/>
      <c r="L87" s="2707"/>
      <c r="M87" s="2706"/>
      <c r="N87" s="2706"/>
      <c r="O87" s="2707"/>
      <c r="P87" s="2706"/>
      <c r="Q87" s="2706"/>
      <c r="R87" s="2708"/>
    </row>
    <row r="88" spans="2:18" s="2696" customFormat="1">
      <c r="B88" s="2706"/>
      <c r="C88" s="2706"/>
      <c r="D88" s="2706"/>
      <c r="E88" s="2706"/>
      <c r="F88" s="2706"/>
      <c r="G88" s="2707"/>
      <c r="H88" s="2706"/>
      <c r="I88" s="2707"/>
      <c r="J88" s="2706"/>
      <c r="K88" s="2706"/>
      <c r="L88" s="2707"/>
      <c r="M88" s="2706"/>
      <c r="N88" s="2706"/>
      <c r="O88" s="2707"/>
      <c r="P88" s="2706"/>
      <c r="Q88" s="2706"/>
      <c r="R88" s="2708"/>
    </row>
    <row r="89" spans="2:18" s="2696" customFormat="1">
      <c r="B89" s="2706"/>
      <c r="C89" s="2706"/>
      <c r="D89" s="2706"/>
      <c r="E89" s="2706"/>
      <c r="F89" s="2706"/>
      <c r="G89" s="2707"/>
      <c r="H89" s="2706"/>
      <c r="I89" s="2707"/>
      <c r="J89" s="2706"/>
      <c r="K89" s="2706"/>
      <c r="L89" s="2707"/>
      <c r="M89" s="2706"/>
      <c r="N89" s="2706"/>
      <c r="O89" s="2707"/>
      <c r="P89" s="2706"/>
      <c r="Q89" s="2706"/>
      <c r="R89" s="2708"/>
    </row>
    <row r="90" spans="2:18" s="2696" customFormat="1">
      <c r="B90" s="2706"/>
      <c r="C90" s="2706"/>
      <c r="D90" s="2706"/>
      <c r="E90" s="2706"/>
      <c r="F90" s="2706"/>
      <c r="G90" s="2707"/>
      <c r="H90" s="2706"/>
      <c r="I90" s="2707"/>
      <c r="J90" s="2706"/>
      <c r="K90" s="2706"/>
      <c r="L90" s="2707"/>
      <c r="M90" s="2706"/>
      <c r="N90" s="2706"/>
      <c r="O90" s="2707"/>
      <c r="P90" s="2706"/>
      <c r="Q90" s="2706"/>
      <c r="R90" s="2708"/>
    </row>
    <row r="91" spans="2:18" s="2696" customFormat="1">
      <c r="B91" s="2706"/>
      <c r="C91" s="2706"/>
      <c r="D91" s="2706"/>
      <c r="E91" s="2706"/>
      <c r="F91" s="2706"/>
      <c r="G91" s="2707"/>
      <c r="H91" s="2706"/>
      <c r="I91" s="2707"/>
      <c r="J91" s="2706"/>
      <c r="K91" s="2706"/>
      <c r="L91" s="2707"/>
      <c r="M91" s="2706"/>
      <c r="N91" s="2706"/>
      <c r="O91" s="2707"/>
      <c r="P91" s="2706"/>
      <c r="Q91" s="2706"/>
      <c r="R91" s="2708"/>
    </row>
    <row r="92" spans="2:18" s="2696" customFormat="1">
      <c r="B92" s="2706"/>
      <c r="C92" s="2706"/>
      <c r="D92" s="2706"/>
      <c r="E92" s="2706"/>
      <c r="F92" s="2706"/>
      <c r="G92" s="2707"/>
      <c r="H92" s="2706"/>
      <c r="I92" s="2707"/>
      <c r="J92" s="2706"/>
      <c r="K92" s="2706"/>
      <c r="L92" s="2707"/>
      <c r="M92" s="2706"/>
      <c r="N92" s="2706"/>
      <c r="O92" s="2707"/>
      <c r="P92" s="2706"/>
      <c r="Q92" s="2706"/>
      <c r="R92" s="2708"/>
    </row>
    <row r="93" spans="2:18" s="2696" customFormat="1">
      <c r="B93" s="2706"/>
      <c r="C93" s="2706"/>
      <c r="D93" s="2706"/>
      <c r="E93" s="2706"/>
      <c r="F93" s="2706"/>
      <c r="G93" s="2707"/>
      <c r="H93" s="2706"/>
      <c r="I93" s="2707"/>
      <c r="J93" s="2706"/>
      <c r="K93" s="2706"/>
      <c r="L93" s="2707"/>
      <c r="M93" s="2706"/>
      <c r="N93" s="2706"/>
      <c r="O93" s="2707"/>
      <c r="P93" s="2706"/>
      <c r="Q93" s="2706"/>
      <c r="R93" s="2708"/>
    </row>
    <row r="94" spans="2:18" s="2696" customFormat="1">
      <c r="B94" s="2706"/>
      <c r="C94" s="2706"/>
      <c r="D94" s="2706"/>
      <c r="E94" s="2706"/>
      <c r="F94" s="2706"/>
      <c r="G94" s="2707"/>
      <c r="H94" s="2706"/>
      <c r="I94" s="2707"/>
      <c r="J94" s="2706"/>
      <c r="K94" s="2706"/>
      <c r="L94" s="2707"/>
      <c r="M94" s="2706"/>
      <c r="N94" s="2706"/>
      <c r="O94" s="2707"/>
      <c r="P94" s="2706"/>
      <c r="Q94" s="2706"/>
      <c r="R94" s="2708"/>
    </row>
    <row r="95" spans="2:18" s="2696" customFormat="1">
      <c r="B95" s="2706"/>
      <c r="C95" s="2706"/>
      <c r="D95" s="2706"/>
      <c r="E95" s="2706"/>
      <c r="F95" s="2706"/>
      <c r="G95" s="2707"/>
      <c r="H95" s="2706"/>
      <c r="I95" s="2707"/>
      <c r="J95" s="2706"/>
      <c r="K95" s="2706"/>
      <c r="L95" s="2707"/>
      <c r="M95" s="2706"/>
      <c r="N95" s="2706"/>
      <c r="O95" s="2707"/>
      <c r="P95" s="2706"/>
      <c r="Q95" s="2706"/>
      <c r="R95" s="2708"/>
    </row>
    <row r="96" spans="2:18" s="2696" customFormat="1">
      <c r="B96" s="2706"/>
      <c r="C96" s="2706"/>
      <c r="D96" s="2706"/>
      <c r="E96" s="2706"/>
      <c r="F96" s="2706"/>
      <c r="G96" s="2707"/>
      <c r="H96" s="2706"/>
      <c r="I96" s="2707"/>
      <c r="J96" s="2706"/>
      <c r="K96" s="2706"/>
      <c r="L96" s="2707"/>
      <c r="M96" s="2706"/>
      <c r="N96" s="2706"/>
      <c r="O96" s="2707"/>
      <c r="P96" s="2706"/>
      <c r="Q96" s="2706"/>
      <c r="R96" s="2708"/>
    </row>
    <row r="97" spans="2:18" s="2696" customFormat="1">
      <c r="B97" s="2706"/>
      <c r="C97" s="2706"/>
      <c r="D97" s="2706"/>
      <c r="E97" s="2706"/>
      <c r="F97" s="2706"/>
      <c r="G97" s="2707"/>
      <c r="H97" s="2706"/>
      <c r="I97" s="2707"/>
      <c r="J97" s="2706"/>
      <c r="K97" s="2706"/>
      <c r="L97" s="2707"/>
      <c r="M97" s="2706"/>
      <c r="N97" s="2706"/>
      <c r="O97" s="2707"/>
      <c r="P97" s="2706"/>
      <c r="Q97" s="2706"/>
      <c r="R97" s="2708"/>
    </row>
    <row r="98" spans="2:18" s="2696" customFormat="1">
      <c r="B98" s="2706"/>
      <c r="C98" s="2706"/>
      <c r="D98" s="2706"/>
      <c r="E98" s="2706"/>
      <c r="F98" s="2706"/>
      <c r="G98" s="2707"/>
      <c r="H98" s="2706"/>
      <c r="I98" s="2707"/>
      <c r="J98" s="2706"/>
      <c r="K98" s="2706"/>
      <c r="L98" s="2707"/>
      <c r="M98" s="2706"/>
      <c r="N98" s="2706"/>
      <c r="O98" s="2707"/>
      <c r="P98" s="2706"/>
      <c r="Q98" s="2706"/>
      <c r="R98" s="2708"/>
    </row>
    <row r="99" spans="2:18" s="2696" customFormat="1">
      <c r="B99" s="2706"/>
      <c r="C99" s="2706"/>
      <c r="D99" s="2706"/>
      <c r="E99" s="2706"/>
      <c r="F99" s="2706"/>
      <c r="G99" s="2707"/>
      <c r="H99" s="2706"/>
      <c r="I99" s="2707"/>
      <c r="J99" s="2706"/>
      <c r="K99" s="2706"/>
      <c r="L99" s="2707"/>
      <c r="M99" s="2706"/>
      <c r="N99" s="2706"/>
      <c r="O99" s="2707"/>
      <c r="P99" s="2706"/>
      <c r="Q99" s="2706"/>
      <c r="R99" s="2708"/>
    </row>
    <row r="100" spans="2:18" s="2696" customFormat="1">
      <c r="B100" s="2706"/>
      <c r="C100" s="2706"/>
      <c r="D100" s="2706"/>
      <c r="E100" s="2706"/>
      <c r="F100" s="2706"/>
      <c r="G100" s="2707"/>
      <c r="H100" s="2706"/>
      <c r="I100" s="2707"/>
      <c r="J100" s="2706"/>
      <c r="K100" s="2706"/>
      <c r="L100" s="2707"/>
      <c r="M100" s="2706"/>
      <c r="N100" s="2706"/>
      <c r="O100" s="2707"/>
      <c r="P100" s="2706"/>
      <c r="Q100" s="2706"/>
      <c r="R100" s="2708"/>
    </row>
    <row r="101" spans="2:18" s="2696" customFormat="1">
      <c r="B101" s="2706"/>
      <c r="C101" s="2706"/>
      <c r="D101" s="2706"/>
      <c r="E101" s="2706"/>
      <c r="F101" s="2706"/>
      <c r="G101" s="2707"/>
      <c r="H101" s="2706"/>
      <c r="I101" s="2707"/>
      <c r="J101" s="2706"/>
      <c r="K101" s="2706"/>
      <c r="L101" s="2707"/>
      <c r="M101" s="2706"/>
      <c r="N101" s="2706"/>
      <c r="O101" s="2707"/>
      <c r="P101" s="2706"/>
      <c r="Q101" s="2706"/>
      <c r="R101" s="2708"/>
    </row>
    <row r="102" spans="2:18" s="2696" customFormat="1">
      <c r="B102" s="2706"/>
      <c r="C102" s="2706"/>
      <c r="D102" s="2706"/>
      <c r="E102" s="2706"/>
      <c r="F102" s="2706"/>
      <c r="G102" s="2707"/>
      <c r="H102" s="2706"/>
      <c r="I102" s="2707"/>
      <c r="J102" s="2706"/>
      <c r="K102" s="2706"/>
      <c r="L102" s="2707"/>
      <c r="M102" s="2706"/>
      <c r="N102" s="2706"/>
      <c r="O102" s="2707"/>
      <c r="P102" s="2706"/>
      <c r="Q102" s="2706"/>
      <c r="R102" s="2708"/>
    </row>
    <row r="103" spans="2:18" s="2696" customFormat="1">
      <c r="B103" s="2706"/>
      <c r="C103" s="2706"/>
      <c r="D103" s="2706"/>
      <c r="E103" s="2706"/>
      <c r="F103" s="2706"/>
      <c r="G103" s="2707"/>
      <c r="H103" s="2706"/>
      <c r="I103" s="2707"/>
      <c r="J103" s="2706"/>
      <c r="K103" s="2706"/>
      <c r="L103" s="2707"/>
      <c r="M103" s="2706"/>
      <c r="N103" s="2706"/>
      <c r="O103" s="2707"/>
      <c r="P103" s="2706"/>
      <c r="Q103" s="2706"/>
      <c r="R103" s="2708"/>
    </row>
    <row r="104" spans="2:18" s="2696" customFormat="1">
      <c r="B104" s="2706"/>
      <c r="C104" s="2706"/>
      <c r="D104" s="2706"/>
      <c r="E104" s="2706"/>
      <c r="F104" s="2706"/>
      <c r="G104" s="2707"/>
      <c r="H104" s="2706"/>
      <c r="I104" s="2707"/>
      <c r="J104" s="2706"/>
      <c r="K104" s="2706"/>
      <c r="L104" s="2707"/>
      <c r="M104" s="2706"/>
      <c r="N104" s="2706"/>
      <c r="O104" s="2707"/>
      <c r="P104" s="2706"/>
      <c r="Q104" s="2706"/>
      <c r="R104" s="2708"/>
    </row>
    <row r="105" spans="2:18" s="2696" customFormat="1">
      <c r="B105" s="2706"/>
      <c r="C105" s="2706"/>
      <c r="D105" s="2706"/>
      <c r="E105" s="2706"/>
      <c r="F105" s="2706"/>
      <c r="G105" s="2707"/>
      <c r="H105" s="2706"/>
      <c r="I105" s="2707"/>
      <c r="J105" s="2706"/>
      <c r="K105" s="2706"/>
      <c r="L105" s="2707"/>
      <c r="M105" s="2706"/>
      <c r="N105" s="2706"/>
      <c r="O105" s="2707"/>
      <c r="P105" s="2706"/>
      <c r="Q105" s="2706"/>
      <c r="R105" s="2708"/>
    </row>
    <row r="106" spans="2:18" s="2696" customFormat="1">
      <c r="B106" s="2706"/>
      <c r="C106" s="2706"/>
      <c r="D106" s="2706"/>
      <c r="E106" s="2706"/>
      <c r="F106" s="2706"/>
      <c r="G106" s="2707"/>
      <c r="H106" s="2706"/>
      <c r="I106" s="2707"/>
      <c r="J106" s="2706"/>
      <c r="K106" s="2706"/>
      <c r="L106" s="2707"/>
      <c r="M106" s="2706"/>
      <c r="N106" s="2706"/>
      <c r="O106" s="2707"/>
      <c r="P106" s="2706"/>
      <c r="Q106" s="2706"/>
      <c r="R106" s="2708"/>
    </row>
    <row r="107" spans="2:18" s="2696" customFormat="1">
      <c r="B107" s="2706"/>
      <c r="C107" s="2706"/>
      <c r="D107" s="2706"/>
      <c r="E107" s="2706"/>
      <c r="F107" s="2706"/>
      <c r="G107" s="2707"/>
      <c r="H107" s="2706"/>
      <c r="I107" s="2707"/>
      <c r="J107" s="2706"/>
      <c r="K107" s="2706"/>
      <c r="L107" s="2707"/>
      <c r="M107" s="2706"/>
      <c r="N107" s="2706"/>
      <c r="O107" s="2707"/>
      <c r="P107" s="2706"/>
      <c r="Q107" s="2706"/>
      <c r="R107" s="2708"/>
    </row>
    <row r="108" spans="2:18" s="2696" customFormat="1">
      <c r="B108" s="2706"/>
      <c r="C108" s="2706"/>
      <c r="D108" s="2706"/>
      <c r="E108" s="2706"/>
      <c r="F108" s="2706"/>
      <c r="G108" s="2707"/>
      <c r="H108" s="2706"/>
      <c r="I108" s="2707"/>
      <c r="J108" s="2706"/>
      <c r="K108" s="2706"/>
      <c r="L108" s="2707"/>
      <c r="M108" s="2706"/>
      <c r="N108" s="2706"/>
      <c r="O108" s="2707"/>
      <c r="P108" s="2706"/>
      <c r="Q108" s="2706"/>
      <c r="R108" s="2708"/>
    </row>
    <row r="109" spans="2:18" s="2696" customFormat="1">
      <c r="B109" s="2706"/>
      <c r="C109" s="2706"/>
      <c r="D109" s="2706"/>
      <c r="E109" s="2706"/>
      <c r="F109" s="2706"/>
      <c r="G109" s="2707"/>
      <c r="H109" s="2706"/>
      <c r="I109" s="2707"/>
      <c r="J109" s="2706"/>
      <c r="K109" s="2706"/>
      <c r="L109" s="2707"/>
      <c r="M109" s="2706"/>
      <c r="N109" s="2706"/>
      <c r="O109" s="2707"/>
      <c r="P109" s="2706"/>
      <c r="Q109" s="2706"/>
      <c r="R109" s="2708"/>
    </row>
    <row r="110" spans="2:18" s="2696" customFormat="1">
      <c r="B110" s="2706"/>
      <c r="C110" s="2706"/>
      <c r="D110" s="2706"/>
      <c r="E110" s="2706"/>
      <c r="F110" s="2706"/>
      <c r="G110" s="2707"/>
      <c r="H110" s="2706"/>
      <c r="I110" s="2707"/>
      <c r="J110" s="2706"/>
      <c r="K110" s="2706"/>
      <c r="L110" s="2707"/>
      <c r="M110" s="2706"/>
      <c r="N110" s="2706"/>
      <c r="O110" s="2707"/>
      <c r="P110" s="2706"/>
      <c r="Q110" s="2706"/>
      <c r="R110" s="2708"/>
    </row>
    <row r="111" spans="2:18" s="2696" customFormat="1">
      <c r="B111" s="2706"/>
      <c r="C111" s="2706"/>
      <c r="D111" s="2706"/>
      <c r="E111" s="2706"/>
      <c r="F111" s="2706"/>
      <c r="G111" s="2707"/>
      <c r="H111" s="2706"/>
      <c r="I111" s="2707"/>
      <c r="J111" s="2706"/>
      <c r="K111" s="2706"/>
      <c r="L111" s="2707"/>
      <c r="M111" s="2706"/>
      <c r="N111" s="2706"/>
      <c r="O111" s="2707"/>
      <c r="P111" s="2706"/>
      <c r="Q111" s="2706"/>
      <c r="R111" s="2708"/>
    </row>
    <row r="112" spans="2:18" s="2696" customFormat="1">
      <c r="B112" s="2706"/>
      <c r="C112" s="2706"/>
      <c r="D112" s="2706"/>
      <c r="E112" s="2706"/>
      <c r="F112" s="2706"/>
      <c r="G112" s="2707"/>
      <c r="H112" s="2706"/>
      <c r="I112" s="2707"/>
      <c r="J112" s="2706"/>
      <c r="K112" s="2706"/>
      <c r="L112" s="2707"/>
      <c r="M112" s="2706"/>
      <c r="N112" s="2706"/>
      <c r="O112" s="2707"/>
      <c r="P112" s="2706"/>
      <c r="Q112" s="2706"/>
      <c r="R112" s="2708"/>
    </row>
    <row r="113" spans="2:18" s="2696" customFormat="1">
      <c r="B113" s="2706"/>
      <c r="C113" s="2706"/>
      <c r="D113" s="2706"/>
      <c r="E113" s="2706"/>
      <c r="F113" s="2706"/>
      <c r="G113" s="2707"/>
      <c r="H113" s="2706"/>
      <c r="I113" s="2707"/>
      <c r="J113" s="2706"/>
      <c r="K113" s="2706"/>
      <c r="L113" s="2707"/>
      <c r="M113" s="2706"/>
      <c r="N113" s="2706"/>
      <c r="O113" s="2707"/>
      <c r="P113" s="2706"/>
      <c r="Q113" s="2706"/>
      <c r="R113" s="2708"/>
    </row>
    <row r="114" spans="2:18" s="2696" customFormat="1">
      <c r="B114" s="2706"/>
      <c r="C114" s="2706"/>
      <c r="D114" s="2706"/>
      <c r="E114" s="2706"/>
      <c r="F114" s="2706"/>
      <c r="G114" s="2707"/>
      <c r="H114" s="2706"/>
      <c r="I114" s="2707"/>
      <c r="J114" s="2706"/>
      <c r="K114" s="2706"/>
      <c r="L114" s="2707"/>
      <c r="M114" s="2706"/>
      <c r="N114" s="2706"/>
      <c r="O114" s="2707"/>
      <c r="P114" s="2706"/>
      <c r="Q114" s="2706"/>
      <c r="R114" s="2708"/>
    </row>
    <row r="115" spans="2:18" s="2696" customFormat="1">
      <c r="B115" s="2706"/>
      <c r="C115" s="2706"/>
      <c r="D115" s="2706"/>
      <c r="E115" s="2706"/>
      <c r="F115" s="2706"/>
      <c r="G115" s="2707"/>
      <c r="H115" s="2706"/>
      <c r="I115" s="2707"/>
      <c r="J115" s="2706"/>
      <c r="K115" s="2706"/>
      <c r="L115" s="2707"/>
      <c r="M115" s="2706"/>
      <c r="N115" s="2706"/>
      <c r="O115" s="2707"/>
      <c r="P115" s="2706"/>
      <c r="Q115" s="2706"/>
      <c r="R115" s="2708"/>
    </row>
    <row r="116" spans="2:18" s="2696" customFormat="1">
      <c r="B116" s="2706"/>
      <c r="C116" s="2706"/>
      <c r="D116" s="2706"/>
      <c r="E116" s="2706"/>
      <c r="F116" s="2706"/>
      <c r="G116" s="2707"/>
      <c r="H116" s="2706"/>
      <c r="I116" s="2707"/>
      <c r="J116" s="2706"/>
      <c r="K116" s="2706"/>
      <c r="L116" s="2707"/>
      <c r="M116" s="2706"/>
      <c r="N116" s="2706"/>
      <c r="O116" s="2707"/>
      <c r="P116" s="2706"/>
      <c r="Q116" s="2706"/>
      <c r="R116" s="2708"/>
    </row>
    <row r="117" spans="2:18" s="2696" customFormat="1">
      <c r="B117" s="2706"/>
      <c r="C117" s="2706"/>
      <c r="D117" s="2706"/>
      <c r="E117" s="2706"/>
      <c r="F117" s="2706"/>
      <c r="G117" s="2707"/>
      <c r="H117" s="2706"/>
      <c r="I117" s="2707"/>
      <c r="J117" s="2706"/>
      <c r="K117" s="2706"/>
      <c r="L117" s="2707"/>
      <c r="M117" s="2706"/>
      <c r="N117" s="2706"/>
      <c r="O117" s="2707"/>
      <c r="P117" s="2706"/>
      <c r="Q117" s="2706"/>
      <c r="R117" s="2708"/>
    </row>
    <row r="118" spans="2:18" s="2696" customFormat="1">
      <c r="B118" s="2706"/>
      <c r="C118" s="2706"/>
      <c r="D118" s="2706"/>
      <c r="E118" s="2706"/>
      <c r="F118" s="2706"/>
      <c r="G118" s="2707"/>
      <c r="H118" s="2706"/>
      <c r="I118" s="2707"/>
      <c r="J118" s="2706"/>
      <c r="K118" s="2706"/>
      <c r="L118" s="2707"/>
      <c r="M118" s="2706"/>
      <c r="N118" s="2706"/>
      <c r="O118" s="2707"/>
      <c r="P118" s="2706"/>
      <c r="Q118" s="2706"/>
      <c r="R118" s="2708"/>
    </row>
    <row r="119" spans="2:18" s="2696" customFormat="1">
      <c r="B119" s="2706"/>
      <c r="C119" s="2706"/>
      <c r="D119" s="2706"/>
      <c r="E119" s="2706"/>
      <c r="F119" s="2706"/>
      <c r="G119" s="2707"/>
      <c r="H119" s="2706"/>
      <c r="I119" s="2707"/>
      <c r="J119" s="2706"/>
      <c r="K119" s="2706"/>
      <c r="L119" s="2707"/>
      <c r="M119" s="2706"/>
      <c r="N119" s="2706"/>
      <c r="O119" s="2707"/>
      <c r="P119" s="2706"/>
      <c r="Q119" s="2706"/>
      <c r="R119" s="2708"/>
    </row>
    <row r="120" spans="2:18" s="2696" customFormat="1">
      <c r="B120" s="2706"/>
      <c r="C120" s="2706"/>
      <c r="D120" s="2706"/>
      <c r="E120" s="2706"/>
      <c r="F120" s="2706"/>
      <c r="G120" s="2707"/>
      <c r="H120" s="2706"/>
      <c r="I120" s="2707"/>
      <c r="J120" s="2706"/>
      <c r="K120" s="2706"/>
      <c r="L120" s="2707"/>
      <c r="M120" s="2706"/>
      <c r="N120" s="2706"/>
      <c r="O120" s="2707"/>
      <c r="P120" s="2706"/>
      <c r="Q120" s="2706"/>
      <c r="R120" s="2708"/>
    </row>
    <row r="121" spans="2:18" s="2696" customFormat="1">
      <c r="B121" s="2706"/>
      <c r="C121" s="2706"/>
      <c r="D121" s="2706"/>
      <c r="E121" s="2706"/>
      <c r="F121" s="2706"/>
      <c r="G121" s="2707"/>
      <c r="H121" s="2706"/>
      <c r="I121" s="2707"/>
      <c r="J121" s="2706"/>
      <c r="K121" s="2706"/>
      <c r="L121" s="2707"/>
      <c r="M121" s="2706"/>
      <c r="N121" s="2706"/>
      <c r="O121" s="2707"/>
      <c r="P121" s="2706"/>
      <c r="Q121" s="2706"/>
      <c r="R121" s="2708"/>
    </row>
    <row r="122" spans="2:18" s="2696" customFormat="1">
      <c r="B122" s="2706"/>
      <c r="C122" s="2706"/>
      <c r="D122" s="2706"/>
      <c r="E122" s="2706"/>
      <c r="F122" s="2706"/>
      <c r="G122" s="2707"/>
      <c r="H122" s="2706"/>
      <c r="I122" s="2707"/>
      <c r="J122" s="2706"/>
      <c r="K122" s="2706"/>
      <c r="L122" s="2707"/>
      <c r="M122" s="2706"/>
      <c r="N122" s="2706"/>
      <c r="O122" s="2707"/>
      <c r="P122" s="2706"/>
      <c r="Q122" s="2706"/>
      <c r="R122" s="2708"/>
    </row>
    <row r="123" spans="2:18" s="2696" customFormat="1">
      <c r="B123" s="2706"/>
      <c r="C123" s="2706"/>
      <c r="D123" s="2706"/>
      <c r="E123" s="2706"/>
      <c r="F123" s="2706"/>
      <c r="G123" s="2707"/>
      <c r="H123" s="2706"/>
      <c r="I123" s="2707"/>
      <c r="J123" s="2706"/>
      <c r="K123" s="2706"/>
      <c r="L123" s="2707"/>
      <c r="M123" s="2706"/>
      <c r="N123" s="2706"/>
      <c r="O123" s="2707"/>
      <c r="P123" s="2706"/>
      <c r="Q123" s="2706"/>
      <c r="R123" s="2708"/>
    </row>
    <row r="124" spans="2:18" s="2696" customFormat="1">
      <c r="B124" s="2706"/>
      <c r="C124" s="2706"/>
      <c r="D124" s="2706"/>
      <c r="E124" s="2706"/>
      <c r="F124" s="2706"/>
      <c r="G124" s="2707"/>
      <c r="H124" s="2706"/>
      <c r="I124" s="2707"/>
      <c r="J124" s="2706"/>
      <c r="K124" s="2706"/>
      <c r="L124" s="2707"/>
      <c r="M124" s="2706"/>
      <c r="N124" s="2706"/>
      <c r="O124" s="2707"/>
      <c r="P124" s="2706"/>
      <c r="Q124" s="2706"/>
      <c r="R124" s="2708"/>
    </row>
    <row r="125" spans="2:18" s="2696" customFormat="1">
      <c r="B125" s="2706"/>
      <c r="C125" s="2706"/>
      <c r="D125" s="2706"/>
      <c r="E125" s="2706"/>
      <c r="F125" s="2706"/>
      <c r="G125" s="2707"/>
      <c r="H125" s="2706"/>
      <c r="I125" s="2707"/>
      <c r="J125" s="2706"/>
      <c r="K125" s="2706"/>
      <c r="L125" s="2707"/>
      <c r="M125" s="2706"/>
      <c r="N125" s="2706"/>
      <c r="O125" s="2707"/>
      <c r="P125" s="2706"/>
      <c r="Q125" s="2706"/>
      <c r="R125" s="2708"/>
    </row>
    <row r="126" spans="2:18" s="2696" customFormat="1">
      <c r="B126" s="2706"/>
      <c r="C126" s="2706"/>
      <c r="D126" s="2706"/>
      <c r="E126" s="2706"/>
      <c r="F126" s="2706"/>
      <c r="G126" s="2707"/>
      <c r="H126" s="2706"/>
      <c r="I126" s="2707"/>
      <c r="J126" s="2706"/>
      <c r="K126" s="2706"/>
      <c r="L126" s="2707"/>
      <c r="M126" s="2706"/>
      <c r="N126" s="2706"/>
      <c r="O126" s="2707"/>
      <c r="P126" s="2706"/>
      <c r="Q126" s="2706"/>
      <c r="R126" s="2708"/>
    </row>
    <row r="127" spans="2:18" s="2696" customFormat="1">
      <c r="B127" s="2706"/>
      <c r="C127" s="2706"/>
      <c r="D127" s="2706"/>
      <c r="E127" s="2706"/>
      <c r="F127" s="2706"/>
      <c r="G127" s="2707"/>
      <c r="H127" s="2706"/>
      <c r="I127" s="2707"/>
      <c r="J127" s="2706"/>
      <c r="K127" s="2706"/>
      <c r="L127" s="2707"/>
      <c r="M127" s="2706"/>
      <c r="N127" s="2706"/>
      <c r="O127" s="2707"/>
      <c r="P127" s="2706"/>
      <c r="Q127" s="2706"/>
      <c r="R127" s="2708"/>
    </row>
    <row r="128" spans="2:18" s="2696" customFormat="1">
      <c r="B128" s="2706"/>
      <c r="C128" s="2706"/>
      <c r="D128" s="2706"/>
      <c r="E128" s="2706"/>
      <c r="F128" s="2706"/>
      <c r="G128" s="2707"/>
      <c r="H128" s="2706"/>
      <c r="I128" s="2707"/>
      <c r="J128" s="2706"/>
      <c r="K128" s="2706"/>
      <c r="L128" s="2707"/>
      <c r="M128" s="2706"/>
      <c r="N128" s="2706"/>
      <c r="O128" s="2707"/>
      <c r="P128" s="2706"/>
      <c r="Q128" s="2706"/>
      <c r="R128" s="2708"/>
    </row>
    <row r="129" spans="2:18" s="2696" customFormat="1">
      <c r="B129" s="2706"/>
      <c r="C129" s="2706"/>
      <c r="D129" s="2706"/>
      <c r="E129" s="2706"/>
      <c r="F129" s="2706"/>
      <c r="G129" s="2707"/>
      <c r="H129" s="2706"/>
      <c r="I129" s="2707"/>
      <c r="J129" s="2706"/>
      <c r="K129" s="2706"/>
      <c r="L129" s="2707"/>
      <c r="M129" s="2706"/>
      <c r="N129" s="2706"/>
      <c r="O129" s="2707"/>
      <c r="P129" s="2706"/>
      <c r="Q129" s="2706"/>
      <c r="R129" s="2708"/>
    </row>
    <row r="130" spans="2:18" s="2696" customFormat="1">
      <c r="B130" s="2706"/>
      <c r="C130" s="2706"/>
      <c r="D130" s="2706"/>
      <c r="E130" s="2706"/>
      <c r="F130" s="2706"/>
      <c r="G130" s="2707"/>
      <c r="H130" s="2706"/>
      <c r="I130" s="2707"/>
      <c r="J130" s="2706"/>
      <c r="K130" s="2706"/>
      <c r="L130" s="2707"/>
      <c r="M130" s="2706"/>
      <c r="N130" s="2706"/>
      <c r="O130" s="2707"/>
      <c r="P130" s="2706"/>
      <c r="Q130" s="2706"/>
      <c r="R130" s="2708"/>
    </row>
    <row r="131" spans="2:18" s="2696" customFormat="1">
      <c r="B131" s="2706"/>
      <c r="C131" s="2706"/>
      <c r="D131" s="2706"/>
      <c r="E131" s="2706"/>
      <c r="F131" s="2706"/>
      <c r="G131" s="2707"/>
      <c r="H131" s="2706"/>
      <c r="I131" s="2707"/>
      <c r="J131" s="2706"/>
      <c r="K131" s="2706"/>
      <c r="L131" s="2707"/>
      <c r="M131" s="2706"/>
      <c r="N131" s="2706"/>
      <c r="O131" s="2707"/>
      <c r="P131" s="2706"/>
      <c r="Q131" s="2706"/>
      <c r="R131" s="2708"/>
    </row>
    <row r="132" spans="2:18" s="2696" customFormat="1">
      <c r="B132" s="2706"/>
      <c r="C132" s="2706"/>
      <c r="D132" s="2706"/>
      <c r="E132" s="2706"/>
      <c r="F132" s="2706"/>
      <c r="G132" s="2707"/>
      <c r="H132" s="2706"/>
      <c r="I132" s="2707"/>
      <c r="J132" s="2706"/>
      <c r="K132" s="2706"/>
      <c r="L132" s="2707"/>
      <c r="M132" s="2706"/>
      <c r="N132" s="2706"/>
      <c r="O132" s="2707"/>
      <c r="P132" s="2706"/>
      <c r="Q132" s="2706"/>
      <c r="R132" s="2708"/>
    </row>
    <row r="133" spans="2:18" s="2696" customFormat="1">
      <c r="B133" s="2706"/>
      <c r="C133" s="2706"/>
      <c r="D133" s="2706"/>
      <c r="E133" s="2706"/>
      <c r="F133" s="2706"/>
      <c r="G133" s="2707"/>
      <c r="H133" s="2706"/>
      <c r="I133" s="2707"/>
      <c r="J133" s="2706"/>
      <c r="K133" s="2706"/>
      <c r="L133" s="2707"/>
      <c r="M133" s="2706"/>
      <c r="N133" s="2706"/>
      <c r="O133" s="2707"/>
      <c r="P133" s="2706"/>
      <c r="Q133" s="2706"/>
      <c r="R133" s="2708"/>
    </row>
    <row r="134" spans="2:18" s="2696" customFormat="1">
      <c r="B134" s="2706"/>
      <c r="C134" s="2706"/>
      <c r="D134" s="2706"/>
      <c r="E134" s="2706"/>
      <c r="F134" s="2706"/>
      <c r="G134" s="2707"/>
      <c r="H134" s="2706"/>
      <c r="I134" s="2707"/>
      <c r="J134" s="2706"/>
      <c r="K134" s="2706"/>
      <c r="L134" s="2707"/>
      <c r="M134" s="2706"/>
      <c r="N134" s="2706"/>
      <c r="O134" s="2707"/>
      <c r="P134" s="2706"/>
      <c r="Q134" s="2706"/>
      <c r="R134" s="2708"/>
    </row>
    <row r="135" spans="2:18" s="2696" customFormat="1">
      <c r="B135" s="2706"/>
      <c r="C135" s="2706"/>
      <c r="D135" s="2706"/>
      <c r="E135" s="2706"/>
      <c r="F135" s="2706"/>
      <c r="G135" s="2707"/>
      <c r="H135" s="2706"/>
      <c r="I135" s="2707"/>
      <c r="J135" s="2706"/>
      <c r="K135" s="2706"/>
      <c r="L135" s="2707"/>
      <c r="M135" s="2706"/>
      <c r="N135" s="2706"/>
      <c r="O135" s="2707"/>
      <c r="P135" s="2706"/>
      <c r="Q135" s="2706"/>
      <c r="R135" s="2708"/>
    </row>
    <row r="136" spans="2:18" s="2696" customFormat="1">
      <c r="B136" s="2706"/>
      <c r="C136" s="2706"/>
      <c r="D136" s="2706"/>
      <c r="E136" s="2706"/>
      <c r="F136" s="2706"/>
      <c r="G136" s="2707"/>
      <c r="H136" s="2706"/>
      <c r="I136" s="2707"/>
      <c r="J136" s="2706"/>
      <c r="K136" s="2706"/>
      <c r="L136" s="2707"/>
      <c r="M136" s="2706"/>
      <c r="N136" s="2706"/>
      <c r="O136" s="2707"/>
      <c r="P136" s="2706"/>
      <c r="Q136" s="2706"/>
      <c r="R136" s="2708"/>
    </row>
    <row r="137" spans="2:18" s="2696" customFormat="1">
      <c r="B137" s="2706"/>
      <c r="C137" s="2706"/>
      <c r="D137" s="2706"/>
      <c r="E137" s="2706"/>
      <c r="F137" s="2706"/>
      <c r="G137" s="2707"/>
      <c r="H137" s="2706"/>
      <c r="I137" s="2707"/>
      <c r="J137" s="2706"/>
      <c r="K137" s="2706"/>
      <c r="L137" s="2707"/>
      <c r="M137" s="2706"/>
      <c r="N137" s="2706"/>
      <c r="O137" s="2707"/>
      <c r="P137" s="2706"/>
      <c r="Q137" s="2706"/>
      <c r="R137" s="2708"/>
    </row>
    <row r="138" spans="2:18" s="2696" customFormat="1">
      <c r="B138" s="2706"/>
      <c r="C138" s="2706"/>
      <c r="D138" s="2706"/>
      <c r="E138" s="2706"/>
      <c r="F138" s="2706"/>
      <c r="G138" s="2707"/>
      <c r="H138" s="2706"/>
      <c r="I138" s="2707"/>
      <c r="J138" s="2706"/>
      <c r="K138" s="2706"/>
      <c r="L138" s="2707"/>
      <c r="M138" s="2706"/>
      <c r="N138" s="2706"/>
      <c r="O138" s="2707"/>
      <c r="P138" s="2706"/>
      <c r="Q138" s="2706"/>
      <c r="R138" s="2708"/>
    </row>
    <row r="139" spans="2:18" s="2696" customFormat="1">
      <c r="B139" s="2706"/>
      <c r="C139" s="2706"/>
      <c r="D139" s="2706"/>
      <c r="E139" s="2706"/>
      <c r="F139" s="2706"/>
      <c r="G139" s="2707"/>
      <c r="H139" s="2706"/>
      <c r="I139" s="2707"/>
      <c r="J139" s="2706"/>
      <c r="K139" s="2706"/>
      <c r="L139" s="2707"/>
      <c r="M139" s="2706"/>
      <c r="N139" s="2706"/>
      <c r="O139" s="2707"/>
      <c r="P139" s="2706"/>
      <c r="Q139" s="2706"/>
      <c r="R139" s="2708"/>
    </row>
    <row r="140" spans="2:18" s="2696" customFormat="1">
      <c r="B140" s="2706"/>
      <c r="C140" s="2706"/>
      <c r="D140" s="2706"/>
      <c r="E140" s="2706"/>
      <c r="F140" s="2706"/>
      <c r="G140" s="2707"/>
      <c r="H140" s="2706"/>
      <c r="I140" s="2707"/>
      <c r="J140" s="2706"/>
      <c r="K140" s="2706"/>
      <c r="L140" s="2707"/>
      <c r="M140" s="2706"/>
      <c r="N140" s="2706"/>
      <c r="O140" s="2707"/>
      <c r="P140" s="2706"/>
      <c r="Q140" s="2706"/>
      <c r="R140" s="2708"/>
    </row>
    <row r="141" spans="2:18" s="2696" customFormat="1">
      <c r="B141" s="2706"/>
      <c r="C141" s="2706"/>
      <c r="D141" s="2706"/>
      <c r="E141" s="2706"/>
      <c r="F141" s="2706"/>
      <c r="G141" s="2707"/>
      <c r="H141" s="2706"/>
      <c r="I141" s="2707"/>
      <c r="J141" s="2706"/>
      <c r="K141" s="2706"/>
      <c r="L141" s="2707"/>
      <c r="M141" s="2706"/>
      <c r="N141" s="2706"/>
      <c r="O141" s="2707"/>
      <c r="P141" s="2706"/>
      <c r="Q141" s="2706"/>
      <c r="R141" s="2708"/>
    </row>
    <row r="142" spans="2:18" s="2696" customFormat="1">
      <c r="B142" s="2706"/>
      <c r="C142" s="2706"/>
      <c r="D142" s="2706"/>
      <c r="E142" s="2706"/>
      <c r="F142" s="2706"/>
      <c r="G142" s="2707"/>
      <c r="H142" s="2706"/>
      <c r="I142" s="2707"/>
      <c r="J142" s="2706"/>
      <c r="K142" s="2706"/>
      <c r="L142" s="2707"/>
      <c r="M142" s="2706"/>
      <c r="N142" s="2706"/>
      <c r="O142" s="2707"/>
      <c r="P142" s="2706"/>
      <c r="Q142" s="2706"/>
      <c r="R142" s="2708"/>
    </row>
    <row r="143" spans="2:18" s="2696" customFormat="1">
      <c r="B143" s="2706"/>
      <c r="C143" s="2706"/>
      <c r="D143" s="2706"/>
      <c r="E143" s="2706"/>
      <c r="F143" s="2706"/>
      <c r="G143" s="2707"/>
      <c r="H143" s="2706"/>
      <c r="I143" s="2707"/>
      <c r="J143" s="2706"/>
      <c r="K143" s="2706"/>
      <c r="L143" s="2707"/>
      <c r="M143" s="2706"/>
      <c r="N143" s="2706"/>
      <c r="O143" s="2707"/>
      <c r="P143" s="2706"/>
      <c r="Q143" s="2706"/>
      <c r="R143" s="2708"/>
    </row>
    <row r="144" spans="2:18" s="2696" customFormat="1">
      <c r="B144" s="2706"/>
      <c r="C144" s="2706"/>
      <c r="D144" s="2706"/>
      <c r="E144" s="2706"/>
      <c r="F144" s="2706"/>
      <c r="G144" s="2707"/>
      <c r="H144" s="2706"/>
      <c r="I144" s="2707"/>
      <c r="J144" s="2706"/>
      <c r="K144" s="2706"/>
      <c r="L144" s="2707"/>
      <c r="M144" s="2706"/>
      <c r="N144" s="2706"/>
      <c r="O144" s="2707"/>
      <c r="P144" s="2706"/>
      <c r="Q144" s="2706"/>
      <c r="R144" s="2708"/>
    </row>
    <row r="145" spans="2:18" s="2696" customFormat="1">
      <c r="B145" s="2706"/>
      <c r="C145" s="2706"/>
      <c r="D145" s="2706"/>
      <c r="E145" s="2706"/>
      <c r="F145" s="2706"/>
      <c r="G145" s="2707"/>
      <c r="H145" s="2706"/>
      <c r="I145" s="2707"/>
      <c r="J145" s="2706"/>
      <c r="K145" s="2706"/>
      <c r="L145" s="2707"/>
      <c r="M145" s="2706"/>
      <c r="N145" s="2706"/>
      <c r="O145" s="2707"/>
      <c r="P145" s="2706"/>
      <c r="Q145" s="2706"/>
      <c r="R145" s="2708"/>
    </row>
    <row r="146" spans="2:18" s="2696" customFormat="1">
      <c r="B146" s="2706"/>
      <c r="C146" s="2706"/>
      <c r="D146" s="2706"/>
      <c r="E146" s="2706"/>
      <c r="F146" s="2706"/>
      <c r="G146" s="2707"/>
      <c r="H146" s="2706"/>
      <c r="I146" s="2707"/>
      <c r="J146" s="2706"/>
      <c r="K146" s="2706"/>
      <c r="L146" s="2707"/>
      <c r="M146" s="2706"/>
      <c r="N146" s="2706"/>
      <c r="O146" s="2707"/>
      <c r="P146" s="2706"/>
      <c r="Q146" s="2706"/>
      <c r="R146" s="2708"/>
    </row>
    <row r="147" spans="2:18" s="2696" customFormat="1">
      <c r="B147" s="2706"/>
      <c r="C147" s="2706"/>
      <c r="D147" s="2706"/>
      <c r="E147" s="2706"/>
      <c r="F147" s="2706"/>
      <c r="G147" s="2707"/>
      <c r="H147" s="2706"/>
      <c r="I147" s="2707"/>
      <c r="J147" s="2706"/>
      <c r="K147" s="2706"/>
      <c r="L147" s="2707"/>
      <c r="M147" s="2706"/>
      <c r="N147" s="2706"/>
      <c r="O147" s="2707"/>
      <c r="P147" s="2706"/>
      <c r="Q147" s="2706"/>
      <c r="R147" s="2708"/>
    </row>
    <row r="148" spans="2:18" s="2696" customFormat="1">
      <c r="B148" s="2706"/>
      <c r="C148" s="2706"/>
      <c r="D148" s="2706"/>
      <c r="E148" s="2706"/>
      <c r="F148" s="2706"/>
      <c r="G148" s="2707"/>
      <c r="H148" s="2706"/>
      <c r="I148" s="2707"/>
      <c r="J148" s="2706"/>
      <c r="K148" s="2706"/>
      <c r="L148" s="2707"/>
      <c r="M148" s="2706"/>
      <c r="N148" s="2706"/>
      <c r="O148" s="2707"/>
      <c r="P148" s="2706"/>
      <c r="Q148" s="2706"/>
      <c r="R148" s="2708"/>
    </row>
    <row r="149" spans="2:18" s="2696" customFormat="1">
      <c r="B149" s="2706"/>
      <c r="C149" s="2706"/>
      <c r="D149" s="2706"/>
      <c r="E149" s="2706"/>
      <c r="F149" s="2706"/>
      <c r="G149" s="2707"/>
      <c r="H149" s="2706"/>
      <c r="I149" s="2707"/>
      <c r="J149" s="2706"/>
      <c r="K149" s="2706"/>
      <c r="L149" s="2707"/>
      <c r="M149" s="2706"/>
      <c r="N149" s="2706"/>
      <c r="O149" s="2707"/>
      <c r="P149" s="2706"/>
      <c r="Q149" s="2706"/>
      <c r="R149" s="2708"/>
    </row>
    <row r="150" spans="2:18" s="2696" customFormat="1">
      <c r="B150" s="2706"/>
      <c r="C150" s="2706"/>
      <c r="D150" s="2706"/>
      <c r="E150" s="2706"/>
      <c r="F150" s="2706"/>
      <c r="G150" s="2707"/>
      <c r="H150" s="2706"/>
      <c r="I150" s="2707"/>
      <c r="J150" s="2706"/>
      <c r="K150" s="2706"/>
      <c r="L150" s="2707"/>
      <c r="M150" s="2706"/>
      <c r="N150" s="2706"/>
      <c r="O150" s="2707"/>
      <c r="P150" s="2706"/>
      <c r="Q150" s="2706"/>
      <c r="R150" s="2708"/>
    </row>
    <row r="151" spans="2:18" s="2696" customFormat="1">
      <c r="B151" s="2706"/>
      <c r="C151" s="2706"/>
      <c r="D151" s="2706"/>
      <c r="E151" s="2706"/>
      <c r="F151" s="2706"/>
      <c r="G151" s="2707"/>
      <c r="H151" s="2706"/>
      <c r="I151" s="2707"/>
      <c r="J151" s="2706"/>
      <c r="K151" s="2706"/>
      <c r="L151" s="2707"/>
      <c r="M151" s="2706"/>
      <c r="N151" s="2706"/>
      <c r="O151" s="2707"/>
      <c r="P151" s="2706"/>
      <c r="Q151" s="2706"/>
      <c r="R151" s="2708"/>
    </row>
    <row r="152" spans="2:18" s="2696" customFormat="1">
      <c r="B152" s="2706"/>
      <c r="C152" s="2706"/>
      <c r="D152" s="2706"/>
      <c r="E152" s="2706"/>
      <c r="F152" s="2706"/>
      <c r="G152" s="2707"/>
      <c r="H152" s="2706"/>
      <c r="I152" s="2707"/>
      <c r="J152" s="2706"/>
      <c r="K152" s="2706"/>
      <c r="L152" s="2707"/>
      <c r="M152" s="2706"/>
      <c r="N152" s="2706"/>
      <c r="O152" s="2707"/>
      <c r="P152" s="2706"/>
      <c r="Q152" s="2706"/>
      <c r="R152" s="2708"/>
    </row>
    <row r="153" spans="2:18" s="2696" customFormat="1">
      <c r="B153" s="2706"/>
      <c r="C153" s="2706"/>
      <c r="D153" s="2706"/>
      <c r="E153" s="2706"/>
      <c r="F153" s="2706"/>
      <c r="G153" s="2707"/>
      <c r="H153" s="2706"/>
      <c r="I153" s="2707"/>
      <c r="J153" s="2706"/>
      <c r="K153" s="2706"/>
      <c r="L153" s="2707"/>
      <c r="M153" s="2706"/>
      <c r="N153" s="2706"/>
      <c r="O153" s="2707"/>
      <c r="P153" s="2706"/>
      <c r="Q153" s="2706"/>
      <c r="R153" s="2708"/>
    </row>
    <row r="154" spans="2:18" s="2696" customFormat="1">
      <c r="B154" s="2706"/>
      <c r="C154" s="2706"/>
      <c r="D154" s="2706"/>
      <c r="E154" s="2706"/>
      <c r="F154" s="2706"/>
      <c r="G154" s="2707"/>
      <c r="H154" s="2706"/>
      <c r="I154" s="2707"/>
      <c r="J154" s="2706"/>
      <c r="K154" s="2706"/>
      <c r="L154" s="2707"/>
      <c r="M154" s="2706"/>
      <c r="N154" s="2706"/>
      <c r="O154" s="2707"/>
      <c r="P154" s="2706"/>
      <c r="Q154" s="2706"/>
      <c r="R154" s="2708"/>
    </row>
    <row r="155" spans="2:18" s="2696" customFormat="1">
      <c r="B155" s="2706"/>
      <c r="C155" s="2706"/>
      <c r="D155" s="2706"/>
      <c r="E155" s="2706"/>
      <c r="F155" s="2706"/>
      <c r="G155" s="2707"/>
      <c r="H155" s="2706"/>
      <c r="I155" s="2707"/>
      <c r="J155" s="2706"/>
      <c r="K155" s="2706"/>
      <c r="L155" s="2707"/>
      <c r="M155" s="2706"/>
      <c r="N155" s="2706"/>
      <c r="O155" s="2707"/>
      <c r="P155" s="2706"/>
      <c r="Q155" s="2706"/>
      <c r="R155" s="2708"/>
    </row>
    <row r="156" spans="2:18" s="2696" customFormat="1">
      <c r="B156" s="2706"/>
      <c r="C156" s="2706"/>
      <c r="D156" s="2706"/>
      <c r="E156" s="2706"/>
      <c r="F156" s="2706"/>
      <c r="G156" s="2707"/>
      <c r="H156" s="2706"/>
      <c r="I156" s="2707"/>
      <c r="J156" s="2706"/>
      <c r="K156" s="2706"/>
      <c r="L156" s="2707"/>
      <c r="M156" s="2706"/>
      <c r="N156" s="2706"/>
      <c r="O156" s="2707"/>
      <c r="P156" s="2706"/>
      <c r="Q156" s="2706"/>
      <c r="R156" s="2708"/>
    </row>
    <row r="157" spans="2:18" s="2696" customFormat="1">
      <c r="B157" s="2706"/>
      <c r="C157" s="2706"/>
      <c r="D157" s="2706"/>
      <c r="E157" s="2706"/>
      <c r="F157" s="2706"/>
      <c r="G157" s="2707"/>
      <c r="H157" s="2706"/>
      <c r="I157" s="2707"/>
      <c r="J157" s="2706"/>
      <c r="K157" s="2706"/>
      <c r="L157" s="2707"/>
      <c r="M157" s="2706"/>
      <c r="N157" s="2706"/>
      <c r="O157" s="2707"/>
      <c r="P157" s="2706"/>
      <c r="Q157" s="2706"/>
      <c r="R157" s="2708"/>
    </row>
    <row r="158" spans="2:18" s="2696" customFormat="1">
      <c r="B158" s="2706"/>
      <c r="C158" s="2706"/>
      <c r="D158" s="2706"/>
      <c r="E158" s="2706"/>
      <c r="F158" s="2706"/>
      <c r="G158" s="2707"/>
      <c r="H158" s="2706"/>
      <c r="I158" s="2707"/>
      <c r="J158" s="2706"/>
      <c r="K158" s="2706"/>
      <c r="L158" s="2707"/>
      <c r="M158" s="2706"/>
      <c r="N158" s="2706"/>
      <c r="O158" s="2707"/>
      <c r="P158" s="2706"/>
      <c r="Q158" s="2706"/>
      <c r="R158" s="2708"/>
    </row>
    <row r="159" spans="2:18" s="2696" customFormat="1">
      <c r="B159" s="2706"/>
      <c r="C159" s="2706"/>
      <c r="D159" s="2706"/>
      <c r="E159" s="2706"/>
      <c r="F159" s="2706"/>
      <c r="G159" s="2707"/>
      <c r="H159" s="2706"/>
      <c r="I159" s="2707"/>
      <c r="J159" s="2706"/>
      <c r="K159" s="2706"/>
      <c r="L159" s="2707"/>
      <c r="M159" s="2706"/>
      <c r="N159" s="2706"/>
      <c r="O159" s="2707"/>
      <c r="P159" s="2706"/>
      <c r="Q159" s="2706"/>
      <c r="R159" s="2708"/>
    </row>
    <row r="160" spans="2:18" s="2696" customFormat="1">
      <c r="B160" s="2706"/>
      <c r="C160" s="2706"/>
      <c r="D160" s="2706"/>
      <c r="E160" s="2706"/>
      <c r="F160" s="2706"/>
      <c r="G160" s="2707"/>
      <c r="H160" s="2706"/>
      <c r="I160" s="2707"/>
      <c r="J160" s="2706"/>
      <c r="K160" s="2706"/>
      <c r="L160" s="2707"/>
      <c r="M160" s="2706"/>
      <c r="N160" s="2706"/>
      <c r="O160" s="2707"/>
      <c r="P160" s="2706"/>
      <c r="Q160" s="2706"/>
      <c r="R160" s="2708"/>
    </row>
    <row r="161" spans="2:18" s="2696" customFormat="1">
      <c r="B161" s="2706"/>
      <c r="C161" s="2706"/>
      <c r="D161" s="2706"/>
      <c r="E161" s="2706"/>
      <c r="F161" s="2706"/>
      <c r="G161" s="2707"/>
      <c r="H161" s="2706"/>
      <c r="I161" s="2707"/>
      <c r="J161" s="2706"/>
      <c r="K161" s="2706"/>
      <c r="L161" s="2707"/>
      <c r="M161" s="2706"/>
      <c r="N161" s="2706"/>
      <c r="O161" s="2707"/>
      <c r="P161" s="2706"/>
      <c r="Q161" s="2706"/>
      <c r="R161" s="2708"/>
    </row>
    <row r="162" spans="2:18" s="2696" customFormat="1">
      <c r="B162" s="2706"/>
      <c r="C162" s="2706"/>
      <c r="D162" s="2706"/>
      <c r="E162" s="2706"/>
      <c r="F162" s="2706"/>
      <c r="G162" s="2707"/>
      <c r="H162" s="2706"/>
      <c r="I162" s="2707"/>
      <c r="J162" s="2706"/>
      <c r="K162" s="2706"/>
      <c r="L162" s="2707"/>
      <c r="M162" s="2706"/>
      <c r="N162" s="2706"/>
      <c r="O162" s="2707"/>
      <c r="P162" s="2706"/>
      <c r="Q162" s="2706"/>
      <c r="R162" s="2708"/>
    </row>
    <row r="163" spans="2:18" s="2696" customFormat="1">
      <c r="B163" s="2706"/>
      <c r="C163" s="2706"/>
      <c r="D163" s="2706"/>
      <c r="E163" s="2706"/>
      <c r="F163" s="2706"/>
      <c r="G163" s="2707"/>
      <c r="H163" s="2706"/>
      <c r="I163" s="2707"/>
      <c r="J163" s="2706"/>
      <c r="K163" s="2706"/>
      <c r="L163" s="2707"/>
      <c r="M163" s="2706"/>
      <c r="N163" s="2706"/>
      <c r="O163" s="2707"/>
      <c r="P163" s="2706"/>
      <c r="Q163" s="2706"/>
      <c r="R163" s="2708"/>
    </row>
    <row r="164" spans="2:18" s="2696" customFormat="1">
      <c r="B164" s="2706"/>
      <c r="C164" s="2706"/>
      <c r="D164" s="2706"/>
      <c r="E164" s="2706"/>
      <c r="F164" s="2706"/>
      <c r="G164" s="2707"/>
      <c r="H164" s="2706"/>
      <c r="I164" s="2707"/>
      <c r="J164" s="2706"/>
      <c r="K164" s="2706"/>
      <c r="L164" s="2707"/>
      <c r="M164" s="2706"/>
      <c r="N164" s="2706"/>
      <c r="O164" s="2707"/>
      <c r="P164" s="2706"/>
      <c r="Q164" s="2706"/>
      <c r="R164" s="2708"/>
    </row>
    <row r="165" spans="2:18" s="2696" customFormat="1">
      <c r="B165" s="2706"/>
      <c r="C165" s="2706"/>
      <c r="D165" s="2706"/>
      <c r="E165" s="2706"/>
      <c r="F165" s="2706"/>
      <c r="G165" s="2707"/>
      <c r="H165" s="2706"/>
      <c r="I165" s="2707"/>
      <c r="J165" s="2706"/>
      <c r="K165" s="2706"/>
      <c r="L165" s="2707"/>
      <c r="M165" s="2706"/>
      <c r="N165" s="2706"/>
      <c r="O165" s="2707"/>
      <c r="P165" s="2706"/>
      <c r="Q165" s="2706"/>
      <c r="R165" s="2708"/>
    </row>
    <row r="166" spans="2:18" s="2696" customFormat="1">
      <c r="B166" s="2706"/>
      <c r="C166" s="2706"/>
      <c r="D166" s="2706"/>
      <c r="E166" s="2706"/>
      <c r="F166" s="2706"/>
      <c r="G166" s="2707"/>
      <c r="H166" s="2706"/>
      <c r="I166" s="2707"/>
      <c r="J166" s="2706"/>
      <c r="K166" s="2706"/>
      <c r="L166" s="2707"/>
      <c r="M166" s="2706"/>
      <c r="N166" s="2706"/>
      <c r="O166" s="2707"/>
      <c r="P166" s="2706"/>
      <c r="Q166" s="2706"/>
      <c r="R166" s="2708"/>
    </row>
    <row r="167" spans="2:18" s="2696" customFormat="1">
      <c r="B167" s="2706"/>
      <c r="C167" s="2706"/>
      <c r="D167" s="2706"/>
      <c r="E167" s="2706"/>
      <c r="F167" s="2706"/>
      <c r="G167" s="2707"/>
      <c r="H167" s="2706"/>
      <c r="I167" s="2707"/>
      <c r="J167" s="2706"/>
      <c r="K167" s="2706"/>
      <c r="L167" s="2707"/>
      <c r="M167" s="2706"/>
      <c r="N167" s="2706"/>
      <c r="O167" s="2707"/>
      <c r="P167" s="2706"/>
      <c r="Q167" s="2706"/>
      <c r="R167" s="2708"/>
    </row>
    <row r="168" spans="2:18" s="2696" customFormat="1">
      <c r="B168" s="2706"/>
      <c r="C168" s="2706"/>
      <c r="D168" s="2706"/>
      <c r="E168" s="2706"/>
      <c r="F168" s="2706"/>
      <c r="G168" s="2707"/>
      <c r="H168" s="2706"/>
      <c r="I168" s="2707"/>
      <c r="J168" s="2706"/>
      <c r="K168" s="2706"/>
      <c r="L168" s="2707"/>
      <c r="M168" s="2706"/>
      <c r="N168" s="2706"/>
      <c r="O168" s="2707"/>
      <c r="P168" s="2706"/>
      <c r="Q168" s="2706"/>
      <c r="R168" s="2708"/>
    </row>
    <row r="169" spans="2:18" s="2696" customFormat="1">
      <c r="B169" s="2706"/>
      <c r="C169" s="2706"/>
      <c r="D169" s="2706"/>
      <c r="E169" s="2706"/>
      <c r="F169" s="2706"/>
      <c r="G169" s="2707"/>
      <c r="H169" s="2706"/>
      <c r="I169" s="2707"/>
      <c r="J169" s="2706"/>
      <c r="K169" s="2706"/>
      <c r="L169" s="2707"/>
      <c r="M169" s="2706"/>
      <c r="N169" s="2706"/>
      <c r="O169" s="2707"/>
      <c r="P169" s="2706"/>
      <c r="Q169" s="2706"/>
      <c r="R169" s="2708"/>
    </row>
    <row r="170" spans="2:18" s="2696" customFormat="1">
      <c r="B170" s="2706"/>
      <c r="C170" s="2706"/>
      <c r="D170" s="2706"/>
      <c r="E170" s="2706"/>
      <c r="F170" s="2706"/>
      <c r="G170" s="2707"/>
      <c r="H170" s="2706"/>
      <c r="I170" s="2707"/>
      <c r="J170" s="2706"/>
      <c r="K170" s="2706"/>
      <c r="L170" s="2707"/>
      <c r="M170" s="2706"/>
      <c r="N170" s="2706"/>
      <c r="O170" s="2707"/>
      <c r="P170" s="2706"/>
      <c r="Q170" s="2706"/>
      <c r="R170" s="2708"/>
    </row>
    <row r="171" spans="2:18" s="2696" customFormat="1">
      <c r="B171" s="2706"/>
      <c r="C171" s="2706"/>
      <c r="D171" s="2706"/>
      <c r="E171" s="2706"/>
      <c r="F171" s="2706"/>
      <c r="G171" s="2707"/>
      <c r="H171" s="2706"/>
      <c r="I171" s="2707"/>
      <c r="J171" s="2706"/>
      <c r="K171" s="2706"/>
      <c r="L171" s="2707"/>
      <c r="M171" s="2706"/>
      <c r="N171" s="2706"/>
      <c r="O171" s="2707"/>
      <c r="P171" s="2706"/>
      <c r="Q171" s="2706"/>
      <c r="R171" s="2708"/>
    </row>
    <row r="172" spans="2:18" s="2696" customFormat="1">
      <c r="B172" s="2706"/>
      <c r="C172" s="2706"/>
      <c r="D172" s="2706"/>
      <c r="E172" s="2706"/>
      <c r="F172" s="2706"/>
      <c r="G172" s="2707"/>
      <c r="H172" s="2706"/>
      <c r="I172" s="2707"/>
      <c r="J172" s="2706"/>
      <c r="K172" s="2706"/>
      <c r="L172" s="2707"/>
      <c r="M172" s="2706"/>
      <c r="N172" s="2706"/>
      <c r="O172" s="2707"/>
      <c r="P172" s="2706"/>
      <c r="Q172" s="2706"/>
      <c r="R172" s="2708"/>
    </row>
    <row r="173" spans="2:18" s="2696" customFormat="1">
      <c r="B173" s="2706"/>
      <c r="C173" s="2706"/>
      <c r="D173" s="2706"/>
      <c r="E173" s="2706"/>
      <c r="F173" s="2706"/>
      <c r="G173" s="2707"/>
      <c r="H173" s="2706"/>
      <c r="I173" s="2707"/>
      <c r="J173" s="2706"/>
      <c r="K173" s="2706"/>
      <c r="L173" s="2707"/>
      <c r="M173" s="2706"/>
      <c r="N173" s="2706"/>
      <c r="O173" s="2707"/>
      <c r="P173" s="2706"/>
      <c r="Q173" s="2706"/>
      <c r="R173" s="2708"/>
    </row>
    <row r="174" spans="2:18" s="2696" customFormat="1">
      <c r="B174" s="2706"/>
      <c r="C174" s="2706"/>
      <c r="D174" s="2706"/>
      <c r="E174" s="2706"/>
      <c r="F174" s="2706"/>
      <c r="G174" s="2707"/>
      <c r="H174" s="2706"/>
      <c r="I174" s="2707"/>
      <c r="J174" s="2706"/>
      <c r="K174" s="2706"/>
      <c r="L174" s="2707"/>
      <c r="M174" s="2706"/>
      <c r="N174" s="2706"/>
      <c r="O174" s="2707"/>
      <c r="P174" s="2706"/>
      <c r="Q174" s="2706"/>
      <c r="R174" s="2708"/>
    </row>
    <row r="175" spans="2:18" s="2696" customFormat="1">
      <c r="B175" s="2706"/>
      <c r="C175" s="2706"/>
      <c r="D175" s="2706"/>
      <c r="E175" s="2706"/>
      <c r="F175" s="2706"/>
      <c r="G175" s="2707"/>
      <c r="H175" s="2706"/>
      <c r="I175" s="2707"/>
      <c r="J175" s="2706"/>
      <c r="K175" s="2706"/>
      <c r="L175" s="2707"/>
      <c r="M175" s="2706"/>
      <c r="N175" s="2706"/>
      <c r="O175" s="2707"/>
      <c r="P175" s="2706"/>
      <c r="Q175" s="2706"/>
      <c r="R175" s="2708"/>
    </row>
    <row r="176" spans="2:18" s="2696" customFormat="1">
      <c r="B176" s="2706"/>
      <c r="C176" s="2706"/>
      <c r="D176" s="2706"/>
      <c r="E176" s="2706"/>
      <c r="F176" s="2706"/>
      <c r="G176" s="2707"/>
      <c r="H176" s="2706"/>
      <c r="I176" s="2707"/>
      <c r="J176" s="2706"/>
      <c r="K176" s="2706"/>
      <c r="L176" s="2707"/>
      <c r="M176" s="2706"/>
      <c r="N176" s="2706"/>
      <c r="O176" s="2707"/>
      <c r="P176" s="2706"/>
      <c r="Q176" s="2706"/>
      <c r="R176" s="2708"/>
    </row>
    <row r="177" spans="1:18" s="2696" customFormat="1">
      <c r="B177" s="2706"/>
      <c r="C177" s="2706"/>
      <c r="D177" s="2706"/>
      <c r="E177" s="2706"/>
      <c r="F177" s="2706"/>
      <c r="G177" s="2707"/>
      <c r="H177" s="2706"/>
      <c r="I177" s="2707"/>
      <c r="J177" s="2706"/>
      <c r="K177" s="2706"/>
      <c r="L177" s="2707"/>
      <c r="M177" s="2706"/>
      <c r="N177" s="2706"/>
      <c r="O177" s="2707"/>
      <c r="P177" s="2706"/>
      <c r="Q177" s="2706"/>
      <c r="R177" s="2708"/>
    </row>
    <row r="178" spans="1:18" s="2696" customFormat="1">
      <c r="B178" s="2706"/>
      <c r="C178" s="2706"/>
      <c r="D178" s="2706"/>
      <c r="E178" s="2706"/>
      <c r="F178" s="2706"/>
      <c r="G178" s="2707"/>
      <c r="H178" s="2706"/>
      <c r="I178" s="2707"/>
      <c r="J178" s="2706"/>
      <c r="K178" s="2706"/>
      <c r="L178" s="2707"/>
      <c r="M178" s="2706"/>
      <c r="N178" s="2706"/>
      <c r="O178" s="2707"/>
      <c r="P178" s="2706"/>
      <c r="Q178" s="2706"/>
      <c r="R178" s="2708"/>
    </row>
    <row r="179" spans="1:18" s="2696" customFormat="1">
      <c r="B179" s="2706"/>
      <c r="C179" s="2706"/>
      <c r="D179" s="2706"/>
      <c r="E179" s="2706"/>
      <c r="F179" s="2706"/>
      <c r="G179" s="2707"/>
      <c r="H179" s="2706"/>
      <c r="I179" s="2707"/>
      <c r="J179" s="2706"/>
      <c r="K179" s="2706"/>
      <c r="L179" s="2707"/>
      <c r="M179" s="2706"/>
      <c r="N179" s="2706"/>
      <c r="O179" s="2707"/>
      <c r="P179" s="2706"/>
      <c r="Q179" s="2706"/>
      <c r="R179" s="2708"/>
    </row>
    <row r="180" spans="1:18" s="2696" customFormat="1">
      <c r="B180" s="2706"/>
      <c r="C180" s="2706"/>
      <c r="D180" s="2706"/>
      <c r="E180" s="2706"/>
      <c r="F180" s="2706"/>
      <c r="G180" s="2707"/>
      <c r="H180" s="2706"/>
      <c r="I180" s="2707"/>
      <c r="J180" s="2706"/>
      <c r="K180" s="2706"/>
      <c r="L180" s="2707"/>
      <c r="M180" s="2706"/>
      <c r="N180" s="2706"/>
      <c r="O180" s="2707"/>
      <c r="P180" s="2706"/>
      <c r="Q180" s="2706"/>
      <c r="R180" s="2708"/>
    </row>
    <row r="181" spans="1:18" s="2696" customFormat="1">
      <c r="B181" s="2706"/>
      <c r="C181" s="2706"/>
      <c r="D181" s="2706"/>
      <c r="E181" s="2706"/>
      <c r="F181" s="2706"/>
      <c r="G181" s="2707"/>
      <c r="H181" s="2706"/>
      <c r="I181" s="2707"/>
      <c r="J181" s="2706"/>
      <c r="K181" s="2706"/>
      <c r="L181" s="2707"/>
      <c r="M181" s="2706"/>
      <c r="N181" s="2706"/>
      <c r="O181" s="2707"/>
      <c r="P181" s="2706"/>
      <c r="Q181" s="2706"/>
      <c r="R181" s="2708"/>
    </row>
    <row r="182" spans="1:18" s="2696" customFormat="1">
      <c r="B182" s="2706"/>
      <c r="C182" s="2706"/>
      <c r="D182" s="2706"/>
      <c r="E182" s="2706"/>
      <c r="F182" s="2706"/>
      <c r="G182" s="2707"/>
      <c r="H182" s="2706"/>
      <c r="I182" s="2707"/>
      <c r="J182" s="2706"/>
      <c r="K182" s="2706"/>
      <c r="L182" s="2707"/>
      <c r="M182" s="2706"/>
      <c r="N182" s="2706"/>
      <c r="O182" s="2707"/>
      <c r="P182" s="2706"/>
      <c r="Q182" s="2706"/>
      <c r="R182" s="2708"/>
    </row>
    <row r="183" spans="1:18" s="2696" customFormat="1">
      <c r="B183" s="2706"/>
      <c r="C183" s="2706"/>
      <c r="D183" s="2706"/>
      <c r="E183" s="2706"/>
      <c r="F183" s="2706"/>
      <c r="G183" s="2707"/>
      <c r="H183" s="2706"/>
      <c r="I183" s="2707"/>
      <c r="J183" s="2706"/>
      <c r="K183" s="2706"/>
      <c r="L183" s="2707"/>
      <c r="M183" s="2706"/>
      <c r="N183" s="2706"/>
      <c r="O183" s="2707"/>
      <c r="P183" s="2706"/>
      <c r="Q183" s="2706"/>
      <c r="R183" s="2708"/>
    </row>
    <row r="184" spans="1:18" s="2696" customFormat="1">
      <c r="B184" s="2706"/>
      <c r="C184" s="2706"/>
      <c r="D184" s="2706"/>
      <c r="E184" s="2706"/>
      <c r="F184" s="2706"/>
      <c r="G184" s="2707"/>
      <c r="H184" s="2706"/>
      <c r="I184" s="2707"/>
      <c r="J184" s="2706"/>
      <c r="K184" s="2706"/>
      <c r="L184" s="2707"/>
      <c r="M184" s="2706"/>
      <c r="N184" s="2706"/>
      <c r="O184" s="2707"/>
      <c r="P184" s="2706"/>
      <c r="Q184" s="2706"/>
      <c r="R184" s="2708"/>
    </row>
    <row r="185" spans="1:18" s="2696" customFormat="1">
      <c r="B185" s="2706"/>
      <c r="C185" s="2706"/>
      <c r="D185" s="2706"/>
      <c r="E185" s="2706"/>
      <c r="F185" s="2706"/>
      <c r="G185" s="2707"/>
      <c r="H185" s="2706"/>
      <c r="I185" s="2707"/>
      <c r="J185" s="2706"/>
      <c r="K185" s="2706"/>
      <c r="L185" s="2707"/>
      <c r="M185" s="2706"/>
      <c r="N185" s="2706"/>
      <c r="O185" s="2707"/>
      <c r="P185" s="2706"/>
      <c r="Q185" s="2706"/>
      <c r="R185" s="2708"/>
    </row>
    <row r="186" spans="1:18">
      <c r="A186" s="2696"/>
      <c r="B186" s="2706"/>
      <c r="C186" s="2706"/>
      <c r="E186" s="2706"/>
      <c r="F186" s="2706"/>
      <c r="G186" s="2707"/>
    </row>
    <row r="187" spans="1:18">
      <c r="A187" s="2696"/>
      <c r="B187" s="2706"/>
      <c r="C187" s="2706"/>
      <c r="E187" s="2706"/>
      <c r="F187" s="2706"/>
      <c r="G187" s="2707"/>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2"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FF0000"/>
  </sheetPr>
  <dimension ref="A1:AJ516"/>
  <sheetViews>
    <sheetView view="pageBreakPreview" zoomScaleSheetLayoutView="100" zoomScalePageLayoutView="80" workbookViewId="0">
      <selection activeCell="D17" sqref="D17"/>
    </sheetView>
  </sheetViews>
  <sheetFormatPr defaultColWidth="12.625" defaultRowHeight="21.75" customHeight="1"/>
  <cols>
    <col min="1" max="2" width="12.625" style="1462"/>
    <col min="3" max="4" width="12.625" style="1462" customWidth="1"/>
    <col min="5" max="9" width="12.625" style="1462"/>
    <col min="10" max="10" width="3.625" style="2841"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1708</v>
      </c>
      <c r="B1" s="1461"/>
      <c r="C1" s="1461"/>
      <c r="D1" s="1461"/>
      <c r="E1" s="1461"/>
      <c r="F1" s="1461"/>
      <c r="G1" s="1461"/>
      <c r="H1" s="1461"/>
      <c r="I1" s="1461"/>
    </row>
    <row r="2" spans="1:15" ht="21.75" customHeight="1">
      <c r="A2" s="4369" t="str">
        <f>项目基本情况!B1</f>
        <v>北京市房地产市场价值预评估</v>
      </c>
      <c r="B2" s="4369"/>
      <c r="C2" s="4369"/>
      <c r="D2" s="4369"/>
      <c r="E2" s="4369"/>
      <c r="F2" s="4369"/>
      <c r="G2" s="4369"/>
      <c r="H2" s="4369"/>
      <c r="I2" s="4369"/>
      <c r="J2" s="2842"/>
    </row>
    <row r="3" spans="1:15" ht="12.75">
      <c r="A3" s="4372" t="s">
        <v>1709</v>
      </c>
      <c r="B3" s="4373"/>
      <c r="C3" s="4373"/>
      <c r="D3" s="4373"/>
      <c r="E3" s="4373"/>
      <c r="F3" s="4373"/>
      <c r="G3" s="4373"/>
      <c r="H3" s="4373"/>
      <c r="I3" s="4373"/>
      <c r="J3" s="2843"/>
    </row>
    <row r="4" spans="1:15" ht="14.25">
      <c r="A4" s="2711" t="s">
        <v>1710</v>
      </c>
      <c r="B4" s="2711" t="s">
        <v>1711</v>
      </c>
      <c r="C4" s="2712" t="s">
        <v>2907</v>
      </c>
      <c r="D4" s="2712" t="s">
        <v>2928</v>
      </c>
      <c r="E4" s="4318" t="s">
        <v>1712</v>
      </c>
      <c r="F4" s="4356"/>
      <c r="G4" s="4356"/>
      <c r="H4" s="4356"/>
      <c r="I4" s="4357"/>
      <c r="J4" s="2844"/>
      <c r="L4" s="1461" t="str">
        <f>IF(ISNUMBER(FIND("比较法",结果表!C4)),"比较法",IF(ISNUMBER(FIND("成本法",结果表!C4)),"成本法",IF(ISNUMBER(FIND("假设开发法",结果表!C4)),"假设开发法",IF(ISNUMBER(FIND("收益法",结果表!C4)),"收益法","基准地价系数修正法"))))</f>
        <v>成本法</v>
      </c>
      <c r="M4" s="1461" t="str">
        <f>IF(ISNUMBER(FIND("比较法",结果表!D4)),"比较法",IF(ISNUMBER(FIND("成本法",结果表!D4)),"成本法",IF(ISNUMBER(FIND("假设开发法",结果表!D4)),"假设开发法",IF(ISNUMBER(FIND("收益法",结果表!D4)),"收益法","基准地价系数修正法"))))</f>
        <v>收益法</v>
      </c>
      <c r="N4" s="1461"/>
      <c r="O4" s="1461"/>
    </row>
    <row r="5" spans="1:15" ht="12.75">
      <c r="A5" s="4349" t="s">
        <v>1713</v>
      </c>
      <c r="B5" s="4349">
        <v>25</v>
      </c>
      <c r="C5" s="4358">
        <v>20</v>
      </c>
      <c r="D5" s="4371">
        <v>8</v>
      </c>
      <c r="E5" s="12" t="s">
        <v>1714</v>
      </c>
      <c r="F5" s="2088"/>
      <c r="G5" s="2088"/>
      <c r="H5" s="2088"/>
      <c r="I5" s="2083"/>
      <c r="J5" s="2844"/>
    </row>
    <row r="6" spans="1:15" ht="12.75">
      <c r="A6" s="4349"/>
      <c r="B6" s="4349"/>
      <c r="C6" s="4374"/>
      <c r="D6" s="4371"/>
      <c r="E6" s="12" t="s">
        <v>1715</v>
      </c>
      <c r="F6" s="2088"/>
      <c r="G6" s="2088"/>
      <c r="H6" s="2088"/>
      <c r="I6" s="2083"/>
      <c r="J6" s="2844"/>
    </row>
    <row r="7" spans="1:15" ht="12.75">
      <c r="A7" s="4349"/>
      <c r="B7" s="4349"/>
      <c r="C7" s="4359"/>
      <c r="D7" s="4371"/>
      <c r="E7" s="12" t="s">
        <v>1716</v>
      </c>
      <c r="F7" s="2088"/>
      <c r="G7" s="2088"/>
      <c r="H7" s="2088"/>
      <c r="I7" s="2083"/>
      <c r="J7" s="2844"/>
    </row>
    <row r="8" spans="1:15" ht="12.75">
      <c r="A8" s="4349" t="s">
        <v>1717</v>
      </c>
      <c r="B8" s="4349">
        <v>15</v>
      </c>
      <c r="C8" s="4358">
        <v>13</v>
      </c>
      <c r="D8" s="4371">
        <v>8</v>
      </c>
      <c r="E8" s="12" t="s">
        <v>1718</v>
      </c>
      <c r="F8" s="2088"/>
      <c r="G8" s="2088"/>
      <c r="H8" s="2088"/>
      <c r="I8" s="2083"/>
      <c r="J8" s="2844"/>
    </row>
    <row r="9" spans="1:15" ht="12.75">
      <c r="A9" s="4349"/>
      <c r="B9" s="4349"/>
      <c r="C9" s="4359"/>
      <c r="D9" s="4371"/>
      <c r="E9" s="12" t="s">
        <v>1719</v>
      </c>
      <c r="F9" s="2088"/>
      <c r="G9" s="2088"/>
      <c r="H9" s="2088"/>
      <c r="I9" s="2083"/>
      <c r="J9" s="2844"/>
    </row>
    <row r="10" spans="1:15" ht="12.75">
      <c r="A10" s="4349" t="s">
        <v>1720</v>
      </c>
      <c r="B10" s="4349">
        <v>15</v>
      </c>
      <c r="C10" s="4358">
        <v>13</v>
      </c>
      <c r="D10" s="4371">
        <v>5</v>
      </c>
      <c r="E10" s="12" t="s">
        <v>1721</v>
      </c>
      <c r="F10" s="2088"/>
      <c r="G10" s="2088"/>
      <c r="H10" s="2088"/>
      <c r="I10" s="2083"/>
      <c r="J10" s="2844"/>
    </row>
    <row r="11" spans="1:15" ht="12.75">
      <c r="A11" s="4349"/>
      <c r="B11" s="4349"/>
      <c r="C11" s="4359"/>
      <c r="D11" s="4371"/>
      <c r="E11" s="12" t="s">
        <v>1722</v>
      </c>
      <c r="F11" s="2088"/>
      <c r="G11" s="2088"/>
      <c r="H11" s="2088"/>
      <c r="I11" s="2083"/>
      <c r="J11" s="2844"/>
    </row>
    <row r="12" spans="1:15" ht="12.75">
      <c r="A12" s="4349" t="s">
        <v>1723</v>
      </c>
      <c r="B12" s="4349">
        <v>15</v>
      </c>
      <c r="C12" s="4358">
        <v>13</v>
      </c>
      <c r="D12" s="4371">
        <v>5</v>
      </c>
      <c r="E12" s="12" t="s">
        <v>1724</v>
      </c>
      <c r="F12" s="2088"/>
      <c r="G12" s="2088"/>
      <c r="H12" s="2088"/>
      <c r="I12" s="2083"/>
      <c r="J12" s="2844"/>
    </row>
    <row r="13" spans="1:15" ht="12.75">
      <c r="A13" s="4349"/>
      <c r="B13" s="4349"/>
      <c r="C13" s="4359"/>
      <c r="D13" s="4371"/>
      <c r="E13" s="12" t="s">
        <v>1725</v>
      </c>
      <c r="F13" s="2088"/>
      <c r="G13" s="2088"/>
      <c r="H13" s="2088"/>
      <c r="I13" s="2083"/>
      <c r="J13" s="2844"/>
    </row>
    <row r="14" spans="1:15" ht="12.75">
      <c r="A14" s="4349" t="s">
        <v>1726</v>
      </c>
      <c r="B14" s="4349">
        <v>30</v>
      </c>
      <c r="C14" s="4358">
        <v>20</v>
      </c>
      <c r="D14" s="4371">
        <v>8</v>
      </c>
      <c r="E14" s="12" t="s">
        <v>1727</v>
      </c>
      <c r="F14" s="2088"/>
      <c r="G14" s="2088"/>
      <c r="H14" s="2088"/>
      <c r="I14" s="2083"/>
      <c r="J14" s="2844"/>
    </row>
    <row r="15" spans="1:15" ht="12.75">
      <c r="A15" s="4349"/>
      <c r="B15" s="4349"/>
      <c r="C15" s="4374"/>
      <c r="D15" s="4371"/>
      <c r="E15" s="12" t="s">
        <v>1728</v>
      </c>
      <c r="F15" s="2088"/>
      <c r="G15" s="2088"/>
      <c r="H15" s="2088"/>
      <c r="I15" s="2083"/>
      <c r="J15" s="2844"/>
    </row>
    <row r="16" spans="1:15" ht="12.75">
      <c r="A16" s="4349"/>
      <c r="B16" s="4349"/>
      <c r="C16" s="4359"/>
      <c r="D16" s="4371"/>
      <c r="E16" s="12" t="s">
        <v>1729</v>
      </c>
      <c r="F16" s="2088"/>
      <c r="G16" s="2088"/>
      <c r="H16" s="2088"/>
      <c r="I16" s="2083"/>
      <c r="J16" s="2844"/>
    </row>
    <row r="17" spans="1:36" ht="15">
      <c r="A17" s="2713" t="s">
        <v>1730</v>
      </c>
      <c r="B17" s="2093"/>
      <c r="C17" s="2714">
        <f>SUM(C5:C16)</f>
        <v>79</v>
      </c>
      <c r="D17" s="2714">
        <f>SUM(D5:D16)</f>
        <v>34</v>
      </c>
      <c r="E17" s="2561"/>
      <c r="F17" s="2561"/>
      <c r="G17" s="2561"/>
      <c r="H17" s="2561"/>
      <c r="I17" s="2561"/>
      <c r="J17" s="2845"/>
    </row>
    <row r="18" spans="1:36" ht="30" customHeight="1" thickBot="1">
      <c r="A18" s="2715" t="s">
        <v>1731</v>
      </c>
      <c r="B18" s="2716"/>
      <c r="C18" s="2717">
        <f>ROUND(C17/SUM(C17:D17),2)</f>
        <v>0.7</v>
      </c>
      <c r="D18" s="2717">
        <f>1-C18</f>
        <v>0.30000000000000004</v>
      </c>
      <c r="E18" s="4367" t="s">
        <v>2811</v>
      </c>
      <c r="F18" s="4368"/>
      <c r="G18" s="4368"/>
      <c r="H18" s="4368"/>
      <c r="I18" s="4368"/>
      <c r="J18" s="2845"/>
    </row>
    <row r="19" spans="1:36" ht="15">
      <c r="A19" s="2718" t="s">
        <v>1732</v>
      </c>
      <c r="B19" s="2719" t="s">
        <v>1733</v>
      </c>
      <c r="C19" s="2720">
        <f ca="1">SUMIF(INDIRECT("'"&amp;C4&amp;"'"&amp;"!A:A"),结果表!B19,INDIRECT("'"&amp;C4&amp;"'"&amp;"!B:B"))</f>
        <v>9337205</v>
      </c>
      <c r="D19" s="2721">
        <f ca="1">SUMIF(INDIRECT("'"&amp;D4&amp;"'"&amp;"!A:A"),结果表!B19,INDIRECT("'"&amp;D4&amp;"'"&amp;"!B:B"))</f>
        <v>-2292766</v>
      </c>
      <c r="E19" s="2718" t="s">
        <v>1734</v>
      </c>
      <c r="F19" s="2719" t="s">
        <v>1733</v>
      </c>
      <c r="G19" s="2722">
        <f ca="1">ROUND(C19*$C$18+D19*$D$18,0)</f>
        <v>5848214</v>
      </c>
      <c r="H19" s="2723" t="str">
        <f>'数据-取费表'!B3</f>
        <v>元</v>
      </c>
      <c r="I19" s="2771"/>
      <c r="J19" s="2846"/>
    </row>
    <row r="20" spans="1:36" ht="15">
      <c r="A20" s="2724"/>
      <c r="B20" s="1693" t="s">
        <v>1735</v>
      </c>
      <c r="C20" s="1918">
        <f ca="1">SUMIF(INDIRECT("'"&amp;C4&amp;"'"&amp;"!A:A"),结果表!B20,INDIRECT("'"&amp;C4&amp;"'"&amp;"!B:B"))</f>
        <v>8578</v>
      </c>
      <c r="D20" s="1921">
        <f ca="1">SUMIF(INDIRECT("'"&amp;D4&amp;"'"&amp;"!A:A"),结果表!B20,INDIRECT("'"&amp;D4&amp;"'"&amp;"!B:B"))</f>
        <v>-2106</v>
      </c>
      <c r="E20" s="2724"/>
      <c r="F20" s="1693" t="s">
        <v>1735</v>
      </c>
      <c r="G20" s="2092">
        <f ca="1">ROUND(C20*$C$18+D20*$D$18,0)</f>
        <v>5373</v>
      </c>
      <c r="H20" s="2725" t="s">
        <v>1736</v>
      </c>
      <c r="I20" s="2561"/>
      <c r="J20" s="2845"/>
    </row>
    <row r="21" spans="1:36" ht="15" customHeight="1" thickBot="1">
      <c r="A21" s="2726"/>
      <c r="B21" s="2727"/>
      <c r="C21" s="2727"/>
      <c r="D21" s="2728"/>
      <c r="E21" s="2726"/>
      <c r="F21" s="2727"/>
      <c r="G21" s="2729"/>
      <c r="H21" s="2730"/>
      <c r="I21" s="2561"/>
      <c r="J21" s="2845"/>
    </row>
    <row r="22" spans="1:36" ht="15" thickBot="1">
      <c r="A22" s="2731" t="s">
        <v>1737</v>
      </c>
      <c r="B22" s="2732"/>
      <c r="C22" s="2645"/>
      <c r="D22" s="2733">
        <f ca="1">IF(C19&lt;D19,D19/C19-1,C19/D19-1)</f>
        <v>-5.0724631296870246</v>
      </c>
      <c r="E22" s="947"/>
      <c r="F22" s="947"/>
      <c r="G22" s="947"/>
      <c r="H22" s="947"/>
      <c r="I22" s="947"/>
      <c r="J22" s="2845"/>
    </row>
    <row r="23" spans="1:36" ht="13.5" thickBot="1">
      <c r="A23" s="2561"/>
      <c r="B23" s="2561"/>
      <c r="C23" s="2561"/>
      <c r="D23" s="2561"/>
      <c r="E23" s="947"/>
      <c r="F23" s="947"/>
      <c r="G23" s="947"/>
      <c r="H23" s="947"/>
      <c r="I23" s="947"/>
      <c r="J23" s="2845"/>
    </row>
    <row r="24" spans="1:36" ht="21.75" customHeight="1">
      <c r="A24" s="4360" t="s">
        <v>1738</v>
      </c>
      <c r="B24" s="2719" t="s">
        <v>1733</v>
      </c>
      <c r="C24" s="2722">
        <f>D30</f>
        <v>0</v>
      </c>
      <c r="D24" s="2674"/>
      <c r="E24" s="947"/>
      <c r="F24" s="947"/>
      <c r="G24" s="947"/>
      <c r="H24" s="947"/>
      <c r="I24" s="947"/>
      <c r="J24" s="2845"/>
    </row>
    <row r="25" spans="1:36" ht="21.75" customHeight="1">
      <c r="A25" s="4377"/>
      <c r="B25" s="1693" t="s">
        <v>1735</v>
      </c>
      <c r="C25" s="2734">
        <f>IF(B30=0,0,C30)</f>
        <v>0</v>
      </c>
      <c r="D25" s="2735"/>
      <c r="E25" s="947"/>
      <c r="F25" s="947"/>
      <c r="G25" s="947"/>
      <c r="H25" s="947"/>
      <c r="I25" s="947"/>
      <c r="J25" s="2845"/>
    </row>
    <row r="26" spans="1:36" ht="13.5" customHeight="1">
      <c r="A26" s="2736" t="s">
        <v>1739</v>
      </c>
      <c r="B26" s="2737" t="s">
        <v>1740</v>
      </c>
      <c r="C26" s="2737" t="s">
        <v>1741</v>
      </c>
      <c r="D26" s="2738" t="s">
        <v>1742</v>
      </c>
      <c r="E26" s="947"/>
      <c r="F26" s="947"/>
      <c r="G26" s="947"/>
      <c r="H26" s="947"/>
      <c r="I26" s="947"/>
      <c r="J26" s="2845"/>
    </row>
    <row r="27" spans="1:36" ht="14.25">
      <c r="A27" s="2739"/>
      <c r="B27" s="2737">
        <v>0</v>
      </c>
      <c r="C27" s="2737">
        <v>0</v>
      </c>
      <c r="D27" s="2738">
        <f>ROUND(C27*B27/10000,0)</f>
        <v>0</v>
      </c>
      <c r="E27" s="947"/>
      <c r="F27" s="947"/>
      <c r="G27" s="947"/>
      <c r="H27" s="947"/>
      <c r="I27" s="947"/>
      <c r="J27" s="2845"/>
    </row>
    <row r="28" spans="1:36" ht="14.25">
      <c r="A28" s="2736"/>
      <c r="B28" s="2737"/>
      <c r="C28" s="2737"/>
      <c r="D28" s="2738">
        <f t="shared" ref="D28:D29" si="0">ROUND(C28*B28/10000,0)</f>
        <v>0</v>
      </c>
      <c r="E28" s="947"/>
      <c r="F28" s="947"/>
      <c r="G28" s="947"/>
      <c r="H28" s="947"/>
      <c r="I28" s="947"/>
      <c r="J28" s="2845"/>
    </row>
    <row r="29" spans="1:36" ht="14.25">
      <c r="A29" s="2736"/>
      <c r="B29" s="2737"/>
      <c r="C29" s="2737"/>
      <c r="D29" s="2738">
        <f t="shared" si="0"/>
        <v>0</v>
      </c>
      <c r="E29" s="947"/>
      <c r="F29" s="947"/>
      <c r="G29" s="947"/>
      <c r="H29" s="947"/>
      <c r="I29" s="947"/>
      <c r="J29" s="2845"/>
    </row>
    <row r="30" spans="1:36" ht="15" thickBot="1">
      <c r="A30" s="2773" t="s">
        <v>1743</v>
      </c>
      <c r="B30" s="2773"/>
      <c r="C30" s="2773"/>
      <c r="D30" s="2773"/>
      <c r="E30" s="2740" t="s">
        <v>2815</v>
      </c>
      <c r="F30" s="2561"/>
      <c r="G30" s="2561"/>
      <c r="H30" s="2561"/>
      <c r="I30" s="2561"/>
      <c r="J30" s="2845"/>
    </row>
    <row r="31" spans="1:36" s="2838" customFormat="1" ht="26.45" customHeight="1" thickTop="1" thickBot="1">
      <c r="A31" s="2833"/>
      <c r="B31" s="2834"/>
      <c r="C31" s="2834"/>
      <c r="D31" s="2834"/>
      <c r="E31" s="2834"/>
      <c r="F31" s="2834"/>
      <c r="G31" s="2834"/>
      <c r="H31" s="2834"/>
      <c r="I31" s="2835" t="s">
        <v>2816</v>
      </c>
      <c r="J31" s="2847"/>
      <c r="K31" s="2836"/>
      <c r="L31" s="2836"/>
      <c r="M31" s="2836"/>
      <c r="N31" s="2836"/>
      <c r="O31" s="2836"/>
      <c r="P31" s="2836"/>
      <c r="Q31" s="2836"/>
      <c r="R31" s="2836"/>
      <c r="S31" s="2836"/>
      <c r="T31" s="2836"/>
      <c r="U31" s="2836"/>
      <c r="V31" s="2836"/>
      <c r="W31" s="2836"/>
      <c r="X31" s="2836"/>
      <c r="Y31" s="2836"/>
      <c r="Z31" s="2836"/>
      <c r="AA31" s="2836"/>
      <c r="AB31" s="2837"/>
      <c r="AC31" s="2837"/>
      <c r="AD31" s="2837"/>
      <c r="AE31" s="2837"/>
      <c r="AF31" s="2837"/>
      <c r="AG31" s="2837"/>
      <c r="AH31" s="2837"/>
      <c r="AI31" s="2837"/>
      <c r="AJ31" s="2837"/>
    </row>
    <row r="32" spans="1:36" s="2832" customFormat="1" ht="16.5" thickTop="1" thickBot="1">
      <c r="A32" s="2826" t="s">
        <v>1744</v>
      </c>
      <c r="B32" s="2827" t="str">
        <f>'数据-取费表'!B4</f>
        <v>楼面单价</v>
      </c>
      <c r="C32" s="2828">
        <f ca="1">IF(B32="总价",G19-C24,G20-C25)</f>
        <v>5373</v>
      </c>
      <c r="D32" s="2829" t="str">
        <f>IF(B32="楼面单价","元/平方米",H19)</f>
        <v>元/平方米</v>
      </c>
      <c r="E32" s="2976"/>
      <c r="F32" s="2976"/>
      <c r="G32" s="2976"/>
      <c r="H32" s="2976"/>
      <c r="I32" s="2976"/>
      <c r="J32" s="2848"/>
      <c r="K32" s="2830"/>
      <c r="L32" s="2830"/>
      <c r="M32" s="2830"/>
      <c r="N32" s="2830"/>
      <c r="O32" s="2830"/>
      <c r="P32" s="2830"/>
      <c r="Q32" s="2830"/>
      <c r="R32" s="2830"/>
      <c r="S32" s="2830"/>
      <c r="T32" s="2830"/>
      <c r="U32" s="2830"/>
      <c r="V32" s="2830"/>
      <c r="W32" s="2830"/>
      <c r="X32" s="2830"/>
      <c r="Y32" s="2830"/>
      <c r="Z32" s="2830"/>
      <c r="AA32" s="2830"/>
      <c r="AB32" s="2831"/>
      <c r="AC32" s="2831"/>
      <c r="AD32" s="2831"/>
      <c r="AE32" s="2831"/>
      <c r="AF32" s="2831"/>
      <c r="AG32" s="2831"/>
      <c r="AH32" s="2831"/>
      <c r="AI32" s="2831"/>
      <c r="AJ32" s="2831"/>
    </row>
    <row r="33" spans="1:17" ht="15">
      <c r="A33" s="2741" t="s">
        <v>1745</v>
      </c>
      <c r="B33" s="255"/>
      <c r="C33" s="2742"/>
      <c r="D33" s="2743"/>
      <c r="E33" s="2744" t="s">
        <v>1746</v>
      </c>
      <c r="F33" s="2745" t="str">
        <f>IF(B32="楼面单价","取值（单价）","取值（总价）")</f>
        <v>取值（单价）</v>
      </c>
      <c r="G33" s="947"/>
      <c r="H33" s="947"/>
      <c r="I33" s="947"/>
      <c r="J33" s="2845"/>
    </row>
    <row r="34" spans="1:17" ht="15">
      <c r="A34" s="1466"/>
      <c r="B34" s="2746" t="s">
        <v>1747</v>
      </c>
      <c r="C34" s="2747">
        <f ca="1">IF(D33="自定义",F34,C32-C35)</f>
        <v>14996</v>
      </c>
      <c r="D34" s="2748">
        <f ca="1">IF(D33="自定义",ROUND(C34/C32,3),1-D35)</f>
        <v>2.7909999999999999</v>
      </c>
      <c r="E34" s="1435" t="s">
        <v>1748</v>
      </c>
      <c r="F34" s="2749">
        <v>2000</v>
      </c>
      <c r="G34" s="947"/>
      <c r="H34" s="947"/>
      <c r="I34" s="947"/>
      <c r="J34" s="2845"/>
    </row>
    <row r="35" spans="1:17" ht="15.75" thickBot="1">
      <c r="A35" s="1467"/>
      <c r="B35" s="2750" t="s">
        <v>1749</v>
      </c>
      <c r="C35" s="2751">
        <f ca="1">IF(D33="自定义",F35,ROUND(C32*D35,0))</f>
        <v>-9623</v>
      </c>
      <c r="D35" s="2752">
        <f ca="1">IF(D33="自定义",ROUND(C35/C32,3),IF(D33="成本法成本比率",成本法!C56,IF(D33="收益法收益比率",收益法!J38,收益法!J41)))</f>
        <v>-1.7909999999999999</v>
      </c>
      <c r="E35" s="2753" t="s">
        <v>1750</v>
      </c>
      <c r="F35" s="2754">
        <v>4460</v>
      </c>
      <c r="G35" s="947"/>
      <c r="H35" s="947"/>
      <c r="I35" s="947"/>
      <c r="J35" s="2845"/>
    </row>
    <row r="36" spans="1:17" ht="15.75" thickBot="1">
      <c r="A36" s="4360" t="s">
        <v>1751</v>
      </c>
      <c r="B36" s="1468" t="s">
        <v>1752</v>
      </c>
      <c r="C36" s="2755">
        <v>0</v>
      </c>
      <c r="D36" s="2756"/>
      <c r="E36" s="1679"/>
      <c r="F36" s="1679"/>
      <c r="G36" s="947"/>
      <c r="H36" s="947"/>
      <c r="I36" s="947"/>
      <c r="J36" s="2845"/>
    </row>
    <row r="37" spans="1:17" ht="15.75" thickBot="1">
      <c r="A37" s="4361"/>
      <c r="B37" s="2093" t="s">
        <v>1753</v>
      </c>
      <c r="C37" s="2757">
        <v>0</v>
      </c>
      <c r="D37" s="1311"/>
      <c r="E37" s="1311"/>
      <c r="F37" s="1679"/>
      <c r="G37" s="1311"/>
      <c r="H37" s="1311"/>
      <c r="I37" s="1311"/>
      <c r="J37" s="2849"/>
    </row>
    <row r="38" spans="1:17" ht="15.75" thickBot="1">
      <c r="A38" s="4362"/>
      <c r="B38" s="1469" t="s">
        <v>1754</v>
      </c>
      <c r="C38" s="2758">
        <v>0</v>
      </c>
      <c r="D38" s="2759" t="s">
        <v>1755</v>
      </c>
      <c r="E38" s="1311"/>
      <c r="F38" s="1679"/>
      <c r="G38" s="1311"/>
      <c r="H38" s="1311"/>
      <c r="I38" s="1311"/>
      <c r="J38" s="2849"/>
    </row>
    <row r="39" spans="1:17" ht="15">
      <c r="A39" s="2724" t="s">
        <v>1756</v>
      </c>
      <c r="B39" s="2760" t="s">
        <v>1740</v>
      </c>
      <c r="C39" s="2761" t="s">
        <v>1741</v>
      </c>
      <c r="D39" s="2761" t="s">
        <v>1757</v>
      </c>
      <c r="E39" s="2762" t="s">
        <v>1742</v>
      </c>
      <c r="F39" s="1679"/>
      <c r="G39" s="1311"/>
      <c r="H39" s="1311"/>
      <c r="I39" s="1311"/>
      <c r="J39" s="2849"/>
    </row>
    <row r="40" spans="1:17" ht="14.25">
      <c r="A40" s="2763" t="s">
        <v>1758</v>
      </c>
      <c r="B40" s="2764"/>
      <c r="C40" s="2765"/>
      <c r="D40" s="2765"/>
      <c r="E40" s="2766"/>
      <c r="F40" s="1679"/>
      <c r="G40" s="1311"/>
      <c r="H40" s="1311"/>
      <c r="I40" s="1311"/>
      <c r="J40" s="2849"/>
    </row>
    <row r="41" spans="1:17" ht="14.25">
      <c r="A41" s="2763" t="s">
        <v>1759</v>
      </c>
      <c r="B41" s="2764"/>
      <c r="C41" s="2765"/>
      <c r="D41" s="2765"/>
      <c r="E41" s="2766"/>
      <c r="F41" s="1679"/>
      <c r="G41" s="1311"/>
      <c r="H41" s="1311"/>
      <c r="I41" s="1311"/>
      <c r="J41" s="2849"/>
    </row>
    <row r="42" spans="1:17" ht="15" thickBot="1">
      <c r="A42" s="2767"/>
      <c r="B42" s="2768"/>
      <c r="C42" s="2769"/>
      <c r="D42" s="2769"/>
      <c r="E42" s="2754"/>
      <c r="F42" s="1679"/>
      <c r="G42" s="1311"/>
      <c r="H42" s="1311"/>
      <c r="I42" s="1311"/>
      <c r="J42" s="2849"/>
    </row>
    <row r="43" spans="1:17" ht="12.75">
      <c r="A43" s="2975"/>
      <c r="B43" s="2975"/>
      <c r="C43" s="2975"/>
      <c r="D43" s="2975"/>
      <c r="E43" s="2975"/>
      <c r="F43" s="2974"/>
      <c r="G43" s="2974"/>
      <c r="H43" s="2974"/>
      <c r="I43" s="2661"/>
      <c r="J43" s="2850"/>
    </row>
    <row r="44" spans="1:17" ht="18.75">
      <c r="A44" s="1471" t="s">
        <v>1760</v>
      </c>
      <c r="B44" s="1472"/>
      <c r="C44" s="1472"/>
      <c r="D44" s="1473"/>
      <c r="E44" s="1473"/>
      <c r="F44" s="1474"/>
      <c r="G44" s="1474"/>
      <c r="H44" s="1474"/>
      <c r="I44" s="2839" t="s">
        <v>2810</v>
      </c>
      <c r="J44" s="2851"/>
      <c r="K44" s="1475" t="s">
        <v>1761</v>
      </c>
      <c r="L44" s="1476"/>
      <c r="M44" s="1476"/>
      <c r="N44" s="1476"/>
      <c r="O44" s="1476"/>
      <c r="P44" s="1476"/>
      <c r="Q44" s="1308"/>
    </row>
    <row r="45" spans="1:17" ht="14.25" customHeight="1" thickBot="1">
      <c r="A45" s="4364" t="s">
        <v>1762</v>
      </c>
      <c r="B45" s="4365"/>
      <c r="C45" s="4324"/>
      <c r="D45" s="246">
        <f ca="1">ROUND(I102*F45,0)</f>
        <v>5848403</v>
      </c>
      <c r="E45" s="1542" t="s">
        <v>1763</v>
      </c>
      <c r="F45" s="2559">
        <v>1</v>
      </c>
      <c r="G45" s="2560" t="s">
        <v>1764</v>
      </c>
      <c r="H45" s="947"/>
      <c r="I45" s="947"/>
      <c r="J45" s="2845"/>
      <c r="K45" s="4418" t="s">
        <v>2740</v>
      </c>
      <c r="L45" s="4418"/>
      <c r="M45" s="4418"/>
      <c r="N45" s="4418"/>
      <c r="O45" s="4418"/>
      <c r="P45" s="4418"/>
      <c r="Q45" s="1308"/>
    </row>
    <row r="46" spans="1:17" ht="14.25" customHeight="1">
      <c r="A46" s="4353" t="s">
        <v>1766</v>
      </c>
      <c r="B46" s="4354"/>
      <c r="C46" s="4354"/>
      <c r="D46" s="4354"/>
      <c r="E46" s="4354"/>
      <c r="F46" s="4354"/>
      <c r="G46" s="4355"/>
      <c r="H46" s="2977"/>
      <c r="I46" s="947"/>
      <c r="J46" s="2845"/>
      <c r="K46" s="2534">
        <v>1</v>
      </c>
      <c r="L46" s="4419" t="s">
        <v>2741</v>
      </c>
      <c r="M46" s="4419"/>
      <c r="N46" s="4420" t="str">
        <f>项目基本情况!B1</f>
        <v>北京市房地产市场价值预评估</v>
      </c>
      <c r="O46" s="4420"/>
      <c r="P46" s="4420"/>
      <c r="Q46" s="1308"/>
    </row>
    <row r="47" spans="1:17" ht="12" customHeight="1">
      <c r="A47" s="38" t="s">
        <v>1768</v>
      </c>
      <c r="B47" s="39"/>
      <c r="C47" s="40"/>
      <c r="D47" s="1099" t="s">
        <v>1769</v>
      </c>
      <c r="E47" s="235" t="s">
        <v>1770</v>
      </c>
      <c r="F47" s="41" t="s">
        <v>1771</v>
      </c>
      <c r="G47" s="2562" t="s">
        <v>1772</v>
      </c>
      <c r="H47" s="2977"/>
      <c r="I47" s="947"/>
      <c r="J47" s="2845"/>
      <c r="K47" s="2534">
        <v>2</v>
      </c>
      <c r="L47" s="4419" t="s">
        <v>2742</v>
      </c>
      <c r="M47" s="4419"/>
      <c r="N47" s="4421">
        <f>'数据-取费表'!B2</f>
        <v>42402</v>
      </c>
      <c r="O47" s="4421"/>
      <c r="P47" s="4421"/>
      <c r="Q47" s="1308"/>
    </row>
    <row r="48" spans="1:17" ht="25.5">
      <c r="A48" s="4363" t="s">
        <v>1774</v>
      </c>
      <c r="B48" s="4317"/>
      <c r="C48" s="4317"/>
      <c r="D48" s="12">
        <f ca="1">IF(H48="情况1",0,IF(H48="情况2",D52,IF(H48="情况3",D53,IF(H48="情况4",D54))))</f>
        <v>327511</v>
      </c>
      <c r="E48" s="2091" t="str">
        <f>IF(H48="情况4","(销售额-原购置价)×税（费）率","销售额×税（费）率")</f>
        <v>销售额×税（费）率</v>
      </c>
      <c r="F48" s="2563">
        <f>IF(H48="情况1","免征",'数据-取费表'!E29)</f>
        <v>5.6000000000000001E-2</v>
      </c>
      <c r="G48" s="2564" t="s">
        <v>1775</v>
      </c>
      <c r="H48" s="2565" t="s">
        <v>1776</v>
      </c>
      <c r="I48" s="2977"/>
      <c r="J48" s="2852"/>
      <c r="K48" s="2534">
        <v>3</v>
      </c>
      <c r="L48" s="4419" t="s">
        <v>2743</v>
      </c>
      <c r="M48" s="4419"/>
      <c r="N48" s="4420">
        <f ca="1">I102</f>
        <v>5848403</v>
      </c>
      <c r="O48" s="4420"/>
      <c r="P48" s="4420"/>
      <c r="Q48" s="1308"/>
    </row>
    <row r="49" spans="1:17" ht="25.5" customHeight="1">
      <c r="A49" s="2090" t="s">
        <v>1778</v>
      </c>
      <c r="B49" s="4356" t="s">
        <v>1779</v>
      </c>
      <c r="C49" s="4356"/>
      <c r="D49" s="2566">
        <v>0</v>
      </c>
      <c r="E49" s="261" t="s">
        <v>1780</v>
      </c>
      <c r="F49" s="2567" t="s">
        <v>48</v>
      </c>
      <c r="G49" s="4413"/>
      <c r="H49" s="2568" t="s">
        <v>2817</v>
      </c>
      <c r="I49" s="2569"/>
      <c r="J49" s="2853"/>
      <c r="K49" s="2534">
        <v>4</v>
      </c>
      <c r="L49" s="4419" t="str">
        <f>IF(项目基本情况!F5="房地产抵押价值","房地产抵押价值","抵押担保权已注销时的房地产抵押价值")</f>
        <v>抵押担保权已注销时的房地产抵押价值</v>
      </c>
      <c r="M49" s="4419"/>
      <c r="N49" s="4420" t="str">
        <f>IF(项目基本情况!F5="房地产抵押价值",I110,I112)</f>
        <v>——</v>
      </c>
      <c r="O49" s="4420"/>
      <c r="P49" s="4420"/>
      <c r="Q49" s="1308"/>
    </row>
    <row r="50" spans="1:17" ht="25.5" customHeight="1">
      <c r="A50" s="2080"/>
      <c r="B50" s="4356" t="s">
        <v>1781</v>
      </c>
      <c r="C50" s="4356"/>
      <c r="D50" s="2570"/>
      <c r="E50" s="269"/>
      <c r="F50" s="2567"/>
      <c r="G50" s="4414"/>
      <c r="H50" s="2571" t="s">
        <v>2736</v>
      </c>
      <c r="I50" s="2569"/>
      <c r="J50" s="2853"/>
      <c r="K50" s="4419" t="s">
        <v>2744</v>
      </c>
      <c r="L50" s="4419"/>
      <c r="M50" s="4419"/>
      <c r="N50" s="4419"/>
      <c r="O50" s="4419"/>
      <c r="P50" s="4419"/>
      <c r="Q50" s="1308"/>
    </row>
    <row r="51" spans="1:17" ht="20.45" customHeight="1">
      <c r="A51" s="2572"/>
      <c r="B51" s="4356" t="s">
        <v>1783</v>
      </c>
      <c r="C51" s="4356"/>
      <c r="D51" s="1099"/>
      <c r="E51" s="264"/>
      <c r="F51" s="2567"/>
      <c r="G51" s="4415"/>
      <c r="H51" s="2571" t="s">
        <v>2737</v>
      </c>
      <c r="I51" s="2569"/>
      <c r="J51" s="2853"/>
      <c r="K51" s="2535" t="s">
        <v>2745</v>
      </c>
      <c r="L51" s="4419" t="s">
        <v>2746</v>
      </c>
      <c r="M51" s="4419"/>
      <c r="N51" s="2535" t="s">
        <v>2747</v>
      </c>
      <c r="O51" s="2535" t="s">
        <v>2748</v>
      </c>
      <c r="P51" s="2535" t="s">
        <v>2749</v>
      </c>
      <c r="Q51" s="1308"/>
    </row>
    <row r="52" spans="1:17" ht="24" customHeight="1">
      <c r="A52" s="2081" t="s">
        <v>1789</v>
      </c>
      <c r="B52" s="4356" t="s">
        <v>1790</v>
      </c>
      <c r="C52" s="4356"/>
      <c r="D52" s="1099">
        <f ca="1">ROUND(D45*'数据-取费表'!E29/(1+'数据-取费表'!F30),0)</f>
        <v>327511</v>
      </c>
      <c r="E52" s="2091" t="s">
        <v>1791</v>
      </c>
      <c r="F52" s="2573">
        <f>'数据-取费表'!E29</f>
        <v>5.6000000000000001E-2</v>
      </c>
      <c r="G52" s="2574"/>
      <c r="H52" s="947"/>
      <c r="I52" s="2978"/>
      <c r="J52" s="2853"/>
      <c r="K52" s="2534">
        <v>1</v>
      </c>
      <c r="L52" s="4386" t="s">
        <v>2750</v>
      </c>
      <c r="M52" s="4386"/>
      <c r="N52" s="2536">
        <f ca="1">D48</f>
        <v>327511</v>
      </c>
      <c r="O52" s="2534" t="str">
        <f>E48</f>
        <v>销售额×税（费）率</v>
      </c>
      <c r="P52" s="2537">
        <f>F48</f>
        <v>5.6000000000000001E-2</v>
      </c>
      <c r="Q52" s="1308"/>
    </row>
    <row r="53" spans="1:17" ht="12" customHeight="1">
      <c r="A53" s="2081" t="s">
        <v>1793</v>
      </c>
      <c r="B53" s="4318" t="s">
        <v>2829</v>
      </c>
      <c r="C53" s="4357"/>
      <c r="D53" s="1099">
        <f ca="1">ROUND(D45*'数据-取费表'!E29/(1+'数据-取费表'!F30),0)</f>
        <v>327511</v>
      </c>
      <c r="E53" s="2091" t="s">
        <v>1791</v>
      </c>
      <c r="F53" s="2573">
        <f>'数据-取费表'!E29</f>
        <v>5.6000000000000001E-2</v>
      </c>
      <c r="G53" s="2574"/>
      <c r="H53" s="947"/>
      <c r="I53" s="2978"/>
      <c r="J53" s="2853"/>
      <c r="K53" s="2534">
        <v>2</v>
      </c>
      <c r="L53" s="4386" t="s">
        <v>2751</v>
      </c>
      <c r="M53" s="4386"/>
      <c r="N53" s="2536">
        <f t="shared" ref="N53:P54" si="1">D55</f>
        <v>0</v>
      </c>
      <c r="O53" s="2534" t="str">
        <f t="shared" si="1"/>
        <v>销售额×税（费）率</v>
      </c>
      <c r="P53" s="2537" t="str">
        <f t="shared" si="1"/>
        <v>免征</v>
      </c>
      <c r="Q53" s="1308"/>
    </row>
    <row r="54" spans="1:17" ht="12" customHeight="1">
      <c r="A54" s="2081" t="s">
        <v>1795</v>
      </c>
      <c r="B54" s="4318" t="s">
        <v>2830</v>
      </c>
      <c r="C54" s="4357"/>
      <c r="D54" s="1099">
        <f ca="1">C68</f>
        <v>327511</v>
      </c>
      <c r="E54" s="264" t="s">
        <v>1796</v>
      </c>
      <c r="F54" s="2573">
        <f>'数据-取费表'!E29</f>
        <v>5.6000000000000001E-2</v>
      </c>
      <c r="G54" s="2574"/>
      <c r="H54" s="2979"/>
      <c r="I54" s="2978"/>
      <c r="J54" s="2853"/>
      <c r="K54" s="2534">
        <v>3</v>
      </c>
      <c r="L54" s="4386" t="s">
        <v>2752</v>
      </c>
      <c r="M54" s="4386"/>
      <c r="N54" s="2536">
        <f t="shared" si="1"/>
        <v>0</v>
      </c>
      <c r="O54" s="2534" t="str">
        <f t="shared" si="1"/>
        <v>增值额×税（费）率</v>
      </c>
      <c r="P54" s="2538" t="str">
        <f t="shared" si="1"/>
        <v>免征</v>
      </c>
      <c r="Q54" s="1308"/>
    </row>
    <row r="55" spans="1:17" ht="24" customHeight="1">
      <c r="A55" s="4316" t="s">
        <v>1798</v>
      </c>
      <c r="B55" s="4317"/>
      <c r="C55" s="4317"/>
      <c r="D55" s="12">
        <f>IF(H55="个人住宅",0,ROUND(D45*I55,0))</f>
        <v>0</v>
      </c>
      <c r="E55" s="2091" t="s">
        <v>1799</v>
      </c>
      <c r="F55" s="2573" t="str">
        <f>IF(H55="正常",I55,"免征")</f>
        <v>免征</v>
      </c>
      <c r="G55" s="2574"/>
      <c r="H55" s="2565" t="s">
        <v>2733</v>
      </c>
      <c r="I55" s="74">
        <f>'数据-取费表'!E37</f>
        <v>5.0000000000000001E-4</v>
      </c>
      <c r="J55" s="2853"/>
      <c r="K55" s="2534" t="str">
        <f>IF(H59="非个人房产","",4)</f>
        <v/>
      </c>
      <c r="L55" s="4386" t="str">
        <f>IF(H59="非个人房产","——","个人所得税")</f>
        <v>——</v>
      </c>
      <c r="M55" s="4386"/>
      <c r="N55" s="2539" t="str">
        <f>D59</f>
        <v>——</v>
      </c>
      <c r="O55" s="2540" t="str">
        <f>E59</f>
        <v>——</v>
      </c>
      <c r="P55" s="2541" t="str">
        <f>F59</f>
        <v>——</v>
      </c>
      <c r="Q55" s="1308"/>
    </row>
    <row r="56" spans="1:17" ht="24.75">
      <c r="A56" s="4316" t="s">
        <v>1801</v>
      </c>
      <c r="B56" s="4317"/>
      <c r="C56" s="4317"/>
      <c r="D56" s="12">
        <f>IF(H56="个人住宅",D57,D58)</f>
        <v>0</v>
      </c>
      <c r="E56" s="2091" t="s">
        <v>1802</v>
      </c>
      <c r="F56" s="2573" t="str">
        <f>IF(H56="正常",F58,"免征")</f>
        <v>免征</v>
      </c>
      <c r="G56" s="2575" t="s">
        <v>1803</v>
      </c>
      <c r="H56" s="2576" t="s">
        <v>2733</v>
      </c>
      <c r="I56" s="2980"/>
      <c r="J56" s="2853"/>
      <c r="K56" s="2534" t="str">
        <f>IF(项目基本情况!I6="上海银行",IF(K55="",4,K55+1),"")</f>
        <v/>
      </c>
      <c r="L56" s="4400" t="str">
        <f>IF(项目基本情况!I6="上海银行","其他处置费用","")</f>
        <v/>
      </c>
      <c r="M56" s="4401"/>
      <c r="N56" s="2536" t="str">
        <f>IF(项目基本情况!I6="上海银行",N69,"")</f>
        <v/>
      </c>
      <c r="O56" s="4400" t="str">
        <f>IF(项目基本情况!I6="上海银行","包含处置中涉及的律师、诉讼、拍卖、评估等费用","")</f>
        <v/>
      </c>
      <c r="P56" s="4412"/>
      <c r="Q56" s="1308"/>
    </row>
    <row r="57" spans="1:17" ht="12.75">
      <c r="A57" s="2081" t="s">
        <v>1778</v>
      </c>
      <c r="B57" s="4318" t="s">
        <v>1804</v>
      </c>
      <c r="C57" s="4357"/>
      <c r="D57" s="2566">
        <v>0</v>
      </c>
      <c r="E57" s="261" t="s">
        <v>1780</v>
      </c>
      <c r="F57" s="235"/>
      <c r="G57" s="2574"/>
      <c r="H57" s="2980"/>
      <c r="I57" s="2980"/>
      <c r="J57" s="2853"/>
      <c r="K57" s="4386">
        <f>IF(AND(K55="",K56=""),4,IF(项目基本情况!I6="上海银行",K56+1,K55+1))</f>
        <v>4</v>
      </c>
      <c r="L57" s="4386" t="s">
        <v>2753</v>
      </c>
      <c r="M57" s="2542" t="s">
        <v>2754</v>
      </c>
      <c r="N57" s="2543"/>
      <c r="O57" s="2544">
        <f ca="1">SUMIF(N52:N56,"&lt;9e307")</f>
        <v>327511</v>
      </c>
      <c r="P57" s="2545"/>
      <c r="Q57" s="1306" t="e">
        <f ca="1">O57/N49</f>
        <v>#VALUE!</v>
      </c>
    </row>
    <row r="58" spans="1:17" ht="24.75">
      <c r="A58" s="2081" t="s">
        <v>1789</v>
      </c>
      <c r="B58" s="4318" t="s">
        <v>1807</v>
      </c>
      <c r="C58" s="4356"/>
      <c r="D58" s="12">
        <f ca="1">IF(H58="转让取得",C81,C97)</f>
        <v>3475706</v>
      </c>
      <c r="E58" s="2091" t="s">
        <v>1802</v>
      </c>
      <c r="F58" s="235" t="s">
        <v>48</v>
      </c>
      <c r="G58" s="2574"/>
      <c r="H58" s="2576" t="s">
        <v>1808</v>
      </c>
      <c r="I58" s="2980"/>
      <c r="J58" s="2853"/>
      <c r="K58" s="4386"/>
      <c r="L58" s="4386"/>
      <c r="M58" s="2542" t="s">
        <v>2755</v>
      </c>
      <c r="N58" s="2546"/>
      <c r="O58" s="2547" t="str">
        <f ca="1">IF(H19="元",NUMBERSTRING(INT(O57),2)&amp;"元整",NUMBERSTRING(INT(O57*10000),2)&amp;"元整")</f>
        <v>叁拾贰万柒仟伍佰壹拾壹元整</v>
      </c>
      <c r="P58" s="2548"/>
      <c r="Q58" s="1308"/>
    </row>
    <row r="59" spans="1:17" ht="24.75" thickBot="1">
      <c r="A59" s="4340" t="s">
        <v>1810</v>
      </c>
      <c r="B59" s="4341"/>
      <c r="C59" s="4341"/>
      <c r="D59" s="2577" t="str">
        <f>IF(H59="非个人房产","——",IF(H59="个人住宅（满五唯一有凭证）",0,IF(H59="个人其他（无凭证）",ROUND(D45*F59,0),ROUND(C67*F59,0))))</f>
        <v>——</v>
      </c>
      <c r="E59" s="2082" t="str">
        <f>IF(H59="非个人房产","——",IF(H59="个人其他（无凭证）","销售额×税（费）率",IF(H59="个人住宅（满五唯一有凭证）","免征","差额计税")))</f>
        <v>——</v>
      </c>
      <c r="F59" s="2578" t="str">
        <f>IF(OR(H59="非个人房产",H59="个人住宅（满五唯一有凭证）"),"——",IF(H59="个人其他（有凭证）",20%,1%))</f>
        <v>——</v>
      </c>
      <c r="G59" s="2823" t="s">
        <v>2808</v>
      </c>
      <c r="H59" s="2095" t="s">
        <v>2818</v>
      </c>
      <c r="I59" s="2882" t="s">
        <v>2819</v>
      </c>
      <c r="J59" s="2853"/>
      <c r="K59" s="4384">
        <f>K57+1</f>
        <v>5</v>
      </c>
      <c r="L59" s="4386" t="s">
        <v>2756</v>
      </c>
      <c r="M59" s="2534" t="s">
        <v>2754</v>
      </c>
      <c r="N59" s="2549"/>
      <c r="O59" s="2550" t="e">
        <f ca="1">N49-O57</f>
        <v>#VALUE!</v>
      </c>
      <c r="P59" s="2551"/>
      <c r="Q59" s="1308"/>
    </row>
    <row r="60" spans="1:17" ht="12" customHeight="1">
      <c r="A60" s="1457"/>
      <c r="B60" s="1461"/>
      <c r="C60" s="1461"/>
      <c r="D60" s="1461"/>
      <c r="E60" s="812"/>
      <c r="F60" s="2981"/>
      <c r="G60" s="2981"/>
      <c r="H60" s="2982"/>
      <c r="I60" s="31"/>
      <c r="K60" s="4385"/>
      <c r="L60" s="4386"/>
      <c r="M60" s="2542" t="s">
        <v>2755</v>
      </c>
      <c r="N60" s="2546"/>
      <c r="O60" s="2547" t="e">
        <f ca="1">IF(H19="元",NUMBERSTRING(INT(O59),2)&amp;"元整",NUMBERSTRING(INT(O59*10000),2)&amp;"元整")</f>
        <v>#VALUE!</v>
      </c>
      <c r="P60" s="2548"/>
      <c r="Q60" s="1308"/>
    </row>
    <row r="61" spans="1:17" ht="13.5" thickBot="1">
      <c r="A61" s="4366" t="s">
        <v>1812</v>
      </c>
      <c r="B61" s="4366"/>
      <c r="C61" s="4366"/>
      <c r="D61" s="4366"/>
      <c r="E61" s="4366"/>
      <c r="F61" s="2981"/>
      <c r="G61" s="2981"/>
      <c r="H61" s="2983"/>
      <c r="I61" s="31"/>
      <c r="K61" s="2534">
        <f>K59+1</f>
        <v>6</v>
      </c>
      <c r="L61" s="4386" t="s">
        <v>2757</v>
      </c>
      <c r="M61" s="4386"/>
      <c r="N61" s="2552"/>
      <c r="O61" s="2553" t="e">
        <f ca="1">IF(H19="元",ROUND(O59/项目基本情况!C12,0),ROUND(O59*10000/项目基本情况!C12,0))</f>
        <v>#VALUE!</v>
      </c>
      <c r="P61" s="2554"/>
      <c r="Q61" s="1308"/>
    </row>
    <row r="62" spans="1:17" ht="12.75">
      <c r="A62" s="4375" t="s">
        <v>1814</v>
      </c>
      <c r="B62" s="4376"/>
      <c r="C62" s="1606"/>
      <c r="D62" s="1606" t="s">
        <v>1815</v>
      </c>
      <c r="E62" s="45" t="s">
        <v>1816</v>
      </c>
      <c r="F62" s="2981"/>
      <c r="G62" s="2981"/>
      <c r="H62" s="2983"/>
      <c r="I62" s="31"/>
      <c r="K62" s="2555"/>
      <c r="L62" s="2555"/>
      <c r="M62" s="2555"/>
      <c r="N62" s="2555"/>
      <c r="O62" s="2555"/>
      <c r="P62" s="2555"/>
      <c r="Q62" s="1308"/>
    </row>
    <row r="63" spans="1:17" ht="12.75">
      <c r="A63" s="46">
        <v>1</v>
      </c>
      <c r="B63" s="47" t="s">
        <v>1817</v>
      </c>
      <c r="C63" s="2784">
        <f ca="1">ROUND((C64+C65)/(1+'数据-取费表'!F30),0)</f>
        <v>5848403</v>
      </c>
      <c r="D63" s="47"/>
      <c r="E63" s="48"/>
      <c r="F63" s="2981"/>
      <c r="G63" s="2981"/>
      <c r="H63" s="2983"/>
      <c r="I63" s="31"/>
      <c r="K63" s="4402" t="s">
        <v>2758</v>
      </c>
      <c r="L63" s="2556" t="s">
        <v>2759</v>
      </c>
      <c r="M63" s="2556" t="e">
        <f>IF(N49&gt;10000,N49*0.5%,IF(AND(N49&gt;1000,N49&lt;=10000),N49*1%,IF(AND(N49&gt;100,N49&lt;=1000),N49*3%,IF(AND(N49&gt;10,N49&lt;=100),N49*5%,N49*8%))))</f>
        <v>#VALUE!</v>
      </c>
      <c r="N63" s="2557" t="e">
        <f>ROUND(M63,1)</f>
        <v>#VALUE!</v>
      </c>
      <c r="O63" s="2555"/>
      <c r="P63" s="2555"/>
      <c r="Q63" s="1308"/>
    </row>
    <row r="64" spans="1:17" ht="12.75">
      <c r="A64" s="49" t="s">
        <v>71</v>
      </c>
      <c r="B64" s="50" t="s">
        <v>1820</v>
      </c>
      <c r="C64" s="2785">
        <f ca="1">D45</f>
        <v>5848403</v>
      </c>
      <c r="D64" s="50" t="s">
        <v>41</v>
      </c>
      <c r="E64" s="52"/>
      <c r="F64" s="2981"/>
      <c r="G64" s="2981"/>
      <c r="H64" s="2983"/>
      <c r="I64" s="31"/>
      <c r="K64" s="4402"/>
      <c r="L64" s="2556" t="s">
        <v>2760</v>
      </c>
      <c r="M64" s="2556" t="e">
        <f>IF(N49&gt;2000,N49*0.5%,IF(AND(N49&gt;1000,N49&lt;=2000),N49*0.6%,IF(AND(N49&gt;500,N49&lt;=1000),N49*0.7%,IF(AND(N49&gt;200,N49&lt;=500),N49*0.8%,IF(AND(N49&gt;100,N49&lt;=200),N49*0.9%,IF(AND(N49&gt;50,N49&lt;=100),N49*1%,IF(AND(N49&gt;20,N49&lt;=50),N49*1.5%,IF(AND(N49&gt;10,N49&lt;=20),N49*2%,IF(AND(N49&gt;1,N49&lt;=10),N49*2.5%)))))))))</f>
        <v>#VALUE!</v>
      </c>
      <c r="N64" s="2557" t="e">
        <f t="shared" ref="N64:N65" si="2">ROUND(M64,1)</f>
        <v>#VALUE!</v>
      </c>
      <c r="O64" s="2555" t="s">
        <v>2761</v>
      </c>
      <c r="P64" s="2555"/>
      <c r="Q64" s="1308"/>
    </row>
    <row r="65" spans="1:36" ht="12.75">
      <c r="A65" s="49" t="s">
        <v>72</v>
      </c>
      <c r="B65" s="50" t="s">
        <v>1823</v>
      </c>
      <c r="C65" s="2786"/>
      <c r="D65" s="50"/>
      <c r="E65" s="52"/>
      <c r="F65" s="2981"/>
      <c r="G65" s="2981"/>
      <c r="H65" s="2983"/>
      <c r="I65" s="31"/>
      <c r="K65" s="4402"/>
      <c r="L65" s="2556" t="s">
        <v>2762</v>
      </c>
      <c r="M65" s="2556" t="e">
        <f>IF(N49&gt;1000,N49*0.1%,IF(AND(N49&gt;500,N49&lt;=1000),N49*0.5%,IF(AND(N49&gt;50,N49&lt;=500),N49*1%,IF(AND(N49&gt;1,N49&lt;=50),N49*1.5%))))</f>
        <v>#VALUE!</v>
      </c>
      <c r="N65" s="2557" t="e">
        <f t="shared" si="2"/>
        <v>#VALUE!</v>
      </c>
      <c r="O65" s="2555" t="s">
        <v>2761</v>
      </c>
      <c r="P65" s="2555"/>
      <c r="Q65" s="1308"/>
    </row>
    <row r="66" spans="1:36" ht="12.75">
      <c r="A66" s="53" t="s">
        <v>47</v>
      </c>
      <c r="B66" s="54" t="s">
        <v>1825</v>
      </c>
      <c r="C66" s="2787"/>
      <c r="D66" s="54" t="s">
        <v>41</v>
      </c>
      <c r="E66" s="1316" t="s">
        <v>1826</v>
      </c>
      <c r="F66" s="2981"/>
      <c r="G66" s="2981"/>
      <c r="H66" s="2983"/>
      <c r="I66" s="31"/>
      <c r="K66" s="4402"/>
      <c r="L66" s="2556" t="s">
        <v>2763</v>
      </c>
      <c r="M66" s="2556" t="e">
        <f>N49*0.5%</f>
        <v>#VALUE!</v>
      </c>
      <c r="N66" s="2557" t="e">
        <f>IF(M66&gt;0.5,0.5,ROUND(M66,0))</f>
        <v>#VALUE!</v>
      </c>
      <c r="O66" s="2555" t="s">
        <v>2764</v>
      </c>
      <c r="P66" s="2555"/>
      <c r="Q66" s="1308"/>
    </row>
    <row r="67" spans="1:36" ht="12.75">
      <c r="A67" s="53" t="s">
        <v>42</v>
      </c>
      <c r="B67" s="54" t="s">
        <v>1829</v>
      </c>
      <c r="C67" s="2788">
        <f ca="1">C63-C66</f>
        <v>5848403</v>
      </c>
      <c r="D67" s="50" t="s">
        <v>41</v>
      </c>
      <c r="E67" s="52"/>
      <c r="F67" s="2981"/>
      <c r="G67" s="2981"/>
      <c r="H67" s="2983"/>
      <c r="I67" s="31"/>
      <c r="K67" s="4402"/>
      <c r="L67" s="2556" t="s">
        <v>2765</v>
      </c>
      <c r="M67" s="2556" t="e">
        <f>IF(N49&gt;=10000,(8.25+(N49-10000)*0.01%),IF(AND(N49&gt;=8000,N49&lt;10000),(7.85+(N49-8000)*0.02%),IF(AND(N49&gt;=5000,N49&lt;8000),(6.65+(N49-5000)*0.04%),IF(AND(N49&gt;=2000,N49&lt;5000),(4.25+(PN49-2000)*0.08%),IF(AND(N49&gt;=1000,N49&lt;2000),(2.75+(N49-1000)*0.15%),IF(AND(N49&gt;=100,N49&lt;1000),(0.5+(N49-100)*0.25%),IF(AND(N49&gt;0,N49&lt;100),N49*0.5%)))))))</f>
        <v>#VALUE!</v>
      </c>
      <c r="N67" s="2557" t="e">
        <f>ROUND(M67*0.9,1)</f>
        <v>#VALUE!</v>
      </c>
      <c r="O67" s="2555"/>
      <c r="P67" s="2555"/>
      <c r="Q67" s="1308"/>
    </row>
    <row r="68" spans="1:36" ht="13.5" thickBot="1">
      <c r="A68" s="55" t="s">
        <v>46</v>
      </c>
      <c r="B68" s="56" t="s">
        <v>1831</v>
      </c>
      <c r="C68" s="2789">
        <f ca="1">IF(C67&lt;=0,0,ROUND(C67*D68,0))</f>
        <v>327511</v>
      </c>
      <c r="D68" s="2241">
        <f>'数据-取费表'!E29</f>
        <v>5.6000000000000001E-2</v>
      </c>
      <c r="E68" s="57"/>
      <c r="F68" s="2981"/>
      <c r="G68" s="2981"/>
      <c r="H68" s="2983"/>
      <c r="I68" s="31"/>
      <c r="K68" s="4402"/>
      <c r="L68" s="2556" t="s">
        <v>2766</v>
      </c>
      <c r="M68" s="2556" t="e">
        <f>IF(N49&gt;10000,N49*0.5%,IF(AND(N49&gt;5000,N49&lt;=10000),N49*1%,IF(AND(N49&gt;1000,N49&lt;=5000),N49*2%,IF(AND(N49&gt;200,N49&lt;=1000),N49*3%,N49*5%))))</f>
        <v>#VALUE!</v>
      </c>
      <c r="N68" s="2557" t="e">
        <f>ROUND(M68,1)</f>
        <v>#VALUE!</v>
      </c>
      <c r="O68" s="2555"/>
      <c r="P68" s="2555"/>
      <c r="Q68" s="1308"/>
    </row>
    <row r="69" spans="1:36" s="1465" customFormat="1" ht="7.5" customHeight="1">
      <c r="A69" s="1477"/>
      <c r="B69" s="1478"/>
      <c r="C69" s="1479"/>
      <c r="D69" s="1480"/>
      <c r="E69" s="1481"/>
      <c r="F69" s="812"/>
      <c r="G69" s="812"/>
      <c r="H69" s="1470"/>
      <c r="I69" s="1461"/>
      <c r="J69" s="2841"/>
      <c r="K69" s="4402"/>
      <c r="L69" s="2556" t="s">
        <v>54</v>
      </c>
      <c r="M69" s="2556"/>
      <c r="N69" s="2557" t="e">
        <f>ROUND(SUM(N63:N68),0)</f>
        <v>#VALUE!</v>
      </c>
      <c r="O69" s="2558" t="e">
        <f>N69/N49</f>
        <v>#VALUE!</v>
      </c>
      <c r="P69" s="2555"/>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3" customFormat="1" ht="15" thickBot="1">
      <c r="A70" s="4378" t="s">
        <v>1834</v>
      </c>
      <c r="B70" s="4379"/>
      <c r="C70" s="4379"/>
      <c r="D70" s="4379"/>
      <c r="E70" s="4379"/>
      <c r="F70" s="4379"/>
      <c r="G70" s="4379"/>
      <c r="H70" s="4379"/>
      <c r="I70" s="1482"/>
      <c r="J70" s="2854"/>
      <c r="P70" s="976"/>
      <c r="Q70" s="976"/>
      <c r="R70" s="976"/>
      <c r="S70" s="976"/>
      <c r="T70" s="976"/>
      <c r="U70" s="976"/>
      <c r="V70" s="976"/>
      <c r="W70" s="976"/>
      <c r="X70" s="976"/>
      <c r="Y70" s="976"/>
      <c r="Z70" s="976"/>
      <c r="AA70" s="976"/>
      <c r="AB70" s="1484"/>
      <c r="AC70" s="1484"/>
      <c r="AD70" s="1484"/>
      <c r="AE70" s="1484"/>
      <c r="AF70" s="1484"/>
      <c r="AG70" s="1484"/>
      <c r="AH70" s="1484"/>
      <c r="AI70" s="1484"/>
      <c r="AJ70" s="1484"/>
    </row>
    <row r="71" spans="1:36" s="1483" customFormat="1" ht="14.25">
      <c r="A71" s="4375" t="s">
        <v>1814</v>
      </c>
      <c r="B71" s="4376"/>
      <c r="C71" s="1606"/>
      <c r="D71" s="1606" t="s">
        <v>1815</v>
      </c>
      <c r="E71" s="58" t="s">
        <v>1816</v>
      </c>
      <c r="F71" s="59"/>
      <c r="G71" s="59"/>
      <c r="H71" s="60"/>
      <c r="I71" s="1485"/>
      <c r="J71" s="2855"/>
      <c r="P71" s="976"/>
      <c r="Q71" s="976"/>
      <c r="R71" s="976"/>
      <c r="S71" s="976"/>
      <c r="T71" s="976"/>
      <c r="U71" s="976"/>
      <c r="V71" s="976"/>
      <c r="W71" s="976"/>
      <c r="X71" s="976"/>
      <c r="Y71" s="976"/>
      <c r="Z71" s="976"/>
      <c r="AA71" s="976"/>
      <c r="AB71" s="1484"/>
      <c r="AC71" s="1484"/>
      <c r="AD71" s="1484"/>
      <c r="AE71" s="1484"/>
      <c r="AF71" s="1484"/>
      <c r="AG71" s="1484"/>
      <c r="AH71" s="1484"/>
      <c r="AI71" s="1484"/>
      <c r="AJ71" s="1484"/>
    </row>
    <row r="72" spans="1:36" s="1483" customFormat="1" ht="14.25">
      <c r="A72" s="61">
        <v>1</v>
      </c>
      <c r="B72" s="54" t="s">
        <v>1835</v>
      </c>
      <c r="C72" s="2788">
        <f ca="1">ROUND(D45/(1+'数据-取费表'!F30),0)</f>
        <v>5848403</v>
      </c>
      <c r="D72" s="50" t="s">
        <v>41</v>
      </c>
      <c r="E72" s="12" t="s">
        <v>1836</v>
      </c>
      <c r="F72" s="2088"/>
      <c r="G72" s="2088"/>
      <c r="H72" s="62"/>
      <c r="I72" s="1485"/>
      <c r="J72" s="2855"/>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63">
        <v>2</v>
      </c>
      <c r="B73" s="41" t="s">
        <v>1837</v>
      </c>
      <c r="C73" s="2788">
        <f ca="1">C74+C78</f>
        <v>35090</v>
      </c>
      <c r="D73" s="50" t="s">
        <v>41</v>
      </c>
      <c r="E73" s="2087"/>
      <c r="F73" s="2088"/>
      <c r="G73" s="2088"/>
      <c r="H73" s="62"/>
      <c r="I73" s="1485"/>
      <c r="J73" s="2855"/>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24">
      <c r="A74" s="49" t="s">
        <v>73</v>
      </c>
      <c r="B74" s="50" t="s">
        <v>1838</v>
      </c>
      <c r="C74" s="50">
        <f>ROUND(IF(G77="2016年5月1日后购买",C75/(1+'数据-取费表'!F30)+C76+C77,C75+C76+C77),0)</f>
        <v>0</v>
      </c>
      <c r="D74" s="50" t="s">
        <v>41</v>
      </c>
      <c r="E74" s="2087"/>
      <c r="F74" s="2088"/>
      <c r="G74" s="2088"/>
      <c r="H74" s="62"/>
      <c r="I74" s="1485"/>
      <c r="J74" s="2855"/>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49" t="s">
        <v>74</v>
      </c>
      <c r="B75" s="50" t="s">
        <v>1839</v>
      </c>
      <c r="C75" s="2267"/>
      <c r="D75" s="50" t="s">
        <v>41</v>
      </c>
      <c r="E75" s="64" t="s">
        <v>1840</v>
      </c>
      <c r="F75" s="2792" t="s">
        <v>1841</v>
      </c>
      <c r="G75" s="64" t="s">
        <v>1842</v>
      </c>
      <c r="H75" s="2793"/>
      <c r="I75" s="9"/>
      <c r="J75" s="2856"/>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24.75" customHeight="1">
      <c r="A76" s="49" t="s">
        <v>75</v>
      </c>
      <c r="B76" s="65" t="s">
        <v>1843</v>
      </c>
      <c r="C76" s="50">
        <f>IF(F75="购房发票",ROUND(C75*H75*D76,0),0)</f>
        <v>0</v>
      </c>
      <c r="D76" s="2794">
        <v>0.05</v>
      </c>
      <c r="E76" s="4318" t="s">
        <v>1844</v>
      </c>
      <c r="F76" s="4356"/>
      <c r="G76" s="4356"/>
      <c r="H76" s="4370"/>
      <c r="I76" s="1485"/>
      <c r="J76" s="2855"/>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24.75" customHeight="1">
      <c r="A77" s="49" t="s">
        <v>76</v>
      </c>
      <c r="B77" s="50" t="s">
        <v>1845</v>
      </c>
      <c r="C77" s="50">
        <f>ROUND(IF(G77="个人住宅",0,IF(G77="2016年5月1日前购买",C75*D77,C75*D77/(1+'数据-取费表'!F30))),0)</f>
        <v>0</v>
      </c>
      <c r="D77" s="2795">
        <f>'数据-取费表'!E36+'数据-取费表'!E37</f>
        <v>3.0499999999999999E-2</v>
      </c>
      <c r="E77" s="12" t="s">
        <v>1846</v>
      </c>
      <c r="F77" s="2094"/>
      <c r="G77" s="1486" t="s">
        <v>1847</v>
      </c>
      <c r="H77" s="2089" t="str">
        <f>IF(G77="个人买卖住房","免征印花税"," ")</f>
        <v xml:space="preserve"> </v>
      </c>
      <c r="I77" s="1485"/>
      <c r="J77" s="2855"/>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77</v>
      </c>
      <c r="B78" s="50" t="s">
        <v>1848</v>
      </c>
      <c r="C78" s="2796">
        <f ca="1">ROUND(D45*D78/(1+'数据-取费表'!F30),0)</f>
        <v>35090</v>
      </c>
      <c r="D78" s="2797">
        <f>'数据-取费表'!E31</f>
        <v>6.000000000000001E-3</v>
      </c>
      <c r="E78" s="4350" t="s">
        <v>1849</v>
      </c>
      <c r="F78" s="4351"/>
      <c r="G78" s="4351"/>
      <c r="H78" s="4352"/>
      <c r="I78" s="1487"/>
      <c r="J78" s="2857"/>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14.25">
      <c r="A79" s="53" t="s">
        <v>42</v>
      </c>
      <c r="B79" s="54" t="s">
        <v>1850</v>
      </c>
      <c r="C79" s="2788">
        <f ca="1">C72-C73</f>
        <v>5813313</v>
      </c>
      <c r="D79" s="50" t="s">
        <v>41</v>
      </c>
      <c r="E79" s="2087"/>
      <c r="F79" s="2088"/>
      <c r="G79" s="2088"/>
      <c r="H79" s="62"/>
      <c r="I79" s="1485"/>
      <c r="J79" s="2855"/>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
      <c r="A80" s="53" t="s">
        <v>43</v>
      </c>
      <c r="B80" s="54" t="s">
        <v>1851</v>
      </c>
      <c r="C80" s="2798">
        <f ca="1">IF(C79&lt;=0,0,C79/C73)</f>
        <v>165.66865203761756</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8"/>
      <c r="G80" s="2088"/>
      <c r="H80" s="62"/>
      <c r="I80" s="1485"/>
      <c r="J80" s="2855"/>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24.75" thickBot="1">
      <c r="A81" s="55" t="s">
        <v>44</v>
      </c>
      <c r="B81" s="56" t="s">
        <v>1852</v>
      </c>
      <c r="C81" s="2799">
        <f ca="1">ROUND(IF(C79&lt;=0,0,IF(C80&gt;=200%,C79*60%-C73*35%,IF(C80&gt;=100%,C79*50%-C73*15%,IF(C80&gt;=50%,C79*40%-C73*5%,IF(C80&lt;50%,C79*30%,0))))),0)</f>
        <v>3475706</v>
      </c>
      <c r="D81" s="2171"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5"/>
      <c r="J81" s="2855"/>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7.5" customHeight="1">
      <c r="A82" s="607"/>
      <c r="B82" s="608"/>
      <c r="C82" s="9"/>
      <c r="D82" s="9"/>
      <c r="E82" s="608"/>
      <c r="F82" s="608"/>
      <c r="G82" s="608"/>
      <c r="H82" s="609"/>
      <c r="I82" s="1487"/>
      <c r="J82" s="2857"/>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4378" t="s">
        <v>1853</v>
      </c>
      <c r="B83" s="4379"/>
      <c r="C83" s="4379"/>
      <c r="D83" s="4379"/>
      <c r="E83" s="4379"/>
      <c r="F83" s="4379"/>
      <c r="G83" s="4379"/>
      <c r="H83" s="4379"/>
      <c r="I83" s="9"/>
      <c r="J83" s="2856"/>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14.25">
      <c r="A84" s="4375" t="s">
        <v>1814</v>
      </c>
      <c r="B84" s="4376"/>
      <c r="C84" s="1606"/>
      <c r="D84" s="1606" t="s">
        <v>1815</v>
      </c>
      <c r="E84" s="58" t="s">
        <v>1816</v>
      </c>
      <c r="F84" s="59"/>
      <c r="G84" s="59"/>
      <c r="H84" s="72"/>
      <c r="I84" s="9"/>
      <c r="J84" s="2856"/>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24">
      <c r="A85" s="61">
        <v>1</v>
      </c>
      <c r="B85" s="54" t="s">
        <v>1835</v>
      </c>
      <c r="C85" s="2788">
        <f ca="1">ROUND(D45/(1+'数据-取费表'!F30),0)</f>
        <v>5848403</v>
      </c>
      <c r="D85" s="50" t="s">
        <v>41</v>
      </c>
      <c r="E85" s="2087" t="s">
        <v>1836</v>
      </c>
      <c r="F85" s="2088"/>
      <c r="G85" s="2088"/>
      <c r="H85" s="73"/>
      <c r="I85" s="9"/>
      <c r="J85" s="2856"/>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63">
        <v>2</v>
      </c>
      <c r="B86" s="41" t="s">
        <v>1837</v>
      </c>
      <c r="C86" s="2788">
        <f ca="1">IF(H88="仅含出让金",C87+C90+C91+C92+C93+C94,C87+C91+C92+C93+C94)</f>
        <v>35090</v>
      </c>
      <c r="D86" s="2800"/>
      <c r="E86" s="2087"/>
      <c r="F86" s="2088"/>
      <c r="G86" s="2088"/>
      <c r="H86" s="73"/>
      <c r="I86" s="9"/>
      <c r="J86" s="2856"/>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49" t="s">
        <v>73</v>
      </c>
      <c r="B87" s="50" t="s">
        <v>1854</v>
      </c>
      <c r="C87" s="2796">
        <f>C88+C89</f>
        <v>0</v>
      </c>
      <c r="D87" s="2797"/>
      <c r="E87" s="2084"/>
      <c r="F87" s="2085"/>
      <c r="G87" s="2085"/>
      <c r="H87" s="2086"/>
      <c r="I87" s="9"/>
      <c r="J87" s="2856"/>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49" t="s">
        <v>74</v>
      </c>
      <c r="B88" s="50" t="s">
        <v>1855</v>
      </c>
      <c r="C88" s="2801"/>
      <c r="D88" s="2797"/>
      <c r="E88" s="74" t="s">
        <v>1856</v>
      </c>
      <c r="F88" s="2085"/>
      <c r="G88" s="75" t="s">
        <v>1857</v>
      </c>
      <c r="H88" s="1488"/>
      <c r="I88" s="9"/>
      <c r="J88" s="2856"/>
      <c r="K88" s="2972" t="s">
        <v>2812</v>
      </c>
      <c r="L88" s="1484"/>
      <c r="M88" s="1484"/>
      <c r="N88" s="1484"/>
      <c r="O88" s="1484"/>
      <c r="P88" s="1484"/>
      <c r="Q88" s="1484"/>
      <c r="R88" s="1484"/>
      <c r="S88" s="1484"/>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75</v>
      </c>
      <c r="B89" s="50" t="s">
        <v>1845</v>
      </c>
      <c r="C89" s="2796">
        <f>ROUND(C88*D89,0)</f>
        <v>0</v>
      </c>
      <c r="D89" s="2797">
        <f>'数据-取费表'!E36+'数据-取费表'!E37</f>
        <v>3.0499999999999999E-2</v>
      </c>
      <c r="E89" s="74" t="s">
        <v>1858</v>
      </c>
      <c r="F89" s="2085"/>
      <c r="G89" s="2085"/>
      <c r="H89" s="2086"/>
      <c r="I89" s="9"/>
      <c r="J89" s="2856"/>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24" customHeight="1">
      <c r="A90" s="49" t="s">
        <v>77</v>
      </c>
      <c r="B90" s="50" t="s">
        <v>1859</v>
      </c>
      <c r="C90" s="2801"/>
      <c r="D90" s="2797"/>
      <c r="E90" s="74" t="str">
        <f>IF(H88="-","土地取得成本中已包含该笔费用"," ")</f>
        <v xml:space="preserve"> </v>
      </c>
      <c r="F90" s="2085"/>
      <c r="G90" s="4411" t="s">
        <v>2728</v>
      </c>
      <c r="H90" s="4411"/>
      <c r="I90" s="9"/>
      <c r="J90" s="2856"/>
      <c r="K90" s="2972" t="s">
        <v>2813</v>
      </c>
      <c r="L90" s="1484"/>
      <c r="M90" s="1484"/>
      <c r="N90" s="1484"/>
      <c r="O90" s="1484"/>
      <c r="P90" s="1484"/>
      <c r="Q90" s="1484"/>
      <c r="R90" s="1484"/>
      <c r="S90" s="1484"/>
      <c r="T90" s="1484"/>
      <c r="U90" s="976"/>
      <c r="V90" s="976"/>
      <c r="W90" s="976"/>
      <c r="X90" s="976"/>
      <c r="Y90" s="976"/>
      <c r="Z90" s="976"/>
      <c r="AA90" s="976"/>
      <c r="AB90" s="1484"/>
      <c r="AC90" s="1484"/>
      <c r="AD90" s="1484"/>
      <c r="AE90" s="1484"/>
      <c r="AF90" s="1484"/>
      <c r="AG90" s="1484"/>
      <c r="AH90" s="1484"/>
      <c r="AI90" s="1484"/>
      <c r="AJ90" s="1484"/>
    </row>
    <row r="91" spans="1:36" s="1483" customFormat="1" ht="30.75" customHeight="1">
      <c r="A91" s="49" t="s">
        <v>78</v>
      </c>
      <c r="B91" s="50" t="s">
        <v>1860</v>
      </c>
      <c r="C91" s="2796">
        <f>IF(H91="——",成本法!C33,I91)</f>
        <v>0</v>
      </c>
      <c r="D91" s="2797"/>
      <c r="E91" s="4350" t="s">
        <v>1861</v>
      </c>
      <c r="F91" s="4351"/>
      <c r="G91" s="4351"/>
      <c r="H91" s="1489" t="s">
        <v>1862</v>
      </c>
      <c r="I91" s="1490"/>
      <c r="J91" s="2858"/>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25.5" customHeight="1">
      <c r="A92" s="49" t="s">
        <v>79</v>
      </c>
      <c r="B92" s="50" t="s">
        <v>1863</v>
      </c>
      <c r="C92" s="2796">
        <f>ROUND((C87+C90+C91)*D92,0)</f>
        <v>0</v>
      </c>
      <c r="D92" s="2840">
        <v>0.1</v>
      </c>
      <c r="E92" s="4350" t="s">
        <v>1864</v>
      </c>
      <c r="F92" s="4351"/>
      <c r="G92" s="4351"/>
      <c r="H92" s="4352"/>
      <c r="I92" s="9"/>
      <c r="J92" s="2856"/>
      <c r="K92" s="2973" t="s">
        <v>2814</v>
      </c>
      <c r="L92" s="1484"/>
      <c r="M92" s="1484"/>
      <c r="N92" s="1484"/>
      <c r="O92" s="1484"/>
      <c r="P92" s="1484"/>
      <c r="Q92" s="976"/>
      <c r="R92" s="976"/>
      <c r="S92" s="976"/>
      <c r="T92" s="976"/>
      <c r="U92" s="976"/>
      <c r="V92" s="976"/>
      <c r="W92" s="976"/>
      <c r="X92" s="976"/>
      <c r="Y92" s="976"/>
      <c r="Z92" s="976"/>
      <c r="AA92" s="976"/>
      <c r="AB92" s="1484"/>
      <c r="AC92" s="1484"/>
      <c r="AD92" s="1484"/>
      <c r="AE92" s="1484"/>
      <c r="AF92" s="1484"/>
      <c r="AG92" s="1484"/>
      <c r="AH92" s="1484"/>
      <c r="AI92" s="1484"/>
      <c r="AJ92" s="1484"/>
    </row>
    <row r="93" spans="1:36" s="1483" customFormat="1" ht="25.5" customHeight="1">
      <c r="A93" s="49" t="s">
        <v>80</v>
      </c>
      <c r="B93" s="50" t="s">
        <v>1848</v>
      </c>
      <c r="C93" s="2796">
        <f ca="1">ROUND(D45*D93/(1+'数据-取费表'!F30),0)</f>
        <v>35090</v>
      </c>
      <c r="D93" s="2797">
        <f>'数据-取费表'!E31</f>
        <v>6.000000000000001E-3</v>
      </c>
      <c r="E93" s="4350" t="s">
        <v>1849</v>
      </c>
      <c r="F93" s="4351"/>
      <c r="G93" s="4351"/>
      <c r="H93" s="4352"/>
      <c r="I93" s="9"/>
      <c r="J93" s="2856"/>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81</v>
      </c>
      <c r="B94" s="50" t="s">
        <v>1865</v>
      </c>
      <c r="C94" s="2796">
        <f>ROUND((C87+C90+C91)*D94,0)</f>
        <v>0</v>
      </c>
      <c r="D94" s="2797">
        <v>0.2</v>
      </c>
      <c r="E94" s="4350" t="s">
        <v>1866</v>
      </c>
      <c r="F94" s="4351"/>
      <c r="G94" s="4351"/>
      <c r="H94" s="4352"/>
      <c r="I94" s="9"/>
      <c r="J94" s="2856"/>
      <c r="K94" s="976"/>
      <c r="L94" s="976"/>
      <c r="M94" s="976"/>
      <c r="N94" s="976"/>
      <c r="O94" s="976"/>
      <c r="P94" s="976"/>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14.25">
      <c r="A95" s="53" t="s">
        <v>42</v>
      </c>
      <c r="B95" s="54" t="s">
        <v>1850</v>
      </c>
      <c r="C95" s="2788">
        <f ca="1">ROUND(C85-C86,0)</f>
        <v>5813313</v>
      </c>
      <c r="D95" s="50" t="s">
        <v>41</v>
      </c>
      <c r="E95" s="2087"/>
      <c r="F95" s="2088"/>
      <c r="G95" s="2088"/>
      <c r="H95" s="73"/>
      <c r="I95" s="9"/>
      <c r="J95" s="2856"/>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4">
      <c r="A96" s="53" t="s">
        <v>43</v>
      </c>
      <c r="B96" s="54" t="s">
        <v>1851</v>
      </c>
      <c r="C96" s="2798">
        <f ca="1">IF(C95&lt;=0,0,C95/C86)</f>
        <v>165.66865203761756</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8"/>
      <c r="G96" s="2088"/>
      <c r="H96" s="73"/>
      <c r="I96" s="9"/>
      <c r="J96" s="2856"/>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24.75" thickBot="1">
      <c r="A97" s="55" t="s">
        <v>44</v>
      </c>
      <c r="B97" s="56" t="s">
        <v>1852</v>
      </c>
      <c r="C97" s="2799">
        <f ca="1">ROUND(IF(C95&lt;=0,0,IF(C96&gt;=200%,C95*60%-C86*35%,IF(C96&gt;=100%,C95*50%-C86*15%,IF(C96&gt;=50%,C95*40%-C86*5%,IF(C96&lt;50%,C95*30%,0))))),0)</f>
        <v>3475706</v>
      </c>
      <c r="D97" s="2171"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6"/>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ht="21.75" customHeight="1" thickBot="1">
      <c r="A98" s="1471" t="s">
        <v>1867</v>
      </c>
      <c r="B98" s="1461"/>
      <c r="C98" s="1461"/>
      <c r="D98" s="1461"/>
      <c r="E98" s="812"/>
      <c r="F98" s="812"/>
      <c r="G98" s="812"/>
      <c r="H98" s="1470"/>
      <c r="I98" s="1461"/>
    </row>
    <row r="99" spans="1:36" ht="15.75">
      <c r="A99" s="4397" t="s">
        <v>1868</v>
      </c>
      <c r="B99" s="4398"/>
      <c r="C99" s="4398"/>
      <c r="D99" s="4399"/>
      <c r="E99" s="1461"/>
      <c r="F99" s="4406" t="s">
        <v>1869</v>
      </c>
      <c r="G99" s="4407"/>
      <c r="H99" s="4407"/>
      <c r="I99" s="4408"/>
      <c r="J99" s="2859"/>
    </row>
    <row r="100" spans="1:36" ht="15">
      <c r="A100" s="4409" t="s">
        <v>1870</v>
      </c>
      <c r="B100" s="4410"/>
      <c r="C100" s="1307" t="str">
        <f>C4</f>
        <v>成本法</v>
      </c>
      <c r="D100" s="2807" t="str">
        <f>D4</f>
        <v>收益法</v>
      </c>
      <c r="E100" s="1461"/>
      <c r="F100" s="4321" t="s">
        <v>2772</v>
      </c>
      <c r="G100" s="4322"/>
      <c r="H100" s="4321" t="s">
        <v>2773</v>
      </c>
      <c r="I100" s="4320"/>
      <c r="J100" s="2860"/>
    </row>
    <row r="101" spans="1:36" ht="12.75">
      <c r="A101" s="4389" t="s">
        <v>2805</v>
      </c>
      <c r="B101" s="2305" t="str">
        <f>IF(H19="元","总价（元）","总价（万元）")</f>
        <v>总价（元）</v>
      </c>
      <c r="C101" s="1307">
        <f ca="1">C19</f>
        <v>9337205</v>
      </c>
      <c r="D101" s="2807">
        <f ca="1">D19</f>
        <v>-2292766</v>
      </c>
      <c r="E101" s="1461"/>
      <c r="F101" s="4321" t="str">
        <f>项目基本情况!I1</f>
        <v>北京市房地产</v>
      </c>
      <c r="G101" s="4322"/>
      <c r="H101" s="4319">
        <f>项目基本情况!C12</f>
        <v>1088.48</v>
      </c>
      <c r="I101" s="4320"/>
      <c r="J101" s="2860"/>
    </row>
    <row r="102" spans="1:36" ht="12.75">
      <c r="A102" s="4389"/>
      <c r="B102" s="2305" t="s">
        <v>2806</v>
      </c>
      <c r="C102" s="2808">
        <f ca="1">C20</f>
        <v>8578</v>
      </c>
      <c r="D102" s="2809">
        <f ca="1">D20</f>
        <v>-2106</v>
      </c>
      <c r="E102" s="1461"/>
      <c r="F102" s="4331" t="s">
        <v>2802</v>
      </c>
      <c r="G102" s="4332"/>
      <c r="H102" s="2817" t="str">
        <f>C106</f>
        <v>总价（元）</v>
      </c>
      <c r="I102" s="2818">
        <f ca="1">H121</f>
        <v>5848403</v>
      </c>
      <c r="J102" s="2860"/>
    </row>
    <row r="103" spans="1:36" ht="12.75">
      <c r="A103" s="4389" t="s">
        <v>2807</v>
      </c>
      <c r="B103" s="2244" t="str">
        <f>B101</f>
        <v>总价（元）</v>
      </c>
      <c r="C103" s="2812">
        <f ca="1">H121</f>
        <v>5848403</v>
      </c>
      <c r="D103" s="2810"/>
      <c r="E103" s="1461"/>
      <c r="F103" s="4331"/>
      <c r="G103" s="4332"/>
      <c r="H103" s="2817" t="s">
        <v>2775</v>
      </c>
      <c r="I103" s="52">
        <f ca="1">I121</f>
        <v>5373</v>
      </c>
      <c r="J103" s="2844"/>
    </row>
    <row r="104" spans="1:36" ht="13.5" thickBot="1">
      <c r="A104" s="4390"/>
      <c r="B104" s="2814" t="s">
        <v>2806</v>
      </c>
      <c r="C104" s="2815">
        <f ca="1">I121</f>
        <v>5373</v>
      </c>
      <c r="D104" s="2816"/>
      <c r="E104" s="1461"/>
      <c r="F104" s="4331"/>
      <c r="G104" s="4332"/>
      <c r="H104" s="4391"/>
      <c r="I104" s="4392"/>
      <c r="J104" s="2861"/>
    </row>
    <row r="105" spans="1:36" ht="15">
      <c r="A105" s="4397" t="s">
        <v>1871</v>
      </c>
      <c r="B105" s="4398"/>
      <c r="C105" s="4398"/>
      <c r="D105" s="4399"/>
      <c r="E105" s="1461"/>
      <c r="F105" s="4395" t="s">
        <v>2776</v>
      </c>
      <c r="G105" s="4396"/>
      <c r="H105" s="2819" t="str">
        <f>C108</f>
        <v>总额（元）</v>
      </c>
      <c r="I105" s="2818">
        <f>SUMIF(I106:I108,"&lt;9E307")</f>
        <v>0</v>
      </c>
      <c r="J105" s="2860"/>
    </row>
    <row r="106" spans="1:36" ht="14.25">
      <c r="A106" s="4331" t="s">
        <v>2799</v>
      </c>
      <c r="B106" s="4332"/>
      <c r="C106" s="2817" t="str">
        <f>B101</f>
        <v>总价（元）</v>
      </c>
      <c r="D106" s="2818">
        <f ca="1">H121</f>
        <v>5848403</v>
      </c>
      <c r="E106" s="1461"/>
      <c r="F106" s="4333" t="s">
        <v>2777</v>
      </c>
      <c r="G106" s="4334"/>
      <c r="H106" s="2819" t="str">
        <f>C109</f>
        <v>总额（元）</v>
      </c>
      <c r="I106" s="2820">
        <f>IF(D36="同一抵押权人同一抵押物续贷",C36&amp;"（续贷，未扣减，详见特别提示）",C36)</f>
        <v>0</v>
      </c>
      <c r="J106" s="2844"/>
      <c r="L106" s="1464" t="str">
        <f>IF(D123=0,"本次评估不存在"&amp;A123&amp;"。","本次评估"&amp;A123&amp;"为"&amp;D123&amp;"元人民币。")</f>
        <v>本次评估不存在——。</v>
      </c>
      <c r="M106" s="1461"/>
      <c r="N106" s="1461"/>
      <c r="O106" s="1461"/>
      <c r="P106" s="1461"/>
      <c r="Q106" s="1461"/>
    </row>
    <row r="107" spans="1:36" ht="12.75">
      <c r="A107" s="4331"/>
      <c r="B107" s="4332"/>
      <c r="C107" s="2817" t="s">
        <v>2800</v>
      </c>
      <c r="D107" s="52">
        <f ca="1">I121</f>
        <v>5373</v>
      </c>
      <c r="E107" s="1461"/>
      <c r="F107" s="4333" t="s">
        <v>2778</v>
      </c>
      <c r="G107" s="4334"/>
      <c r="H107" s="2819" t="str">
        <f>C110</f>
        <v>总额（元）</v>
      </c>
      <c r="I107" s="52">
        <f>C37</f>
        <v>0</v>
      </c>
      <c r="J107" s="2844"/>
    </row>
    <row r="108" spans="1:36" ht="12.75">
      <c r="A108" s="4338" t="s">
        <v>2776</v>
      </c>
      <c r="B108" s="4339"/>
      <c r="C108" s="2819" t="str">
        <f>IF(H19="元","总额（元）","总额（万元）")</f>
        <v>总额（元）</v>
      </c>
      <c r="D108" s="2818">
        <f>IF(D36="正常操作",I106+I107+I108,I107+I108)</f>
        <v>0</v>
      </c>
      <c r="E108" s="1461"/>
      <c r="F108" s="4333" t="s">
        <v>2803</v>
      </c>
      <c r="G108" s="4334"/>
      <c r="H108" s="2819" t="str">
        <f>C111</f>
        <v>总额（元）</v>
      </c>
      <c r="I108" s="52">
        <f>C38</f>
        <v>0</v>
      </c>
      <c r="J108" s="2844"/>
    </row>
    <row r="109" spans="1:36" ht="12.75">
      <c r="A109" s="4333" t="s">
        <v>2777</v>
      </c>
      <c r="B109" s="4334"/>
      <c r="C109" s="2819" t="str">
        <f>C108</f>
        <v>总额（元）</v>
      </c>
      <c r="D109" s="52">
        <f>IF(D36="同一抵押权人同一抵押物续贷",C36&amp;"（未扣减，详见特别提示）",C36)</f>
        <v>0</v>
      </c>
      <c r="E109" s="1461"/>
      <c r="F109" s="4331"/>
      <c r="G109" s="4332"/>
      <c r="H109" s="4393"/>
      <c r="I109" s="4394"/>
      <c r="J109" s="2862"/>
    </row>
    <row r="110" spans="1:36" ht="28.5" customHeight="1">
      <c r="A110" s="4333" t="s">
        <v>2801</v>
      </c>
      <c r="B110" s="4334"/>
      <c r="C110" s="2819" t="str">
        <f>C108</f>
        <v>总额（元）</v>
      </c>
      <c r="D110" s="52">
        <f>C37</f>
        <v>0</v>
      </c>
      <c r="E110" s="1461"/>
      <c r="F110" s="4323" t="str">
        <f>IF(项目基本情况!F5="已注销","——","3.房地产抵押价值")</f>
        <v>3.房地产抵押价值</v>
      </c>
      <c r="G110" s="4324"/>
      <c r="H110" s="2805" t="str">
        <f>C112</f>
        <v>总价（元）</v>
      </c>
      <c r="I110" s="2818">
        <f ca="1">IF(F110="——","——",I102-I105)</f>
        <v>5848403</v>
      </c>
      <c r="J110" s="2860"/>
    </row>
    <row r="111" spans="1:36" ht="12.75">
      <c r="A111" s="4333" t="s">
        <v>2780</v>
      </c>
      <c r="B111" s="4334"/>
      <c r="C111" s="2819" t="str">
        <f>C108</f>
        <v>总额（元）</v>
      </c>
      <c r="D111" s="52">
        <f>C38</f>
        <v>0</v>
      </c>
      <c r="E111" s="1461"/>
      <c r="F111" s="4422"/>
      <c r="G111" s="4423"/>
      <c r="H111" s="2817" t="s">
        <v>2775</v>
      </c>
      <c r="I111" s="2821">
        <f ca="1">D113</f>
        <v>5373</v>
      </c>
      <c r="J111" s="2863"/>
    </row>
    <row r="112" spans="1:36" ht="26.25" customHeight="1">
      <c r="A112" s="4331" t="str">
        <f>IF(项目基本情况!F5="已注销","——","3.房地产抵押价值")</f>
        <v>3.房地产抵押价值</v>
      </c>
      <c r="B112" s="4332"/>
      <c r="C112" s="2817" t="str">
        <f>B101</f>
        <v>总价（元）</v>
      </c>
      <c r="D112" s="2818">
        <f ca="1">IF(A112="——","——",D106-D108)</f>
        <v>5848403</v>
      </c>
      <c r="E112" s="1461"/>
      <c r="F112" s="4323" t="str">
        <f>IF(项目基本情况!F5="已注销及未注销","4.抵押担保权已注销时的房地产抵押价值",IF(项目基本情况!F5="已注销","3.抵押担保权已注销时的房地产抵押价值","——"))</f>
        <v>——</v>
      </c>
      <c r="G112" s="4324"/>
      <c r="H112" s="2805" t="str">
        <f>C114</f>
        <v>总价（元）</v>
      </c>
      <c r="I112" s="2818" t="str">
        <f>IF(F112="——","——",I102-I107-I108)</f>
        <v>——</v>
      </c>
      <c r="J112" s="2860"/>
    </row>
    <row r="113" spans="1:16" ht="12.75">
      <c r="A113" s="4331"/>
      <c r="B113" s="4332"/>
      <c r="C113" s="2817" t="s">
        <v>2768</v>
      </c>
      <c r="D113" s="52">
        <f ca="1">ROUND(IF(D112=D106,D107,IF(H19="元",D112/项目基本情况!C12,D112*10000/项目基本情况!C12)),0)</f>
        <v>5373</v>
      </c>
      <c r="E113" s="1461"/>
      <c r="F113" s="4422"/>
      <c r="G113" s="4423"/>
      <c r="H113" s="2817" t="s">
        <v>2804</v>
      </c>
      <c r="I113" s="52" t="str">
        <f>D115</f>
        <v>——</v>
      </c>
      <c r="J113" s="2844"/>
    </row>
    <row r="114" spans="1:16" ht="12.75">
      <c r="A114" s="4331" t="str">
        <f>IF(项目基本情况!F5="已注销及未注销","4.抵押担保权已注销时的房地产抵押价值",IF(项目基本情况!F5="已注销","3.抵押担保权已注销时的房地产抵押价值","——"))</f>
        <v>——</v>
      </c>
      <c r="B114" s="4332"/>
      <c r="C114" s="2817" t="str">
        <f>B101</f>
        <v>总价（元）</v>
      </c>
      <c r="D114" s="2818" t="str">
        <f>IF(A114="——","——",D106-D110-D111)</f>
        <v>——</v>
      </c>
      <c r="E114" s="1461"/>
      <c r="F114" s="4323" t="str">
        <f>IF(项目基本情况!G5="抵押净值",IF(OR(项目基本情况!F5="已注销",项目基本情况!F5="房地产抵押价值"),"4.抵押净值","5.抵押净值"),"——")</f>
        <v>——</v>
      </c>
      <c r="G114" s="4324"/>
      <c r="H114" s="2817" t="str">
        <f>C116</f>
        <v>总价（元）</v>
      </c>
      <c r="I114" s="2818" t="str">
        <f>IF(F114="——","——",O59)</f>
        <v>——</v>
      </c>
      <c r="J114" s="2860"/>
    </row>
    <row r="115" spans="1:16" ht="13.5" thickBot="1">
      <c r="A115" s="4331"/>
      <c r="B115" s="4332"/>
      <c r="C115" s="2817" t="s">
        <v>2768</v>
      </c>
      <c r="D115" s="52" t="str">
        <f>IF(A114="——","——",ROUND(IF(D114=D106,D107,IF(H19="元",D114/项目基本情况!C12,D114*10000/项目基本情况!C12)),0))</f>
        <v>——</v>
      </c>
      <c r="E115" s="1461"/>
      <c r="F115" s="4325"/>
      <c r="G115" s="4326"/>
      <c r="H115" s="2822" t="s">
        <v>2768</v>
      </c>
      <c r="I115" s="2806" t="str">
        <f ca="1">D117</f>
        <v>——</v>
      </c>
      <c r="J115" s="2844"/>
    </row>
    <row r="116" spans="1:16" ht="15.75">
      <c r="A116" s="4331" t="str">
        <f>IF(项目基本情况!G5="抵押净值",IF(OR(项目基本情况!F5="已注销",项目基本情况!F5="房地产抵押价值"),"4.抵押净值","5.抵押净值"),"——")</f>
        <v>——</v>
      </c>
      <c r="B116" s="4332"/>
      <c r="C116" s="2817" t="str">
        <f>B101</f>
        <v>总价（元）</v>
      </c>
      <c r="D116" s="2818" t="str">
        <f>IF(A116="——","——",O59)</f>
        <v>——</v>
      </c>
      <c r="E116" s="1461"/>
      <c r="F116" s="4417"/>
      <c r="G116" s="4417"/>
      <c r="H116" s="4381"/>
      <c r="I116" s="4381"/>
      <c r="J116" s="2864"/>
      <c r="O116" s="32"/>
      <c r="P116" s="32"/>
    </row>
    <row r="117" spans="1:16" ht="13.5" thickBot="1">
      <c r="A117" s="4336"/>
      <c r="B117" s="4337"/>
      <c r="C117" s="2822" t="s">
        <v>2768</v>
      </c>
      <c r="D117" s="2806" t="str">
        <f ca="1">IF(D116=D112,D113,IF(A116="——","——",O61))</f>
        <v>——</v>
      </c>
      <c r="E117" s="1461"/>
      <c r="F117" s="4315" t="str">
        <f>IF(B32="总价","（以上估价结果中单价为总价除以建筑面积得出）","（以上估价结果中总价为楼面单价乘以建筑面积得出）")</f>
        <v>（以上估价结果中总价为楼面单价乘以建筑面积得出）</v>
      </c>
      <c r="G117" s="4315"/>
      <c r="H117" s="4315"/>
      <c r="I117" s="4315"/>
      <c r="J117" s="2865"/>
      <c r="O117" s="32"/>
      <c r="P117" s="32"/>
    </row>
    <row r="118" spans="1:16" ht="15">
      <c r="A118" s="4382" t="s">
        <v>1872</v>
      </c>
      <c r="B118" s="4383"/>
      <c r="C118" s="4383"/>
      <c r="D118" s="4383"/>
      <c r="E118" s="4383"/>
      <c r="F118" s="4383"/>
      <c r="G118" s="4383"/>
      <c r="H118" s="4383"/>
      <c r="I118" s="4383"/>
      <c r="J118" s="2866"/>
    </row>
    <row r="119" spans="1:16" ht="12.75">
      <c r="A119" s="4316" t="s">
        <v>2786</v>
      </c>
      <c r="B119" s="4342" t="s">
        <v>2796</v>
      </c>
      <c r="C119" s="4342" t="s">
        <v>2797</v>
      </c>
      <c r="D119" s="4404" t="s">
        <v>2788</v>
      </c>
      <c r="E119" s="4405"/>
      <c r="F119" s="4317" t="s">
        <v>2798</v>
      </c>
      <c r="G119" s="4317"/>
      <c r="H119" s="4317" t="s">
        <v>2789</v>
      </c>
      <c r="I119" s="4403"/>
      <c r="J119" s="2844"/>
    </row>
    <row r="120" spans="1:16" ht="12.75">
      <c r="A120" s="4316"/>
      <c r="B120" s="4343"/>
      <c r="C120" s="4343"/>
      <c r="D120" s="2091" t="s">
        <v>2790</v>
      </c>
      <c r="E120" s="2091" t="s">
        <v>2795</v>
      </c>
      <c r="F120" s="2091" t="s">
        <v>2790</v>
      </c>
      <c r="G120" s="2091" t="s">
        <v>2791</v>
      </c>
      <c r="H120" s="2091" t="s">
        <v>2790</v>
      </c>
      <c r="I120" s="52" t="s">
        <v>2791</v>
      </c>
      <c r="J120" s="2844"/>
    </row>
    <row r="121" spans="1:16" ht="12.75">
      <c r="A121" s="2081" t="str">
        <f>项目基本情况!I1</f>
        <v>北京市房地产</v>
      </c>
      <c r="B121" s="2091">
        <f>项目基本情况!C12</f>
        <v>1088.48</v>
      </c>
      <c r="C121" s="2091">
        <f>项目基本情况!C13</f>
        <v>0</v>
      </c>
      <c r="D121" s="2091">
        <f ca="1">ROUND(IF(B32="总价",C34,IF('数据-取费表'!B3="万元",E121*B121/10000,E121*B121)),0)</f>
        <v>16322846</v>
      </c>
      <c r="E121" s="2091">
        <f ca="1">ROUND(IF(B32="楼面单价",C34,IF(H19="元",D121/B121,D121*10000/B121)),0)</f>
        <v>14996</v>
      </c>
      <c r="F121" s="2091">
        <f ca="1">ROUND(IF(B32="总价",C35,IF('数据-取费表'!B3="万元",G121*B121/10000,G121*B121)),0)</f>
        <v>-10474443</v>
      </c>
      <c r="G121" s="2091">
        <f ca="1">ROUND(IF(B32="楼面单价",C35,IF(H19="元",F121/B121,F121*10000/B121)),0)</f>
        <v>-9623</v>
      </c>
      <c r="H121" s="2091">
        <f ca="1">ROUND(IF(B32="总价",C32,IF('数据-取费表'!B3="万元",I121*B121/10000,I121*B121)),0)</f>
        <v>5848403</v>
      </c>
      <c r="I121" s="52">
        <f ca="1">ROUND(IF(B32="楼面单价",C32,IF(H19="元",H121/B121,H121*10000/B121)),0)</f>
        <v>5373</v>
      </c>
      <c r="J121" s="2844"/>
    </row>
    <row r="122" spans="1:16" ht="12.75">
      <c r="A122" s="4316" t="s">
        <v>2792</v>
      </c>
      <c r="B122" s="4317"/>
      <c r="C122" s="4317"/>
      <c r="D122" s="4344" t="str">
        <f ca="1">IF(H19="元",NUMBERSTRING(INT(D121),2)&amp;"元整",NUMBERSTRING(INT(D121*10000),2)&amp;"元整")</f>
        <v>壹仟陆佰叁拾贰万贰仟捌佰肆拾陆元整</v>
      </c>
      <c r="E122" s="4387"/>
      <c r="F122" s="4344" t="e">
        <f ca="1">IF(H19="元",NUMBERSTRING(INT(F121),2)&amp;"元整",NUMBERSTRING(INT(F121*10000),2)&amp;"元整")</f>
        <v>#NUM!</v>
      </c>
      <c r="G122" s="4387"/>
      <c r="H122" s="4344" t="str">
        <f ca="1">IF(H19="元",NUMBERSTRING(INT(H121),2)&amp;"元整",NUMBERSTRING(INT(H121*10000),2)&amp;"元整")</f>
        <v>伍佰捌拾肆万捌仟肆佰零叁元整</v>
      </c>
      <c r="I122" s="4345"/>
      <c r="J122" s="2867"/>
    </row>
    <row r="123" spans="1:16" ht="12.75">
      <c r="A123" s="4321" t="str">
        <f>IF(项目基本情况!D5="房地产市场价值","——",MID(A108,3,LEN(A108)-2))</f>
        <v>——</v>
      </c>
      <c r="B123" s="4327"/>
      <c r="C123" s="4322"/>
      <c r="D123" s="4319">
        <f>I105</f>
        <v>0</v>
      </c>
      <c r="E123" s="4327"/>
      <c r="F123" s="4327"/>
      <c r="G123" s="4327"/>
      <c r="H123" s="4327"/>
      <c r="I123" s="4320"/>
      <c r="J123" s="2860"/>
    </row>
    <row r="124" spans="1:16" ht="12.75">
      <c r="A124" s="4388" t="s">
        <v>2792</v>
      </c>
      <c r="B124" s="4356"/>
      <c r="C124" s="4357"/>
      <c r="D124" s="4328">
        <f>H109</f>
        <v>0</v>
      </c>
      <c r="E124" s="4329"/>
      <c r="F124" s="4329"/>
      <c r="G124" s="4329"/>
      <c r="H124" s="4329"/>
      <c r="I124" s="4330"/>
      <c r="J124" s="2868"/>
    </row>
    <row r="125" spans="1:16" ht="12.75">
      <c r="A125" s="4331" t="str">
        <f>IF(项目基本情况!D5="房地产市场价值","——",MID(A112,3,LEN(A112)-2))</f>
        <v>——</v>
      </c>
      <c r="B125" s="4332"/>
      <c r="C125" s="4332"/>
      <c r="D125" s="4319">
        <f ca="1">I110</f>
        <v>5848403</v>
      </c>
      <c r="E125" s="4327"/>
      <c r="F125" s="4327"/>
      <c r="G125" s="4327"/>
      <c r="H125" s="4327"/>
      <c r="I125" s="4320"/>
      <c r="J125" s="2860"/>
    </row>
    <row r="126" spans="1:16" ht="12.75">
      <c r="A126" s="4316" t="s">
        <v>2792</v>
      </c>
      <c r="B126" s="4317"/>
      <c r="C126" s="4317"/>
      <c r="D126" s="4328">
        <f ca="1">I111</f>
        <v>5373</v>
      </c>
      <c r="E126" s="4329"/>
      <c r="F126" s="4329"/>
      <c r="G126" s="4329"/>
      <c r="H126" s="4329"/>
      <c r="I126" s="4330"/>
      <c r="J126" s="2868"/>
    </row>
    <row r="127" spans="1:16" ht="13.5" thickBot="1">
      <c r="A127" s="4331" t="str">
        <f>IF(项目基本情况!D5="房地产市场价值","——",MID(A114,3,LEN(A114)-2))</f>
        <v>——</v>
      </c>
      <c r="B127" s="4332"/>
      <c r="C127" s="4332"/>
      <c r="D127" s="4364" t="str">
        <f>I112</f>
        <v>——</v>
      </c>
      <c r="E127" s="4365"/>
      <c r="F127" s="4365"/>
      <c r="G127" s="4365"/>
      <c r="H127" s="4365"/>
      <c r="I127" s="4416"/>
      <c r="J127" s="2860"/>
    </row>
    <row r="128" spans="1:16" ht="14.25" thickTop="1" thickBot="1">
      <c r="A128" s="4316" t="s">
        <v>2792</v>
      </c>
      <c r="B128" s="4317"/>
      <c r="C128" s="4318"/>
      <c r="D128" s="4380" t="str">
        <f>I113</f>
        <v>——</v>
      </c>
      <c r="E128" s="4380"/>
      <c r="F128" s="4380"/>
      <c r="G128" s="4380"/>
      <c r="H128" s="4380"/>
      <c r="I128" s="4380"/>
      <c r="J128" s="2868"/>
    </row>
    <row r="129" spans="1:10" ht="14.25" thickTop="1" thickBot="1">
      <c r="A129" s="4331" t="str">
        <f>IF(项目基本情况!D5="房地产市场价值","——",MID(F114,3,LEN(F114)-2))</f>
        <v>——</v>
      </c>
      <c r="B129" s="4332"/>
      <c r="C129" s="4319"/>
      <c r="D129" s="4335" t="str">
        <f>I114</f>
        <v>——</v>
      </c>
      <c r="E129" s="4335"/>
      <c r="F129" s="4335"/>
      <c r="G129" s="4335"/>
      <c r="H129" s="4335"/>
      <c r="I129" s="4335"/>
      <c r="J129" s="2860"/>
    </row>
    <row r="130" spans="1:10" ht="14.25" thickTop="1" thickBot="1">
      <c r="A130" s="4340" t="s">
        <v>2792</v>
      </c>
      <c r="B130" s="4341"/>
      <c r="C130" s="4341"/>
      <c r="D130" s="4346">
        <f>H116</f>
        <v>0</v>
      </c>
      <c r="E130" s="4347"/>
      <c r="F130" s="4347"/>
      <c r="G130" s="4347"/>
      <c r="H130" s="4347"/>
      <c r="I130" s="4348"/>
      <c r="J130" s="2868"/>
    </row>
    <row r="131" spans="1:10" ht="12.75">
      <c r="A131" s="1481" t="str">
        <f>IF(H19="元","单位：平方米、元、元/平方米（币种：人民币）","单位：平方米、万元、元/平方米（币种：人民币）")</f>
        <v>单位：平方米、元、元/平方米（币种：人民币）</v>
      </c>
      <c r="B131" s="1481"/>
      <c r="C131" s="1481"/>
      <c r="D131" s="1481"/>
      <c r="E131" s="1481"/>
      <c r="F131" s="1481"/>
      <c r="G131" s="1481"/>
      <c r="H131" s="1481"/>
      <c r="I131" s="1481"/>
      <c r="J131" s="2869"/>
    </row>
    <row r="132" spans="1:10" ht="13.5" thickBot="1">
      <c r="A132" s="4314" t="str">
        <f>IF(B32="总价","（以上估价结果中楼面单价为总价除以建筑面积得出）","（以上估价结果中总价为楼面单价乘以建筑面积得出）")</f>
        <v>（以上估价结果中总价为楼面单价乘以建筑面积得出）</v>
      </c>
      <c r="B132" s="4314"/>
      <c r="C132" s="4314"/>
      <c r="D132" s="4314"/>
      <c r="E132" s="4314"/>
      <c r="F132" s="4314"/>
      <c r="G132" s="4314"/>
      <c r="H132" s="4314"/>
      <c r="I132" s="4314"/>
      <c r="J132" s="2862"/>
    </row>
    <row r="133" spans="1:10" ht="21.75" customHeight="1">
      <c r="A133" s="1491" t="s">
        <v>1873</v>
      </c>
      <c r="B133" s="1492"/>
      <c r="C133" s="1493" t="s">
        <v>1874</v>
      </c>
      <c r="D133" s="1494"/>
      <c r="E133" s="1494"/>
      <c r="F133" s="1494"/>
      <c r="G133" s="1494"/>
      <c r="H133" s="1495"/>
      <c r="I133" s="1496"/>
      <c r="J133" s="2870"/>
    </row>
    <row r="134" spans="1:10" ht="21.75" customHeight="1">
      <c r="A134" s="1497">
        <v>1</v>
      </c>
      <c r="B134" s="1498"/>
      <c r="C134" s="1498"/>
      <c r="D134" s="1494"/>
      <c r="E134" s="1494"/>
      <c r="F134" s="1494"/>
      <c r="G134" s="1494"/>
      <c r="H134" s="1495"/>
      <c r="I134" s="1496"/>
      <c r="J134" s="2870"/>
    </row>
    <row r="135" spans="1:10" ht="21.75" customHeight="1">
      <c r="A135" s="1497">
        <v>2</v>
      </c>
      <c r="B135" s="1498"/>
      <c r="C135" s="1498"/>
      <c r="D135" s="1494"/>
      <c r="E135" s="1494"/>
      <c r="F135" s="1494"/>
      <c r="G135" s="1494"/>
      <c r="H135" s="1495"/>
      <c r="I135" s="1496"/>
      <c r="J135" s="2870"/>
    </row>
    <row r="136" spans="1:10" ht="21.75" customHeight="1">
      <c r="A136" s="1497">
        <v>3</v>
      </c>
      <c r="B136" s="1498"/>
      <c r="C136" s="1498"/>
      <c r="D136" s="1494"/>
      <c r="E136" s="1494"/>
      <c r="F136" s="32"/>
      <c r="G136" s="32"/>
      <c r="H136" s="32"/>
      <c r="I136" s="32"/>
      <c r="J136" s="2871"/>
    </row>
    <row r="137" spans="1:10" ht="21.75" customHeight="1">
      <c r="A137" s="1499"/>
      <c r="B137" s="1500"/>
      <c r="C137" s="1500"/>
      <c r="D137" s="1501"/>
      <c r="E137" s="1501"/>
      <c r="F137" s="1501"/>
      <c r="G137" s="1501"/>
      <c r="H137" s="1502"/>
      <c r="I137" s="1503"/>
      <c r="J137" s="2870"/>
    </row>
    <row r="138" spans="1:10" ht="21.75" customHeight="1">
      <c r="A138" s="1498"/>
      <c r="B138" s="1498"/>
      <c r="C138" s="1498"/>
      <c r="D138" s="1494"/>
      <c r="E138" s="1494"/>
      <c r="F138" s="1494"/>
      <c r="G138" s="1494"/>
      <c r="H138" s="1495"/>
      <c r="I138" s="659"/>
      <c r="J138" s="2871"/>
    </row>
    <row r="139" spans="1:10" ht="21.75" customHeight="1">
      <c r="A139" s="659"/>
      <c r="B139" s="659"/>
      <c r="C139" s="659"/>
      <c r="D139" s="659"/>
      <c r="E139" s="659"/>
      <c r="F139" s="1504" t="s">
        <v>1875</v>
      </c>
      <c r="G139" s="1505"/>
      <c r="H139" s="1505"/>
      <c r="I139" s="1506" t="s">
        <v>1876</v>
      </c>
      <c r="J139" s="2872"/>
    </row>
    <row r="140" spans="1:10" ht="21.75" customHeight="1">
      <c r="A140" s="659"/>
      <c r="B140" s="1507" t="s">
        <v>1877</v>
      </c>
      <c r="C140" s="659"/>
      <c r="D140" s="659"/>
      <c r="E140" s="659"/>
      <c r="F140" s="659"/>
      <c r="G140" s="659"/>
      <c r="H140" s="659"/>
      <c r="I140" s="659"/>
      <c r="J140" s="2871"/>
    </row>
    <row r="141" spans="1:10" ht="21.75" customHeight="1">
      <c r="A141" s="659"/>
      <c r="B141" s="659"/>
      <c r="C141" s="659"/>
      <c r="D141" s="659"/>
      <c r="E141" s="659"/>
      <c r="F141" s="659"/>
      <c r="G141" s="659"/>
      <c r="H141" s="659"/>
      <c r="I141" s="659"/>
      <c r="J141" s="2871"/>
    </row>
    <row r="142" spans="1:10" ht="21.75" customHeight="1">
      <c r="A142" s="659"/>
      <c r="B142" s="1505"/>
      <c r="C142" s="1505"/>
      <c r="D142" s="1505"/>
      <c r="E142" s="1505"/>
      <c r="F142" s="1505"/>
      <c r="G142" s="1505"/>
      <c r="H142" s="1505"/>
      <c r="I142" s="1506" t="s">
        <v>1878</v>
      </c>
      <c r="J142" s="2872"/>
    </row>
    <row r="143" spans="1:10" ht="21.75" customHeight="1">
      <c r="A143" s="659"/>
      <c r="B143" s="1507" t="s">
        <v>1879</v>
      </c>
      <c r="C143" s="659"/>
      <c r="D143" s="659"/>
      <c r="E143" s="659"/>
      <c r="F143" s="659"/>
      <c r="G143" s="659"/>
      <c r="H143" s="659"/>
      <c r="I143" s="659"/>
      <c r="J143" s="2871"/>
    </row>
    <row r="144" spans="1:10" ht="21.75" customHeight="1">
      <c r="A144" s="659"/>
      <c r="B144" s="1507"/>
      <c r="C144" s="659"/>
      <c r="D144" s="659"/>
      <c r="E144" s="659"/>
      <c r="F144" s="659"/>
      <c r="G144" s="659"/>
      <c r="H144" s="659"/>
      <c r="I144" s="659"/>
      <c r="J144" s="2871"/>
    </row>
    <row r="145" spans="1:36" ht="21.75" customHeight="1">
      <c r="A145" s="659"/>
      <c r="B145" s="1505"/>
      <c r="C145" s="1505"/>
      <c r="D145" s="1505"/>
      <c r="E145" s="1505"/>
      <c r="F145" s="1505"/>
      <c r="G145" s="1505"/>
      <c r="H145" s="1505"/>
      <c r="I145" s="1506" t="s">
        <v>1878</v>
      </c>
      <c r="J145" s="2872"/>
    </row>
    <row r="146" spans="1:36" ht="21.75" customHeight="1">
      <c r="A146" s="659"/>
      <c r="B146" s="1507"/>
      <c r="C146" s="1508"/>
      <c r="D146" s="1509"/>
      <c r="E146" s="1509"/>
      <c r="F146" s="1510"/>
      <c r="G146" s="659"/>
      <c r="H146" s="659"/>
      <c r="I146" s="659"/>
      <c r="J146" s="2871"/>
    </row>
    <row r="147" spans="1:36" s="32" customFormat="1" ht="21.75" customHeight="1">
      <c r="A147" s="659"/>
      <c r="B147" s="1507"/>
      <c r="C147" s="1508"/>
      <c r="D147" s="1509"/>
      <c r="E147" s="1509"/>
      <c r="F147" s="659"/>
      <c r="G147" s="659"/>
      <c r="H147" s="659"/>
      <c r="I147" s="659"/>
      <c r="J147" s="2871"/>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71"/>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71"/>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71"/>
    </row>
    <row r="151" spans="1:36" s="659" customFormat="1" ht="21.75" customHeight="1">
      <c r="J151" s="2871"/>
    </row>
    <row r="152" spans="1:36" s="659" customFormat="1" ht="21.75" customHeight="1">
      <c r="J152" s="2871"/>
    </row>
    <row r="153" spans="1:36" s="659" customFormat="1" ht="21.75" customHeight="1">
      <c r="J153" s="2871"/>
    </row>
    <row r="154" spans="1:36" s="659" customFormat="1" ht="21.75" customHeight="1">
      <c r="J154" s="2871"/>
    </row>
    <row r="155" spans="1:36" s="659" customFormat="1" ht="21.75" customHeight="1">
      <c r="J155" s="2871"/>
    </row>
    <row r="156" spans="1:36" s="659" customFormat="1" ht="21.75" customHeight="1">
      <c r="J156" s="2871"/>
    </row>
    <row r="157" spans="1:36" s="659" customFormat="1" ht="21.75" customHeight="1">
      <c r="J157" s="2871"/>
    </row>
    <row r="158" spans="1:36" s="659" customFormat="1" ht="21.75" customHeight="1">
      <c r="J158" s="2871"/>
    </row>
    <row r="159" spans="1:36" s="659" customFormat="1" ht="21.75" customHeight="1">
      <c r="J159" s="2871"/>
    </row>
    <row r="160" spans="1:36" s="659" customFormat="1" ht="21.75" customHeight="1">
      <c r="J160" s="2871"/>
    </row>
    <row r="161" spans="10:10" s="659" customFormat="1" ht="21.75" customHeight="1">
      <c r="J161" s="2871"/>
    </row>
    <row r="162" spans="10:10" s="659" customFormat="1" ht="21.75" customHeight="1">
      <c r="J162" s="2871"/>
    </row>
    <row r="163" spans="10:10" s="659" customFormat="1" ht="21.75" customHeight="1">
      <c r="J163" s="2871"/>
    </row>
    <row r="164" spans="10:10" s="659" customFormat="1" ht="21.75" customHeight="1">
      <c r="J164" s="2871"/>
    </row>
    <row r="165" spans="10:10" s="659" customFormat="1" ht="21.75" customHeight="1">
      <c r="J165" s="2871"/>
    </row>
    <row r="166" spans="10:10" s="659" customFormat="1" ht="21.75" customHeight="1">
      <c r="J166" s="2871"/>
    </row>
    <row r="167" spans="10:10" s="659" customFormat="1" ht="21.75" customHeight="1">
      <c r="J167" s="2871"/>
    </row>
    <row r="168" spans="10:10" s="659" customFormat="1" ht="21.75" customHeight="1">
      <c r="J168" s="2871"/>
    </row>
    <row r="169" spans="10:10" s="659" customFormat="1" ht="21.75" customHeight="1">
      <c r="J169" s="2871"/>
    </row>
    <row r="170" spans="10:10" s="659" customFormat="1" ht="21.75" customHeight="1">
      <c r="J170" s="2871"/>
    </row>
    <row r="171" spans="10:10" s="659" customFormat="1" ht="21.75" customHeight="1">
      <c r="J171" s="2871"/>
    </row>
    <row r="172" spans="10:10" s="659" customFormat="1" ht="21.75" customHeight="1">
      <c r="J172" s="2871"/>
    </row>
    <row r="173" spans="10:10" s="659" customFormat="1" ht="21.75" customHeight="1">
      <c r="J173" s="2871"/>
    </row>
    <row r="174" spans="10:10" s="659" customFormat="1" ht="21.75" customHeight="1">
      <c r="J174" s="2871"/>
    </row>
    <row r="175" spans="10:10" s="659" customFormat="1" ht="21.75" customHeight="1">
      <c r="J175" s="2871"/>
    </row>
    <row r="176" spans="10:10" s="659" customFormat="1" ht="21.75" customHeight="1">
      <c r="J176" s="2871"/>
    </row>
    <row r="177" spans="10:10" s="659" customFormat="1" ht="21.75" customHeight="1">
      <c r="J177" s="2871"/>
    </row>
    <row r="178" spans="10:10" s="659" customFormat="1" ht="21.75" customHeight="1">
      <c r="J178" s="2871"/>
    </row>
    <row r="179" spans="10:10" s="659" customFormat="1" ht="21.75" customHeight="1">
      <c r="J179" s="2871"/>
    </row>
    <row r="180" spans="10:10" s="659" customFormat="1" ht="21.75" customHeight="1">
      <c r="J180" s="2871"/>
    </row>
    <row r="181" spans="10:10" s="659" customFormat="1" ht="21.75" customHeight="1">
      <c r="J181" s="2871"/>
    </row>
    <row r="182" spans="10:10" s="659" customFormat="1" ht="21.75" customHeight="1">
      <c r="J182" s="2871"/>
    </row>
    <row r="183" spans="10:10" s="659" customFormat="1" ht="21.75" customHeight="1">
      <c r="J183" s="2871"/>
    </row>
    <row r="184" spans="10:10" s="659" customFormat="1" ht="21.75" customHeight="1">
      <c r="J184" s="2871"/>
    </row>
    <row r="185" spans="10:10" s="659" customFormat="1" ht="21.75" customHeight="1">
      <c r="J185" s="2871"/>
    </row>
    <row r="186" spans="10:10" s="659" customFormat="1" ht="21.75" customHeight="1">
      <c r="J186" s="2871"/>
    </row>
    <row r="187" spans="10:10" s="659" customFormat="1" ht="21.75" customHeight="1">
      <c r="J187" s="2871"/>
    </row>
    <row r="188" spans="10:10" s="659" customFormat="1" ht="21.75" customHeight="1">
      <c r="J188" s="2871"/>
    </row>
    <row r="189" spans="10:10" s="659" customFormat="1" ht="21.75" customHeight="1">
      <c r="J189" s="2871"/>
    </row>
    <row r="190" spans="10:10" s="659" customFormat="1" ht="21.75" customHeight="1">
      <c r="J190" s="2871"/>
    </row>
    <row r="191" spans="10:10" s="659" customFormat="1" ht="21.75" customHeight="1">
      <c r="J191" s="2871"/>
    </row>
    <row r="192" spans="10:10" s="659" customFormat="1" ht="21.75" customHeight="1">
      <c r="J192" s="2871"/>
    </row>
    <row r="193" spans="10:10" s="659" customFormat="1" ht="21.75" customHeight="1">
      <c r="J193" s="2871"/>
    </row>
    <row r="194" spans="10:10" s="659" customFormat="1" ht="21.75" customHeight="1">
      <c r="J194" s="2871"/>
    </row>
    <row r="195" spans="10:10" s="659" customFormat="1" ht="21.75" customHeight="1">
      <c r="J195" s="2871"/>
    </row>
    <row r="196" spans="10:10" s="659" customFormat="1" ht="21.75" customHeight="1">
      <c r="J196" s="2871"/>
    </row>
    <row r="197" spans="10:10" s="659" customFormat="1" ht="21.75" customHeight="1">
      <c r="J197" s="2871"/>
    </row>
    <row r="198" spans="10:10" s="659" customFormat="1" ht="21.75" customHeight="1">
      <c r="J198" s="2871"/>
    </row>
    <row r="199" spans="10:10" s="659" customFormat="1" ht="21.75" customHeight="1">
      <c r="J199" s="2871"/>
    </row>
    <row r="200" spans="10:10" s="659" customFormat="1" ht="21.75" customHeight="1">
      <c r="J200" s="2871"/>
    </row>
    <row r="201" spans="10:10" s="659" customFormat="1" ht="21.75" customHeight="1">
      <c r="J201" s="2871"/>
    </row>
    <row r="202" spans="10:10" s="659" customFormat="1" ht="21.75" customHeight="1">
      <c r="J202" s="2871"/>
    </row>
    <row r="203" spans="10:10" s="659" customFormat="1" ht="21.75" customHeight="1">
      <c r="J203" s="2871"/>
    </row>
    <row r="204" spans="10:10" s="659" customFormat="1" ht="21.75" customHeight="1">
      <c r="J204" s="2871"/>
    </row>
    <row r="205" spans="10:10" s="659" customFormat="1" ht="21.75" customHeight="1">
      <c r="J205" s="2871"/>
    </row>
    <row r="206" spans="10:10" s="659" customFormat="1" ht="21.75" customHeight="1">
      <c r="J206" s="2871"/>
    </row>
    <row r="207" spans="10:10" s="659" customFormat="1" ht="21.75" customHeight="1">
      <c r="J207" s="2871"/>
    </row>
    <row r="208" spans="10:10" s="659" customFormat="1" ht="21.75" customHeight="1">
      <c r="J208" s="2871"/>
    </row>
    <row r="209" spans="10:10" s="659" customFormat="1" ht="21.75" customHeight="1">
      <c r="J209" s="2871"/>
    </row>
    <row r="210" spans="10:10" s="659" customFormat="1" ht="21.75" customHeight="1">
      <c r="J210" s="2871"/>
    </row>
    <row r="211" spans="10:10" s="659" customFormat="1" ht="21.75" customHeight="1">
      <c r="J211" s="2871"/>
    </row>
    <row r="212" spans="10:10" s="659" customFormat="1" ht="21.75" customHeight="1">
      <c r="J212" s="2871"/>
    </row>
    <row r="213" spans="10:10" s="659" customFormat="1" ht="21.75" customHeight="1">
      <c r="J213" s="2871"/>
    </row>
    <row r="214" spans="10:10" s="659" customFormat="1" ht="21.75" customHeight="1">
      <c r="J214" s="2871"/>
    </row>
    <row r="215" spans="10:10" s="659" customFormat="1" ht="21.75" customHeight="1">
      <c r="J215" s="2871"/>
    </row>
    <row r="216" spans="10:10" s="659" customFormat="1" ht="21.75" customHeight="1">
      <c r="J216" s="2871"/>
    </row>
    <row r="217" spans="10:10" s="659" customFormat="1" ht="21.75" customHeight="1">
      <c r="J217" s="2871"/>
    </row>
    <row r="218" spans="10:10" s="659" customFormat="1" ht="21.75" customHeight="1">
      <c r="J218" s="2871"/>
    </row>
    <row r="219" spans="10:10" s="659" customFormat="1" ht="21.75" customHeight="1">
      <c r="J219" s="2871"/>
    </row>
    <row r="220" spans="10:10" s="659" customFormat="1" ht="21.75" customHeight="1">
      <c r="J220" s="2871"/>
    </row>
    <row r="221" spans="10:10" s="659" customFormat="1" ht="21.75" customHeight="1">
      <c r="J221" s="2871"/>
    </row>
    <row r="222" spans="10:10" s="659" customFormat="1" ht="21.75" customHeight="1">
      <c r="J222" s="2871"/>
    </row>
    <row r="223" spans="10:10" s="659" customFormat="1" ht="21.75" customHeight="1">
      <c r="J223" s="2871"/>
    </row>
    <row r="224" spans="10:10" s="659" customFormat="1" ht="21.75" customHeight="1">
      <c r="J224" s="2871"/>
    </row>
    <row r="225" spans="10:10" s="659" customFormat="1" ht="21.75" customHeight="1">
      <c r="J225" s="2871"/>
    </row>
    <row r="226" spans="10:10" s="659" customFormat="1" ht="21.75" customHeight="1">
      <c r="J226" s="2871"/>
    </row>
    <row r="227" spans="10:10" s="659" customFormat="1" ht="21.75" customHeight="1">
      <c r="J227" s="2871"/>
    </row>
    <row r="228" spans="10:10" s="659" customFormat="1" ht="21.75" customHeight="1">
      <c r="J228" s="2871"/>
    </row>
    <row r="229" spans="10:10" s="659" customFormat="1" ht="21.75" customHeight="1">
      <c r="J229" s="2871"/>
    </row>
    <row r="230" spans="10:10" s="659" customFormat="1" ht="21.75" customHeight="1">
      <c r="J230" s="2871"/>
    </row>
    <row r="231" spans="10:10" s="659" customFormat="1" ht="21.75" customHeight="1">
      <c r="J231" s="2871"/>
    </row>
    <row r="232" spans="10:10" s="659" customFormat="1" ht="21.75" customHeight="1">
      <c r="J232" s="2871"/>
    </row>
    <row r="233" spans="10:10" s="659" customFormat="1" ht="21.75" customHeight="1">
      <c r="J233" s="2871"/>
    </row>
    <row r="234" spans="10:10" s="659" customFormat="1" ht="21.75" customHeight="1">
      <c r="J234" s="2871"/>
    </row>
    <row r="235" spans="10:10" s="659" customFormat="1" ht="21.75" customHeight="1">
      <c r="J235" s="2871"/>
    </row>
    <row r="236" spans="10:10" s="659" customFormat="1" ht="21.75" customHeight="1">
      <c r="J236" s="2871"/>
    </row>
    <row r="237" spans="10:10" s="659" customFormat="1" ht="21.75" customHeight="1">
      <c r="J237" s="2871"/>
    </row>
    <row r="238" spans="10:10" s="659" customFormat="1" ht="21.75" customHeight="1">
      <c r="J238" s="2871"/>
    </row>
    <row r="239" spans="10:10" s="659" customFormat="1" ht="21.75" customHeight="1">
      <c r="J239" s="2871"/>
    </row>
    <row r="240" spans="10:10" s="659" customFormat="1" ht="21.75" customHeight="1">
      <c r="J240" s="2871"/>
    </row>
    <row r="241" spans="10:10" s="659" customFormat="1" ht="21.75" customHeight="1">
      <c r="J241" s="2871"/>
    </row>
    <row r="242" spans="10:10" s="659" customFormat="1" ht="21.75" customHeight="1">
      <c r="J242" s="2871"/>
    </row>
    <row r="243" spans="10:10" s="659" customFormat="1" ht="21.75" customHeight="1">
      <c r="J243" s="2871"/>
    </row>
    <row r="244" spans="10:10" s="659" customFormat="1" ht="21.75" customHeight="1">
      <c r="J244" s="2871"/>
    </row>
    <row r="245" spans="10:10" s="659" customFormat="1" ht="21.75" customHeight="1">
      <c r="J245" s="2871"/>
    </row>
    <row r="246" spans="10:10" s="659" customFormat="1" ht="21.75" customHeight="1">
      <c r="J246" s="2871"/>
    </row>
    <row r="247" spans="10:10" s="659" customFormat="1" ht="21.75" customHeight="1">
      <c r="J247" s="2871"/>
    </row>
    <row r="248" spans="10:10" s="659" customFormat="1" ht="21.75" customHeight="1">
      <c r="J248" s="2871"/>
    </row>
    <row r="249" spans="10:10" s="659" customFormat="1" ht="21.75" customHeight="1">
      <c r="J249" s="2871"/>
    </row>
    <row r="250" spans="10:10" s="659" customFormat="1" ht="21.75" customHeight="1">
      <c r="J250" s="2871"/>
    </row>
    <row r="251" spans="10:10" s="659" customFormat="1" ht="21.75" customHeight="1">
      <c r="J251" s="2871"/>
    </row>
    <row r="252" spans="10:10" s="659" customFormat="1" ht="21.75" customHeight="1">
      <c r="J252" s="2871"/>
    </row>
    <row r="253" spans="10:10" s="659" customFormat="1" ht="21.75" customHeight="1">
      <c r="J253" s="2871"/>
    </row>
    <row r="254" spans="10:10" s="659" customFormat="1" ht="21.75" customHeight="1">
      <c r="J254" s="2871"/>
    </row>
    <row r="255" spans="10:10" s="659" customFormat="1" ht="21.75" customHeight="1">
      <c r="J255" s="2871"/>
    </row>
    <row r="256" spans="10:10" s="659" customFormat="1" ht="21.75" customHeight="1">
      <c r="J256" s="2871"/>
    </row>
    <row r="257" spans="10:10" s="659" customFormat="1" ht="21.75" customHeight="1">
      <c r="J257" s="2871"/>
    </row>
    <row r="258" spans="10:10" s="659" customFormat="1" ht="21.75" customHeight="1">
      <c r="J258" s="2871"/>
    </row>
    <row r="259" spans="10:10" s="659" customFormat="1" ht="21.75" customHeight="1">
      <c r="J259" s="2871"/>
    </row>
    <row r="260" spans="10:10" s="659" customFormat="1" ht="21.75" customHeight="1">
      <c r="J260" s="2871"/>
    </row>
    <row r="261" spans="10:10" s="659" customFormat="1" ht="21.75" customHeight="1">
      <c r="J261" s="2871"/>
    </row>
    <row r="262" spans="10:10" s="659" customFormat="1" ht="21.75" customHeight="1">
      <c r="J262" s="2871"/>
    </row>
    <row r="263" spans="10:10" s="659" customFormat="1" ht="21.75" customHeight="1">
      <c r="J263" s="2871"/>
    </row>
    <row r="264" spans="10:10" s="659" customFormat="1" ht="21.75" customHeight="1">
      <c r="J264" s="2871"/>
    </row>
    <row r="265" spans="10:10" s="659" customFormat="1" ht="21.75" customHeight="1">
      <c r="J265" s="2871"/>
    </row>
    <row r="266" spans="10:10" s="659" customFormat="1" ht="21.75" customHeight="1">
      <c r="J266" s="2871"/>
    </row>
    <row r="267" spans="10:10" s="659" customFormat="1" ht="21.75" customHeight="1">
      <c r="J267" s="2871"/>
    </row>
    <row r="268" spans="10:10" s="659" customFormat="1" ht="21.75" customHeight="1">
      <c r="J268" s="2871"/>
    </row>
    <row r="269" spans="10:10" s="659" customFormat="1" ht="21.75" customHeight="1">
      <c r="J269" s="2871"/>
    </row>
    <row r="270" spans="10:10" s="659" customFormat="1" ht="21.75" customHeight="1">
      <c r="J270" s="2871"/>
    </row>
    <row r="271" spans="10:10" s="659" customFormat="1" ht="21.75" customHeight="1">
      <c r="J271" s="2871"/>
    </row>
    <row r="272" spans="10:10" s="659" customFormat="1" ht="21.75" customHeight="1">
      <c r="J272" s="2871"/>
    </row>
    <row r="273" spans="10:10" s="659" customFormat="1" ht="21.75" customHeight="1">
      <c r="J273" s="2871"/>
    </row>
    <row r="274" spans="10:10" s="659" customFormat="1" ht="21.75" customHeight="1">
      <c r="J274" s="2871"/>
    </row>
    <row r="275" spans="10:10" s="659" customFormat="1" ht="21.75" customHeight="1">
      <c r="J275" s="2871"/>
    </row>
    <row r="276" spans="10:10" s="659" customFormat="1" ht="21.75" customHeight="1">
      <c r="J276" s="2871"/>
    </row>
    <row r="277" spans="10:10" s="659" customFormat="1" ht="21.75" customHeight="1">
      <c r="J277" s="2871"/>
    </row>
    <row r="278" spans="10:10" s="659" customFormat="1" ht="21.75" customHeight="1">
      <c r="J278" s="2871"/>
    </row>
    <row r="279" spans="10:10" s="659" customFormat="1" ht="21.75" customHeight="1">
      <c r="J279" s="2871"/>
    </row>
    <row r="280" spans="10:10" s="659" customFormat="1" ht="21.75" customHeight="1">
      <c r="J280" s="2871"/>
    </row>
    <row r="281" spans="10:10" s="659" customFormat="1" ht="21.75" customHeight="1">
      <c r="J281" s="2871"/>
    </row>
    <row r="282" spans="10:10" s="659" customFormat="1" ht="21.75" customHeight="1">
      <c r="J282" s="2871"/>
    </row>
    <row r="283" spans="10:10" s="659" customFormat="1" ht="21.75" customHeight="1">
      <c r="J283" s="2871"/>
    </row>
    <row r="284" spans="10:10" s="659" customFormat="1" ht="21.75" customHeight="1">
      <c r="J284" s="2871"/>
    </row>
    <row r="285" spans="10:10" s="659" customFormat="1" ht="21.75" customHeight="1">
      <c r="J285" s="2871"/>
    </row>
    <row r="286" spans="10:10" s="659" customFormat="1" ht="21.75" customHeight="1">
      <c r="J286" s="2871"/>
    </row>
    <row r="287" spans="10:10" s="659" customFormat="1" ht="21.75" customHeight="1">
      <c r="J287" s="2871"/>
    </row>
    <row r="288" spans="10:10" s="659" customFormat="1" ht="21.75" customHeight="1">
      <c r="J288" s="2871"/>
    </row>
    <row r="289" spans="10:10" s="659" customFormat="1" ht="21.75" customHeight="1">
      <c r="J289" s="2871"/>
    </row>
    <row r="290" spans="10:10" s="659" customFormat="1" ht="21.75" customHeight="1">
      <c r="J290" s="2871"/>
    </row>
    <row r="291" spans="10:10" s="659" customFormat="1" ht="21.75" customHeight="1">
      <c r="J291" s="2871"/>
    </row>
    <row r="292" spans="10:10" s="659" customFormat="1" ht="21.75" customHeight="1">
      <c r="J292" s="2871"/>
    </row>
    <row r="293" spans="10:10" s="659" customFormat="1" ht="21.75" customHeight="1">
      <c r="J293" s="2871"/>
    </row>
    <row r="294" spans="10:10" s="659" customFormat="1" ht="21.75" customHeight="1">
      <c r="J294" s="2871"/>
    </row>
    <row r="295" spans="10:10" s="659" customFormat="1" ht="21.75" customHeight="1">
      <c r="J295" s="2871"/>
    </row>
    <row r="296" spans="10:10" s="659" customFormat="1" ht="21.75" customHeight="1">
      <c r="J296" s="2871"/>
    </row>
    <row r="297" spans="10:10" s="659" customFormat="1" ht="21.75" customHeight="1">
      <c r="J297" s="2871"/>
    </row>
    <row r="298" spans="10:10" s="659" customFormat="1" ht="21.75" customHeight="1">
      <c r="J298" s="2871"/>
    </row>
    <row r="299" spans="10:10" s="659" customFormat="1" ht="21.75" customHeight="1">
      <c r="J299" s="2871"/>
    </row>
    <row r="300" spans="10:10" s="659" customFormat="1" ht="21.75" customHeight="1">
      <c r="J300" s="2871"/>
    </row>
    <row r="301" spans="10:10" s="659" customFormat="1" ht="21.75" customHeight="1">
      <c r="J301" s="2871"/>
    </row>
    <row r="302" spans="10:10" s="659" customFormat="1" ht="21.75" customHeight="1">
      <c r="J302" s="2871"/>
    </row>
    <row r="303" spans="10:10" s="659" customFormat="1" ht="21.75" customHeight="1">
      <c r="J303" s="2871"/>
    </row>
    <row r="304" spans="10:10" s="659" customFormat="1" ht="21.75" customHeight="1">
      <c r="J304" s="2871"/>
    </row>
    <row r="305" spans="10:10" s="659" customFormat="1" ht="21.75" customHeight="1">
      <c r="J305" s="2871"/>
    </row>
    <row r="306" spans="10:10" s="659" customFormat="1" ht="21.75" customHeight="1">
      <c r="J306" s="2871"/>
    </row>
    <row r="307" spans="10:10" s="659" customFormat="1" ht="21.75" customHeight="1">
      <c r="J307" s="2871"/>
    </row>
    <row r="308" spans="10:10" s="659" customFormat="1" ht="21.75" customHeight="1">
      <c r="J308" s="2871"/>
    </row>
    <row r="309" spans="10:10" s="659" customFormat="1" ht="21.75" customHeight="1">
      <c r="J309" s="2871"/>
    </row>
    <row r="310" spans="10:10" s="659" customFormat="1" ht="21.75" customHeight="1">
      <c r="J310" s="2871"/>
    </row>
    <row r="311" spans="10:10" s="659" customFormat="1" ht="21.75" customHeight="1">
      <c r="J311" s="2871"/>
    </row>
    <row r="312" spans="10:10" s="659" customFormat="1" ht="21.75" customHeight="1">
      <c r="J312" s="2871"/>
    </row>
    <row r="313" spans="10:10" s="659" customFormat="1" ht="21.75" customHeight="1">
      <c r="J313" s="2871"/>
    </row>
    <row r="314" spans="10:10" s="659" customFormat="1" ht="21.75" customHeight="1">
      <c r="J314" s="2871"/>
    </row>
    <row r="315" spans="10:10" s="659" customFormat="1" ht="21.75" customHeight="1">
      <c r="J315" s="2871"/>
    </row>
    <row r="316" spans="10:10" s="659" customFormat="1" ht="21.75" customHeight="1">
      <c r="J316" s="2871"/>
    </row>
    <row r="317" spans="10:10" s="659" customFormat="1" ht="21.75" customHeight="1">
      <c r="J317" s="2871"/>
    </row>
    <row r="318" spans="10:10" s="659" customFormat="1" ht="21.75" customHeight="1">
      <c r="J318" s="2871"/>
    </row>
    <row r="319" spans="10:10" s="659" customFormat="1" ht="21.75" customHeight="1">
      <c r="J319" s="2871"/>
    </row>
    <row r="320" spans="10:10" s="659" customFormat="1" ht="21.75" customHeight="1">
      <c r="J320" s="2871"/>
    </row>
    <row r="321" spans="10:10" s="659" customFormat="1" ht="21.75" customHeight="1">
      <c r="J321" s="2871"/>
    </row>
    <row r="322" spans="10:10" s="659" customFormat="1" ht="21.75" customHeight="1">
      <c r="J322" s="2871"/>
    </row>
    <row r="323" spans="10:10" s="659" customFormat="1" ht="21.75" customHeight="1">
      <c r="J323" s="2871"/>
    </row>
    <row r="324" spans="10:10" s="659" customFormat="1" ht="21.75" customHeight="1">
      <c r="J324" s="2871"/>
    </row>
    <row r="325" spans="10:10" s="659" customFormat="1" ht="21.75" customHeight="1">
      <c r="J325" s="2871"/>
    </row>
    <row r="326" spans="10:10" s="659" customFormat="1" ht="21.75" customHeight="1">
      <c r="J326" s="2871"/>
    </row>
    <row r="327" spans="10:10" s="659" customFormat="1" ht="21.75" customHeight="1">
      <c r="J327" s="2871"/>
    </row>
    <row r="328" spans="10:10" s="659" customFormat="1" ht="21.75" customHeight="1">
      <c r="J328" s="2871"/>
    </row>
    <row r="329" spans="10:10" s="659" customFormat="1" ht="21.75" customHeight="1">
      <c r="J329" s="2871"/>
    </row>
    <row r="330" spans="10:10" s="659" customFormat="1" ht="21.75" customHeight="1">
      <c r="J330" s="2871"/>
    </row>
    <row r="331" spans="10:10" s="659" customFormat="1" ht="21.75" customHeight="1">
      <c r="J331" s="2871"/>
    </row>
    <row r="332" spans="10:10" s="659" customFormat="1" ht="21.75" customHeight="1">
      <c r="J332" s="2871"/>
    </row>
    <row r="333" spans="10:10" s="659" customFormat="1" ht="21.75" customHeight="1">
      <c r="J333" s="2871"/>
    </row>
    <row r="334" spans="10:10" s="659" customFormat="1" ht="21.75" customHeight="1">
      <c r="J334" s="2871"/>
    </row>
    <row r="335" spans="10:10" s="659" customFormat="1" ht="21.75" customHeight="1">
      <c r="J335" s="2871"/>
    </row>
    <row r="336" spans="10:10" s="659" customFormat="1" ht="21.75" customHeight="1">
      <c r="J336" s="2871"/>
    </row>
    <row r="337" spans="10:10" s="659" customFormat="1" ht="21.75" customHeight="1">
      <c r="J337" s="2871"/>
    </row>
    <row r="338" spans="10:10" s="659" customFormat="1" ht="21.75" customHeight="1">
      <c r="J338" s="2871"/>
    </row>
    <row r="339" spans="10:10" s="659" customFormat="1" ht="21.75" customHeight="1">
      <c r="J339" s="2871"/>
    </row>
    <row r="340" spans="10:10" s="659" customFormat="1" ht="21.75" customHeight="1">
      <c r="J340" s="2871"/>
    </row>
    <row r="341" spans="10:10" s="659" customFormat="1" ht="21.75" customHeight="1">
      <c r="J341" s="2871"/>
    </row>
    <row r="342" spans="10:10" s="659" customFormat="1" ht="21.75" customHeight="1">
      <c r="J342" s="2871"/>
    </row>
    <row r="343" spans="10:10" s="659" customFormat="1" ht="21.75" customHeight="1">
      <c r="J343" s="2871"/>
    </row>
    <row r="344" spans="10:10" s="659" customFormat="1" ht="21.75" customHeight="1">
      <c r="J344" s="2871"/>
    </row>
    <row r="345" spans="10:10" s="659" customFormat="1" ht="21.75" customHeight="1">
      <c r="J345" s="2871"/>
    </row>
    <row r="346" spans="10:10" s="659" customFormat="1" ht="21.75" customHeight="1">
      <c r="J346" s="2871"/>
    </row>
    <row r="347" spans="10:10" s="659" customFormat="1" ht="21.75" customHeight="1">
      <c r="J347" s="2871"/>
    </row>
    <row r="348" spans="10:10" s="659" customFormat="1" ht="21.75" customHeight="1">
      <c r="J348" s="2871"/>
    </row>
    <row r="349" spans="10:10" s="659" customFormat="1" ht="21.75" customHeight="1">
      <c r="J349" s="2871"/>
    </row>
    <row r="350" spans="10:10" s="659" customFormat="1" ht="21.75" customHeight="1">
      <c r="J350" s="2871"/>
    </row>
    <row r="351" spans="10:10" s="659" customFormat="1" ht="21.75" customHeight="1">
      <c r="J351" s="2871"/>
    </row>
    <row r="352" spans="10:10" s="659" customFormat="1" ht="21.75" customHeight="1">
      <c r="J352" s="2871"/>
    </row>
    <row r="353" spans="10:10" s="659" customFormat="1" ht="21.75" customHeight="1">
      <c r="J353" s="2871"/>
    </row>
    <row r="354" spans="10:10" s="659" customFormat="1" ht="21.75" customHeight="1">
      <c r="J354" s="2871"/>
    </row>
    <row r="355" spans="10:10" s="659" customFormat="1" ht="21.75" customHeight="1">
      <c r="J355" s="2871"/>
    </row>
    <row r="356" spans="10:10" s="659" customFormat="1" ht="21.75" customHeight="1">
      <c r="J356" s="2871"/>
    </row>
    <row r="357" spans="10:10" s="659" customFormat="1" ht="21.75" customHeight="1">
      <c r="J357" s="2871"/>
    </row>
    <row r="358" spans="10:10" s="659" customFormat="1" ht="21.75" customHeight="1">
      <c r="J358" s="2871"/>
    </row>
    <row r="359" spans="10:10" s="659" customFormat="1" ht="21.75" customHeight="1">
      <c r="J359" s="2871"/>
    </row>
    <row r="360" spans="10:10" s="659" customFormat="1" ht="21.75" customHeight="1">
      <c r="J360" s="2871"/>
    </row>
    <row r="361" spans="10:10" s="659" customFormat="1" ht="21.75" customHeight="1">
      <c r="J361" s="2871"/>
    </row>
    <row r="362" spans="10:10" s="659" customFormat="1" ht="21.75" customHeight="1">
      <c r="J362" s="2871"/>
    </row>
    <row r="363" spans="10:10" s="659" customFormat="1" ht="21.75" customHeight="1">
      <c r="J363" s="2871"/>
    </row>
    <row r="364" spans="10:10" s="659" customFormat="1" ht="21.75" customHeight="1">
      <c r="J364" s="2871"/>
    </row>
    <row r="365" spans="10:10" s="659" customFormat="1" ht="21.75" customHeight="1">
      <c r="J365" s="2871"/>
    </row>
    <row r="366" spans="10:10" s="659" customFormat="1" ht="21.75" customHeight="1">
      <c r="J366" s="2871"/>
    </row>
    <row r="367" spans="10:10" s="659" customFormat="1" ht="21.75" customHeight="1">
      <c r="J367" s="2871"/>
    </row>
    <row r="368" spans="10:10" s="659" customFormat="1" ht="21.75" customHeight="1">
      <c r="J368" s="2871"/>
    </row>
    <row r="369" spans="10:10" s="659" customFormat="1" ht="21.75" customHeight="1">
      <c r="J369" s="2871"/>
    </row>
    <row r="370" spans="10:10" s="659" customFormat="1" ht="21.75" customHeight="1">
      <c r="J370" s="2871"/>
    </row>
    <row r="371" spans="10:10" s="659" customFormat="1" ht="21.75" customHeight="1">
      <c r="J371" s="2871"/>
    </row>
    <row r="372" spans="10:10" s="659" customFormat="1" ht="21.75" customHeight="1">
      <c r="J372" s="2871"/>
    </row>
    <row r="373" spans="10:10" s="659" customFormat="1" ht="21.75" customHeight="1">
      <c r="J373" s="2871"/>
    </row>
    <row r="374" spans="10:10" s="659" customFormat="1" ht="21.75" customHeight="1">
      <c r="J374" s="2871"/>
    </row>
    <row r="375" spans="10:10" s="659" customFormat="1" ht="21.75" customHeight="1">
      <c r="J375" s="2871"/>
    </row>
    <row r="376" spans="10:10" s="659" customFormat="1" ht="21.75" customHeight="1">
      <c r="J376" s="2871"/>
    </row>
    <row r="377" spans="10:10" s="659" customFormat="1" ht="21.75" customHeight="1">
      <c r="J377" s="2871"/>
    </row>
    <row r="378" spans="10:10" s="659" customFormat="1" ht="21.75" customHeight="1">
      <c r="J378" s="2871"/>
    </row>
    <row r="379" spans="10:10" s="659" customFormat="1" ht="21.75" customHeight="1">
      <c r="J379" s="2871"/>
    </row>
    <row r="380" spans="10:10" s="659" customFormat="1" ht="21.75" customHeight="1">
      <c r="J380" s="2871"/>
    </row>
    <row r="381" spans="10:10" s="659" customFormat="1" ht="21.75" customHeight="1">
      <c r="J381" s="2871"/>
    </row>
    <row r="382" spans="10:10" s="659" customFormat="1" ht="21.75" customHeight="1">
      <c r="J382" s="2871"/>
    </row>
    <row r="383" spans="10:10" s="659" customFormat="1" ht="21.75" customHeight="1">
      <c r="J383" s="2871"/>
    </row>
    <row r="384" spans="10:10" s="659" customFormat="1" ht="21.75" customHeight="1">
      <c r="J384" s="2871"/>
    </row>
    <row r="385" spans="10:10" s="659" customFormat="1" ht="21.75" customHeight="1">
      <c r="J385" s="2871"/>
    </row>
    <row r="386" spans="10:10" s="659" customFormat="1" ht="21.75" customHeight="1">
      <c r="J386" s="2871"/>
    </row>
    <row r="387" spans="10:10" s="659" customFormat="1" ht="21.75" customHeight="1">
      <c r="J387" s="2871"/>
    </row>
    <row r="388" spans="10:10" s="659" customFormat="1" ht="21.75" customHeight="1">
      <c r="J388" s="2871"/>
    </row>
    <row r="389" spans="10:10" s="659" customFormat="1" ht="21.75" customHeight="1">
      <c r="J389" s="2871"/>
    </row>
    <row r="390" spans="10:10" s="659" customFormat="1" ht="21.75" customHeight="1">
      <c r="J390" s="2871"/>
    </row>
    <row r="391" spans="10:10" s="659" customFormat="1" ht="21.75" customHeight="1">
      <c r="J391" s="2871"/>
    </row>
    <row r="392" spans="10:10" s="659" customFormat="1" ht="21.75" customHeight="1">
      <c r="J392" s="2871"/>
    </row>
    <row r="393" spans="10:10" s="659" customFormat="1" ht="21.75" customHeight="1">
      <c r="J393" s="2871"/>
    </row>
    <row r="394" spans="10:10" s="659" customFormat="1" ht="21.75" customHeight="1">
      <c r="J394" s="2871"/>
    </row>
    <row r="395" spans="10:10" s="659" customFormat="1" ht="21.75" customHeight="1">
      <c r="J395" s="2871"/>
    </row>
    <row r="396" spans="10:10" s="659" customFormat="1" ht="21.75" customHeight="1">
      <c r="J396" s="2871"/>
    </row>
    <row r="397" spans="10:10" s="659" customFormat="1" ht="21.75" customHeight="1">
      <c r="J397" s="2871"/>
    </row>
    <row r="398" spans="10:10" s="659" customFormat="1" ht="21.75" customHeight="1">
      <c r="J398" s="2871"/>
    </row>
    <row r="399" spans="10:10" s="659" customFormat="1" ht="21.75" customHeight="1">
      <c r="J399" s="2871"/>
    </row>
    <row r="400" spans="10:10" s="659" customFormat="1" ht="21.75" customHeight="1">
      <c r="J400" s="2871"/>
    </row>
    <row r="401" spans="10:27" s="659" customFormat="1" ht="21.75" customHeight="1">
      <c r="J401" s="2871"/>
    </row>
    <row r="402" spans="10:27" s="659" customFormat="1" ht="21.75" customHeight="1">
      <c r="J402" s="2871"/>
    </row>
    <row r="403" spans="10:27" s="1308" customFormat="1" ht="21.75" customHeight="1">
      <c r="J403" s="2841"/>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1"/>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1"/>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1"/>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1"/>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1"/>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1"/>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1"/>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1"/>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1"/>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1"/>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1"/>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1"/>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1"/>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1"/>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1"/>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1"/>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1"/>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1"/>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1"/>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1"/>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1"/>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1"/>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1"/>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1"/>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1"/>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1"/>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1"/>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1"/>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1"/>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1"/>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1"/>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1"/>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1"/>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1"/>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1"/>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1"/>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1"/>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1"/>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1"/>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1"/>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1"/>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1"/>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1"/>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1"/>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1"/>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1"/>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1"/>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1"/>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1"/>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1"/>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1"/>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1"/>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1"/>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1"/>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1"/>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1"/>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1"/>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1"/>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1"/>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1"/>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1"/>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1"/>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1"/>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1"/>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1"/>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1"/>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1"/>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1"/>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1"/>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1"/>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1"/>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1"/>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1"/>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1"/>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1"/>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1"/>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1"/>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1"/>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1"/>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1"/>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1"/>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1"/>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1"/>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1"/>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1"/>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1"/>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1"/>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1"/>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1"/>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1"/>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1"/>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1"/>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1"/>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1"/>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1"/>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1"/>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1"/>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1"/>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1"/>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1"/>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1"/>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1"/>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1"/>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1"/>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1"/>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1"/>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1"/>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1"/>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1"/>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1"/>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1"/>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1"/>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2"/>
      <c r="G516" s="1462"/>
      <c r="H516" s="1462"/>
      <c r="I516" s="1462"/>
      <c r="J516" s="2841"/>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9" type="noConversion"/>
  <conditionalFormatting sqref="C5:C7">
    <cfRule type="cellIs" dxfId="243" priority="21" stopIfTrue="1" operator="equal">
      <formula>25</formula>
    </cfRule>
  </conditionalFormatting>
  <conditionalFormatting sqref="C8:C9">
    <cfRule type="cellIs" dxfId="242" priority="19" stopIfTrue="1" operator="equal">
      <formula>15</formula>
    </cfRule>
  </conditionalFormatting>
  <conditionalFormatting sqref="C14:C16">
    <cfRule type="cellIs" dxfId="241" priority="13" stopIfTrue="1" operator="equal">
      <formula>30</formula>
    </cfRule>
  </conditionalFormatting>
  <conditionalFormatting sqref="D5:D7">
    <cfRule type="cellIs" dxfId="240" priority="10" stopIfTrue="1" operator="equal">
      <formula>25</formula>
    </cfRule>
  </conditionalFormatting>
  <conditionalFormatting sqref="D8:D9">
    <cfRule type="cellIs" dxfId="239" priority="9" stopIfTrue="1" operator="equal">
      <formula>15</formula>
    </cfRule>
  </conditionalFormatting>
  <conditionalFormatting sqref="C10:D13">
    <cfRule type="cellIs" dxfId="238" priority="8" stopIfTrue="1" operator="equal">
      <formula>15</formula>
    </cfRule>
  </conditionalFormatting>
  <conditionalFormatting sqref="D14:D16">
    <cfRule type="cellIs" dxfId="237" priority="6" stopIfTrue="1" operator="equal">
      <formula>30</formula>
    </cfRule>
  </conditionalFormatting>
  <conditionalFormatting sqref="C90">
    <cfRule type="expression" dxfId="236" priority="3" stopIfTrue="1">
      <formula>$H$88&lt;&gt;"仅含出让金"</formula>
    </cfRule>
  </conditionalFormatting>
  <conditionalFormatting sqref="C91">
    <cfRule type="expression" dxfId="235" priority="2" stopIfTrue="1">
      <formula>$H$91="由企业提供"</formula>
    </cfRule>
  </conditionalFormatting>
  <dataValidations count="16">
    <dataValidation type="list" allowBlank="1" showInputMessage="1" showErrorMessage="1" sqref="C4:D4" xr:uid="{00000000-0002-0000-0D00-000000000000}">
      <formula1>估价方法</formula1>
    </dataValidation>
    <dataValidation type="list" allowBlank="1" showInputMessage="1" showErrorMessage="1" sqref="H55:H56" xr:uid="{00000000-0002-0000-0D00-000001000000}">
      <formula1>"个人住宅,正常"</formula1>
    </dataValidation>
    <dataValidation type="list" allowBlank="1" showInputMessage="1" showErrorMessage="1" sqref="H48" xr:uid="{00000000-0002-0000-0D00-000002000000}">
      <formula1>"情况1,情况2,情况3,情况4"</formula1>
    </dataValidation>
    <dataValidation type="list" allowBlank="1" showInputMessage="1" showErrorMessage="1" sqref="H58" xr:uid="{00000000-0002-0000-0D00-000003000000}">
      <formula1>"转让取得,自行开发建设"</formula1>
    </dataValidation>
    <dataValidation type="list" allowBlank="1" showInputMessage="1" showErrorMessage="1" sqref="F45" xr:uid="{00000000-0002-0000-0D00-000004000000}">
      <formula1>"100%,80%,60%,64%"</formula1>
    </dataValidation>
    <dataValidation type="list" allowBlank="1" showInputMessage="1" showErrorMessage="1" sqref="D33" xr:uid="{00000000-0002-0000-0D00-000005000000}">
      <formula1>"成本法成本比率,收益法收益比率,收益法成本比率,自定义"</formula1>
    </dataValidation>
    <dataValidation type="list" allowBlank="1" showInputMessage="1" showErrorMessage="1" sqref="H88" xr:uid="{00000000-0002-0000-0D00-000006000000}">
      <formula1>"仅含出让金,出让金+开发费"</formula1>
    </dataValidation>
    <dataValidation type="list" allowBlank="1" showInputMessage="1" showErrorMessage="1" sqref="F75" xr:uid="{00000000-0002-0000-0D00-000007000000}">
      <formula1>"买卖合同,购房发票"</formula1>
    </dataValidation>
    <dataValidation type="list" allowBlank="1" showInputMessage="1" showErrorMessage="1" sqref="D36" xr:uid="{00000000-0002-0000-0D00-000008000000}">
      <formula1>"同一抵押权人同一抵押物续贷,注销后放款,正常操作"</formula1>
    </dataValidation>
    <dataValidation type="list" allowBlank="1" showInputMessage="1" showErrorMessage="1" sqref="D119:E119" xr:uid="{00000000-0002-0000-0D00-000009000000}">
      <formula1>"出让国有建设用地使用权价值,划拨国有建设用地使用权价值"</formula1>
    </dataValidation>
    <dataValidation type="list" allowBlank="1" showInputMessage="1" showErrorMessage="1" sqref="C133" xr:uid="{00000000-0002-0000-0D00-00000A000000}">
      <formula1>"无,有"</formula1>
    </dataValidation>
    <dataValidation type="list" allowBlank="1" showInputMessage="1" showErrorMessage="1" sqref="H59" xr:uid="{00000000-0002-0000-0D00-00000B000000}">
      <formula1>"非个人房产,个人住宅（满五唯一有凭证）,个人其他（有凭证）,个人其他（无凭证）"</formula1>
    </dataValidation>
    <dataValidation type="list" allowBlank="1" showInputMessage="1" showErrorMessage="1" sqref="H91" xr:uid="{00000000-0002-0000-0D00-00000C000000}">
      <formula1>"企业提供（在右侧录入）,——"</formula1>
    </dataValidation>
    <dataValidation type="list" allowBlank="1" showInputMessage="1" showErrorMessage="1" sqref="G77" xr:uid="{00000000-0002-0000-0D00-00000D000000}">
      <formula1>"个人住宅,2016年5月1日前购买,2016年5月1日后购买"</formula1>
    </dataValidation>
    <dataValidation type="list" allowBlank="1" showInputMessage="1" showErrorMessage="1" sqref="A27" xr:uid="{00000000-0002-0000-0D00-00000E000000}">
      <formula1>"成本价,优惠价,标准价,经适房,按经适房管理"</formula1>
    </dataValidation>
    <dataValidation type="list" allowBlank="1" showInputMessage="1" showErrorMessage="1" sqref="D92" xr:uid="{00000000-0002-0000-0D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rgb="FFFF0000"/>
  </sheetPr>
  <dimension ref="A1:AJ520"/>
  <sheetViews>
    <sheetView view="pageBreakPreview" zoomScale="70" zoomScaleSheetLayoutView="70" zoomScalePageLayoutView="80" workbookViewId="0">
      <selection activeCell="A58" sqref="A58:C58"/>
    </sheetView>
  </sheetViews>
  <sheetFormatPr defaultColWidth="12.625" defaultRowHeight="21.75" customHeight="1"/>
  <cols>
    <col min="1" max="1" width="12.625" style="1462"/>
    <col min="2" max="2" width="17.625" style="1462" customWidth="1"/>
    <col min="3" max="4" width="12.625" style="1462" customWidth="1"/>
    <col min="5" max="9" width="12.625" style="1462"/>
    <col min="10" max="10" width="4.125" style="2841"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1880</v>
      </c>
      <c r="B1" s="1461"/>
      <c r="C1" s="1461"/>
      <c r="D1" s="1461"/>
      <c r="E1" s="1461"/>
      <c r="F1" s="1461"/>
      <c r="G1" s="1461"/>
      <c r="H1" s="1461"/>
      <c r="I1" s="1461"/>
    </row>
    <row r="2" spans="1:15" ht="21.75" customHeight="1">
      <c r="A2" s="4448" t="s">
        <v>1881</v>
      </c>
      <c r="B2" s="4448"/>
      <c r="C2" s="4448"/>
      <c r="D2" s="4448"/>
      <c r="E2" s="4448"/>
      <c r="F2" s="4448"/>
      <c r="G2" s="4448"/>
      <c r="H2" s="4448"/>
      <c r="I2" s="4448"/>
      <c r="J2" s="2873"/>
    </row>
    <row r="3" spans="1:15" ht="12.75">
      <c r="A3" s="4372" t="s">
        <v>1709</v>
      </c>
      <c r="B3" s="4373"/>
      <c r="C3" s="4373"/>
      <c r="D3" s="4373"/>
      <c r="E3" s="4373"/>
      <c r="F3" s="4373"/>
      <c r="G3" s="4373"/>
      <c r="H3" s="4373"/>
      <c r="I3" s="4373"/>
      <c r="J3" s="2843"/>
    </row>
    <row r="4" spans="1:15" ht="14.25">
      <c r="A4" s="2711" t="s">
        <v>1710</v>
      </c>
      <c r="B4" s="2711" t="s">
        <v>1711</v>
      </c>
      <c r="C4" s="2712"/>
      <c r="D4" s="2712"/>
      <c r="E4" s="4318" t="s">
        <v>1882</v>
      </c>
      <c r="F4" s="4356"/>
      <c r="G4" s="4356"/>
      <c r="H4" s="4356"/>
      <c r="I4" s="4357"/>
      <c r="J4" s="2844"/>
      <c r="L4" s="146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6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61"/>
      <c r="O4" s="1461"/>
    </row>
    <row r="5" spans="1:15" ht="12.75">
      <c r="A5" s="4349" t="s">
        <v>1713</v>
      </c>
      <c r="B5" s="4349">
        <v>25</v>
      </c>
      <c r="C5" s="4358"/>
      <c r="D5" s="4371"/>
      <c r="E5" s="12" t="s">
        <v>1714</v>
      </c>
      <c r="F5" s="2088"/>
      <c r="G5" s="2088"/>
      <c r="H5" s="2088"/>
      <c r="I5" s="2083"/>
      <c r="J5" s="2844"/>
    </row>
    <row r="6" spans="1:15" ht="12.75">
      <c r="A6" s="4349"/>
      <c r="B6" s="4349"/>
      <c r="C6" s="4374"/>
      <c r="D6" s="4371"/>
      <c r="E6" s="12" t="s">
        <v>1715</v>
      </c>
      <c r="F6" s="2088"/>
      <c r="G6" s="2088"/>
      <c r="H6" s="2088"/>
      <c r="I6" s="2083"/>
      <c r="J6" s="2844"/>
    </row>
    <row r="7" spans="1:15" ht="12.75">
      <c r="A7" s="4349"/>
      <c r="B7" s="4349"/>
      <c r="C7" s="4359"/>
      <c r="D7" s="4371"/>
      <c r="E7" s="12" t="s">
        <v>1716</v>
      </c>
      <c r="F7" s="2088"/>
      <c r="G7" s="2088"/>
      <c r="H7" s="2088"/>
      <c r="I7" s="2083"/>
      <c r="J7" s="2844"/>
    </row>
    <row r="8" spans="1:15" ht="12.75">
      <c r="A8" s="4349" t="s">
        <v>1717</v>
      </c>
      <c r="B8" s="4349">
        <v>15</v>
      </c>
      <c r="C8" s="4358"/>
      <c r="D8" s="4371"/>
      <c r="E8" s="12" t="s">
        <v>1718</v>
      </c>
      <c r="F8" s="2088"/>
      <c r="G8" s="2088"/>
      <c r="H8" s="2088"/>
      <c r="I8" s="2083"/>
      <c r="J8" s="2844"/>
    </row>
    <row r="9" spans="1:15" ht="12.75">
      <c r="A9" s="4349"/>
      <c r="B9" s="4349"/>
      <c r="C9" s="4359"/>
      <c r="D9" s="4371"/>
      <c r="E9" s="12" t="s">
        <v>1719</v>
      </c>
      <c r="F9" s="2088"/>
      <c r="G9" s="2088"/>
      <c r="H9" s="2088"/>
      <c r="I9" s="2083"/>
      <c r="J9" s="2844"/>
    </row>
    <row r="10" spans="1:15" ht="12.75">
      <c r="A10" s="4349" t="s">
        <v>1720</v>
      </c>
      <c r="B10" s="4349">
        <v>15</v>
      </c>
      <c r="C10" s="4358"/>
      <c r="D10" s="4371"/>
      <c r="E10" s="12" t="s">
        <v>1721</v>
      </c>
      <c r="F10" s="2088"/>
      <c r="G10" s="2088"/>
      <c r="H10" s="2088"/>
      <c r="I10" s="2083"/>
      <c r="J10" s="2844"/>
    </row>
    <row r="11" spans="1:15" ht="12.75">
      <c r="A11" s="4349"/>
      <c r="B11" s="4349"/>
      <c r="C11" s="4359"/>
      <c r="D11" s="4371"/>
      <c r="E11" s="12" t="s">
        <v>1722</v>
      </c>
      <c r="F11" s="2088"/>
      <c r="G11" s="2088"/>
      <c r="H11" s="2088"/>
      <c r="I11" s="2083"/>
      <c r="J11" s="2844"/>
    </row>
    <row r="12" spans="1:15" ht="12.75">
      <c r="A12" s="4349" t="s">
        <v>1723</v>
      </c>
      <c r="B12" s="4349">
        <v>15</v>
      </c>
      <c r="C12" s="4358"/>
      <c r="D12" s="4371"/>
      <c r="E12" s="12" t="s">
        <v>1724</v>
      </c>
      <c r="F12" s="2088"/>
      <c r="G12" s="2088"/>
      <c r="H12" s="2088"/>
      <c r="I12" s="2083"/>
      <c r="J12" s="2844"/>
    </row>
    <row r="13" spans="1:15" ht="12.75">
      <c r="A13" s="4349"/>
      <c r="B13" s="4349"/>
      <c r="C13" s="4359"/>
      <c r="D13" s="4371"/>
      <c r="E13" s="12" t="s">
        <v>1725</v>
      </c>
      <c r="F13" s="2088"/>
      <c r="G13" s="2088"/>
      <c r="H13" s="2088"/>
      <c r="I13" s="2083"/>
      <c r="J13" s="2844"/>
    </row>
    <row r="14" spans="1:15" ht="12.75">
      <c r="A14" s="4349" t="s">
        <v>1726</v>
      </c>
      <c r="B14" s="4349">
        <v>30</v>
      </c>
      <c r="C14" s="4358"/>
      <c r="D14" s="4371"/>
      <c r="E14" s="12" t="s">
        <v>1727</v>
      </c>
      <c r="F14" s="2088"/>
      <c r="G14" s="2088"/>
      <c r="H14" s="2088"/>
      <c r="I14" s="2083"/>
      <c r="J14" s="2844"/>
    </row>
    <row r="15" spans="1:15" ht="12.75">
      <c r="A15" s="4349"/>
      <c r="B15" s="4349"/>
      <c r="C15" s="4374"/>
      <c r="D15" s="4371"/>
      <c r="E15" s="12" t="s">
        <v>1728</v>
      </c>
      <c r="F15" s="2088"/>
      <c r="G15" s="2088"/>
      <c r="H15" s="2088"/>
      <c r="I15" s="2083"/>
      <c r="J15" s="2844"/>
    </row>
    <row r="16" spans="1:15" ht="12.75">
      <c r="A16" s="4349"/>
      <c r="B16" s="4349"/>
      <c r="C16" s="4359"/>
      <c r="D16" s="4371"/>
      <c r="E16" s="12" t="s">
        <v>1729</v>
      </c>
      <c r="F16" s="2088"/>
      <c r="G16" s="2088"/>
      <c r="H16" s="2088"/>
      <c r="I16" s="2083"/>
      <c r="J16" s="2844"/>
    </row>
    <row r="17" spans="1:36" ht="15">
      <c r="A17" s="2713" t="s">
        <v>1730</v>
      </c>
      <c r="B17" s="2093"/>
      <c r="C17" s="2714">
        <f>SUM(C5:C16)</f>
        <v>0</v>
      </c>
      <c r="D17" s="2714">
        <f>SUM(D5:D16)</f>
        <v>0</v>
      </c>
      <c r="E17" s="2561"/>
      <c r="F17" s="2561"/>
      <c r="G17" s="2561"/>
      <c r="H17" s="2561"/>
      <c r="I17" s="2561"/>
      <c r="J17" s="2845"/>
    </row>
    <row r="18" spans="1:36" ht="32.450000000000003" customHeight="1" thickBot="1">
      <c r="A18" s="2715" t="s">
        <v>1731</v>
      </c>
      <c r="B18" s="2716"/>
      <c r="C18" s="2717" t="e">
        <f>ROUND(C17/SUM(C17:D17),2)</f>
        <v>#DIV/0!</v>
      </c>
      <c r="D18" s="2717" t="e">
        <f>1-C18</f>
        <v>#DIV/0!</v>
      </c>
      <c r="E18" s="4367" t="s">
        <v>2811</v>
      </c>
      <c r="F18" s="4368"/>
      <c r="G18" s="4368"/>
      <c r="H18" s="4368"/>
      <c r="I18" s="4368"/>
      <c r="J18" s="2845"/>
    </row>
    <row r="19" spans="1:36" ht="15">
      <c r="A19" s="2718" t="s">
        <v>1732</v>
      </c>
      <c r="B19" s="2719" t="s">
        <v>1733</v>
      </c>
      <c r="C19" s="2720" t="e">
        <f ca="1">SUMIF(INDIRECT("'"&amp;C4&amp;"'"&amp;"!A:A"),'结果表 (1修多)'!B19,INDIRECT("'"&amp;C4&amp;"'"&amp;"!B:B"))</f>
        <v>#REF!</v>
      </c>
      <c r="D19" s="2721" t="e">
        <f ca="1">SUMIF(INDIRECT("'"&amp;D4&amp;"'"&amp;"!A:A"),'结果表 (1修多)'!B19,INDIRECT("'"&amp;D4&amp;"'"&amp;"!B:B"))</f>
        <v>#REF!</v>
      </c>
      <c r="E19" s="2718" t="s">
        <v>1734</v>
      </c>
      <c r="F19" s="2719" t="s">
        <v>1733</v>
      </c>
      <c r="G19" s="2722" t="e">
        <f ca="1">ROUND(C19*$C$18+D19*$D$18,0)</f>
        <v>#REF!</v>
      </c>
      <c r="H19" s="2723" t="str">
        <f>'数据-取费表'!B3</f>
        <v>元</v>
      </c>
      <c r="I19" s="2561"/>
      <c r="J19" s="2845"/>
    </row>
    <row r="20" spans="1:36" ht="15">
      <c r="A20" s="2724"/>
      <c r="B20" s="1693" t="s">
        <v>1735</v>
      </c>
      <c r="C20" s="1918" t="e">
        <f ca="1">SUMIF(INDIRECT("'"&amp;C4&amp;"'"&amp;"!A:A"),'结果表 (1修多)'!B20,INDIRECT("'"&amp;C4&amp;"'"&amp;"!B:B"))</f>
        <v>#REF!</v>
      </c>
      <c r="D20" s="1921" t="e">
        <f ca="1">SUMIF(INDIRECT("'"&amp;D4&amp;"'"&amp;"!A:A"),'结果表 (1修多)'!B20,INDIRECT("'"&amp;D4&amp;"'"&amp;"!B:B"))</f>
        <v>#REF!</v>
      </c>
      <c r="E20" s="2724"/>
      <c r="F20" s="1693" t="s">
        <v>1735</v>
      </c>
      <c r="G20" s="2092" t="e">
        <f ca="1">ROUND(C20*$C$18+D20*$D$18,0)</f>
        <v>#REF!</v>
      </c>
      <c r="H20" s="2725" t="s">
        <v>1736</v>
      </c>
      <c r="I20" s="2561"/>
      <c r="J20" s="2845"/>
    </row>
    <row r="21" spans="1:36" ht="15" customHeight="1" thickBot="1">
      <c r="A21" s="2726"/>
      <c r="B21" s="2727"/>
      <c r="C21" s="2727"/>
      <c r="D21" s="2728"/>
      <c r="E21" s="2726"/>
      <c r="F21" s="2727"/>
      <c r="G21" s="2729"/>
      <c r="H21" s="2730"/>
      <c r="I21" s="2561"/>
      <c r="J21" s="2845"/>
    </row>
    <row r="22" spans="1:36" ht="15" thickBot="1">
      <c r="A22" s="2731" t="s">
        <v>1737</v>
      </c>
      <c r="B22" s="2732"/>
      <c r="C22" s="2645"/>
      <c r="D22" s="2733" t="e">
        <f ca="1">IF(C19&lt;D19,D19/C19-1,C19/D19-1)</f>
        <v>#REF!</v>
      </c>
      <c r="E22" s="947"/>
      <c r="F22" s="947"/>
      <c r="G22" s="947"/>
      <c r="H22" s="947"/>
      <c r="I22" s="947"/>
      <c r="J22" s="2845"/>
    </row>
    <row r="23" spans="1:36" ht="13.5" thickBot="1">
      <c r="A23" s="2561"/>
      <c r="B23" s="2561"/>
      <c r="C23" s="2561"/>
      <c r="D23" s="2561"/>
      <c r="E23" s="947"/>
      <c r="F23" s="947"/>
      <c r="G23" s="947"/>
      <c r="H23" s="947"/>
      <c r="I23" s="947"/>
      <c r="J23" s="2845"/>
    </row>
    <row r="24" spans="1:36" ht="21.75" customHeight="1">
      <c r="A24" s="4360" t="s">
        <v>1738</v>
      </c>
      <c r="B24" s="2719" t="s">
        <v>1733</v>
      </c>
      <c r="C24" s="2722">
        <f>D30</f>
        <v>0</v>
      </c>
      <c r="D24" s="2674"/>
      <c r="E24" s="947"/>
      <c r="F24" s="947"/>
      <c r="G24" s="947"/>
      <c r="H24" s="947"/>
      <c r="I24" s="947"/>
      <c r="J24" s="2845"/>
    </row>
    <row r="25" spans="1:36" ht="21.75" customHeight="1">
      <c r="A25" s="4377"/>
      <c r="B25" s="1693" t="s">
        <v>1735</v>
      </c>
      <c r="C25" s="2734">
        <f>IF(B30=0,0,C30)</f>
        <v>0</v>
      </c>
      <c r="D25" s="2735"/>
      <c r="E25" s="947"/>
      <c r="F25" s="947"/>
      <c r="G25" s="947"/>
      <c r="H25" s="947"/>
      <c r="I25" s="947"/>
      <c r="J25" s="2845"/>
    </row>
    <row r="26" spans="1:36" ht="13.5" customHeight="1">
      <c r="A26" s="2736" t="s">
        <v>1739</v>
      </c>
      <c r="B26" s="2737" t="s">
        <v>1740</v>
      </c>
      <c r="C26" s="2737" t="s">
        <v>1741</v>
      </c>
      <c r="D26" s="2738" t="s">
        <v>1742</v>
      </c>
      <c r="E26" s="947"/>
      <c r="F26" s="947"/>
      <c r="G26" s="947"/>
      <c r="H26" s="947"/>
      <c r="I26" s="947"/>
      <c r="J26" s="2845"/>
    </row>
    <row r="27" spans="1:36" ht="14.25">
      <c r="A27" s="2739" t="s">
        <v>1883</v>
      </c>
      <c r="B27" s="2737">
        <v>0</v>
      </c>
      <c r="C27" s="2737">
        <v>0</v>
      </c>
      <c r="D27" s="2738">
        <f>ROUND(C27*B27/10000,0)</f>
        <v>0</v>
      </c>
      <c r="E27" s="947"/>
      <c r="F27" s="947"/>
      <c r="G27" s="947"/>
      <c r="H27" s="947"/>
      <c r="I27" s="947"/>
      <c r="J27" s="2845"/>
    </row>
    <row r="28" spans="1:36" ht="14.25">
      <c r="A28" s="2736"/>
      <c r="B28" s="2737"/>
      <c r="C28" s="2737"/>
      <c r="D28" s="2738">
        <f>ROUND(C28*B28/10000,0)</f>
        <v>0</v>
      </c>
      <c r="E28" s="947"/>
      <c r="F28" s="947"/>
      <c r="G28" s="947"/>
      <c r="H28" s="947"/>
      <c r="I28" s="947"/>
      <c r="J28" s="2845"/>
    </row>
    <row r="29" spans="1:36" ht="14.25">
      <c r="A29" s="2736"/>
      <c r="B29" s="2737"/>
      <c r="C29" s="2737"/>
      <c r="D29" s="2738">
        <f t="shared" ref="D29" si="0">ROUND(C29*B29/10000,0)</f>
        <v>0</v>
      </c>
      <c r="E29" s="947"/>
      <c r="F29" s="947"/>
      <c r="G29" s="947"/>
      <c r="H29" s="947"/>
      <c r="I29" s="947"/>
      <c r="J29" s="2845"/>
    </row>
    <row r="30" spans="1:36" ht="15" thickBot="1">
      <c r="A30" s="2772" t="s">
        <v>1884</v>
      </c>
      <c r="B30" s="2773"/>
      <c r="C30" s="2773"/>
      <c r="D30" s="2773"/>
      <c r="E30" s="2740" t="s">
        <v>2815</v>
      </c>
      <c r="F30" s="2561"/>
      <c r="G30" s="2561"/>
      <c r="H30" s="2561"/>
      <c r="I30" s="2561"/>
      <c r="J30" s="2845"/>
    </row>
    <row r="31" spans="1:36" s="2838" customFormat="1" ht="27.6" customHeight="1" thickTop="1" thickBot="1">
      <c r="A31" s="2833"/>
      <c r="B31" s="2834"/>
      <c r="C31" s="2834"/>
      <c r="D31" s="2834"/>
      <c r="E31" s="2834"/>
      <c r="F31" s="2834"/>
      <c r="G31" s="2834"/>
      <c r="H31" s="2834"/>
      <c r="I31" s="2835" t="s">
        <v>2816</v>
      </c>
      <c r="J31" s="2847"/>
      <c r="K31" s="2836"/>
      <c r="L31" s="2836"/>
      <c r="M31" s="2836"/>
      <c r="N31" s="2836"/>
      <c r="O31" s="2836"/>
      <c r="P31" s="2836"/>
      <c r="Q31" s="2836"/>
      <c r="R31" s="2836"/>
      <c r="S31" s="2836"/>
      <c r="T31" s="2836"/>
      <c r="U31" s="2836"/>
      <c r="V31" s="2836"/>
      <c r="W31" s="2836"/>
      <c r="X31" s="2836"/>
      <c r="Y31" s="2836"/>
      <c r="Z31" s="2836"/>
      <c r="AA31" s="2836"/>
      <c r="AB31" s="2837"/>
      <c r="AC31" s="2837"/>
      <c r="AD31" s="2837"/>
      <c r="AE31" s="2837"/>
      <c r="AF31" s="2837"/>
      <c r="AG31" s="2837"/>
      <c r="AH31" s="2837"/>
      <c r="AI31" s="2837"/>
      <c r="AJ31" s="2837"/>
    </row>
    <row r="32" spans="1:36" s="1465" customFormat="1" ht="16.5" thickTop="1" thickBot="1">
      <c r="A32" s="4425" t="s">
        <v>1885</v>
      </c>
      <c r="B32" s="4425"/>
      <c r="C32" s="4425"/>
      <c r="D32" s="4425"/>
      <c r="E32" s="4425"/>
      <c r="F32" s="4425"/>
      <c r="G32" s="4425"/>
      <c r="H32" s="4425"/>
      <c r="I32" s="4425"/>
      <c r="J32" s="2874"/>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5">
      <c r="A33" s="1511"/>
      <c r="B33" s="2774" t="s">
        <v>1886</v>
      </c>
      <c r="C33" s="2775">
        <f>典型户型修正!R27</f>
        <v>0</v>
      </c>
      <c r="D33" s="2561" t="s">
        <v>1887</v>
      </c>
      <c r="E33" s="947"/>
      <c r="F33" s="947"/>
      <c r="G33" s="947"/>
      <c r="H33" s="947"/>
      <c r="I33" s="947"/>
      <c r="J33" s="2845"/>
    </row>
    <row r="34" spans="1:16" ht="15">
      <c r="A34" s="1512" t="s">
        <v>1888</v>
      </c>
      <c r="B34" s="2776" t="s">
        <v>1889</v>
      </c>
      <c r="C34" s="2777">
        <f>典型户型修正!B2</f>
        <v>0</v>
      </c>
      <c r="D34" s="2778" t="str">
        <f>IF('数据-取费表'!B3="万元","万元","元")</f>
        <v>元</v>
      </c>
      <c r="E34" s="947"/>
      <c r="F34" s="947"/>
      <c r="G34" s="947"/>
      <c r="H34" s="947"/>
      <c r="I34" s="947"/>
      <c r="J34" s="2845"/>
    </row>
    <row r="35" spans="1:16" ht="15.75" thickBot="1">
      <c r="A35" s="1513"/>
      <c r="B35" s="2779" t="s">
        <v>1890</v>
      </c>
      <c r="C35" s="2728" t="e">
        <f>典型户型修正!B3</f>
        <v>#DIV/0!</v>
      </c>
      <c r="D35" s="2561" t="s">
        <v>1891</v>
      </c>
      <c r="E35" s="947"/>
      <c r="F35" s="947"/>
      <c r="G35" s="947"/>
      <c r="H35" s="947"/>
      <c r="I35" s="947"/>
      <c r="J35" s="2845"/>
    </row>
    <row r="36" spans="1:16" ht="15">
      <c r="A36" s="1514"/>
      <c r="B36" s="1468" t="s">
        <v>1892</v>
      </c>
      <c r="C36" s="2780">
        <f>IF('数据-取费表'!B3="万元",典型户型修正!V25,典型户型修正!U25)</f>
        <v>0</v>
      </c>
      <c r="D36" s="2561" t="str">
        <f>D34</f>
        <v>元</v>
      </c>
      <c r="E36" s="947"/>
      <c r="F36" s="947"/>
      <c r="G36" s="947"/>
      <c r="H36" s="947"/>
      <c r="I36" s="947"/>
      <c r="J36" s="2845"/>
    </row>
    <row r="37" spans="1:16" ht="15.75" thickBot="1">
      <c r="A37" s="1467"/>
      <c r="B37" s="1469" t="s">
        <v>1893</v>
      </c>
      <c r="C37" s="2781">
        <f>IF('数据-取费表'!B3="万元",典型户型修正!Y25,典型户型修正!X25)</f>
        <v>0</v>
      </c>
      <c r="D37" s="2561" t="str">
        <f>D34</f>
        <v>元</v>
      </c>
      <c r="E37" s="947"/>
      <c r="F37" s="947"/>
      <c r="G37" s="947"/>
      <c r="H37" s="947"/>
      <c r="I37" s="947"/>
      <c r="J37" s="2845"/>
    </row>
    <row r="38" spans="1:16" ht="15.75" thickBot="1">
      <c r="A38" s="4360" t="s">
        <v>1894</v>
      </c>
      <c r="B38" s="1468" t="s">
        <v>1895</v>
      </c>
      <c r="C38" s="2755"/>
      <c r="D38" s="2756"/>
      <c r="E38" s="1679"/>
      <c r="F38" s="1679"/>
      <c r="G38" s="947"/>
      <c r="H38" s="947"/>
      <c r="I38" s="947"/>
      <c r="J38" s="2845"/>
    </row>
    <row r="39" spans="1:16" ht="15.75" thickBot="1">
      <c r="A39" s="4361"/>
      <c r="B39" s="2093" t="s">
        <v>1896</v>
      </c>
      <c r="C39" s="2757"/>
      <c r="D39" s="1311"/>
      <c r="E39" s="1311"/>
      <c r="F39" s="1679"/>
      <c r="G39" s="1311"/>
      <c r="H39" s="1311"/>
      <c r="I39" s="1311"/>
      <c r="J39" s="2849"/>
    </row>
    <row r="40" spans="1:16" ht="15.75" thickBot="1">
      <c r="A40" s="4362"/>
      <c r="B40" s="1469" t="s">
        <v>1897</v>
      </c>
      <c r="C40" s="2758"/>
      <c r="D40" s="2759" t="s">
        <v>1898</v>
      </c>
      <c r="E40" s="1311"/>
      <c r="F40" s="1679"/>
      <c r="G40" s="1311"/>
      <c r="H40" s="1311"/>
      <c r="I40" s="1311"/>
      <c r="J40" s="2849"/>
    </row>
    <row r="41" spans="1:16" ht="15">
      <c r="A41" s="2724" t="s">
        <v>1899</v>
      </c>
      <c r="B41" s="2760" t="s">
        <v>1900</v>
      </c>
      <c r="C41" s="2761" t="s">
        <v>1901</v>
      </c>
      <c r="D41" s="2761" t="s">
        <v>1902</v>
      </c>
      <c r="E41" s="2762" t="s">
        <v>1903</v>
      </c>
      <c r="F41" s="1679"/>
      <c r="G41" s="1311"/>
      <c r="H41" s="1311"/>
      <c r="I41" s="1311"/>
      <c r="J41" s="2849"/>
    </row>
    <row r="42" spans="1:16" ht="14.25">
      <c r="A42" s="2763" t="s">
        <v>1904</v>
      </c>
      <c r="B42" s="2764"/>
      <c r="C42" s="2765"/>
      <c r="D42" s="2765"/>
      <c r="E42" s="2766"/>
      <c r="F42" s="1679"/>
      <c r="G42" s="1311"/>
      <c r="H42" s="1311"/>
      <c r="I42" s="1311"/>
      <c r="J42" s="2849"/>
    </row>
    <row r="43" spans="1:16" ht="14.25">
      <c r="A43" s="2763" t="s">
        <v>1905</v>
      </c>
      <c r="B43" s="2764"/>
      <c r="C43" s="2765"/>
      <c r="D43" s="2765"/>
      <c r="E43" s="2766"/>
      <c r="F43" s="1679"/>
      <c r="G43" s="1311"/>
      <c r="H43" s="1311"/>
      <c r="I43" s="1311"/>
      <c r="J43" s="2849"/>
    </row>
    <row r="44" spans="1:16" ht="15" thickBot="1">
      <c r="A44" s="2767"/>
      <c r="B44" s="2768"/>
      <c r="C44" s="2769"/>
      <c r="D44" s="2769"/>
      <c r="E44" s="2754"/>
      <c r="F44" s="1679"/>
      <c r="G44" s="1311"/>
      <c r="H44" s="1311"/>
      <c r="I44" s="1311"/>
      <c r="J44" s="2849"/>
    </row>
    <row r="45" spans="1:16" ht="12.75">
      <c r="A45" s="1481"/>
      <c r="B45" s="1481"/>
      <c r="C45" s="1481"/>
      <c r="D45" s="1481"/>
      <c r="E45" s="1481"/>
      <c r="F45" s="1437"/>
      <c r="G45" s="1437"/>
      <c r="H45" s="1437"/>
      <c r="I45" s="2770"/>
      <c r="J45" s="2850"/>
    </row>
    <row r="46" spans="1:16" ht="18.75">
      <c r="A46" s="1471" t="s">
        <v>1906</v>
      </c>
      <c r="B46" s="1472"/>
      <c r="C46" s="1472"/>
      <c r="D46" s="2782"/>
      <c r="E46" s="2782"/>
      <c r="F46" s="2782"/>
      <c r="G46" s="2782"/>
      <c r="H46" s="2782"/>
      <c r="I46" s="2839" t="s">
        <v>2810</v>
      </c>
      <c r="J46" s="2875"/>
      <c r="K46" s="1475" t="s">
        <v>1761</v>
      </c>
      <c r="L46" s="1476"/>
      <c r="M46" s="1476"/>
      <c r="N46" s="1476"/>
      <c r="O46" s="1476"/>
      <c r="P46" s="1476"/>
    </row>
    <row r="47" spans="1:16" ht="14.25" customHeight="1" thickBot="1">
      <c r="A47" s="4364" t="s">
        <v>1907</v>
      </c>
      <c r="B47" s="4365"/>
      <c r="C47" s="4324"/>
      <c r="D47" s="246">
        <f>ROUND(I104*F47,0)</f>
        <v>0</v>
      </c>
      <c r="E47" s="1542" t="s">
        <v>1908</v>
      </c>
      <c r="F47" s="2559">
        <v>1</v>
      </c>
      <c r="G47" s="2560" t="s">
        <v>1909</v>
      </c>
      <c r="H47" s="947"/>
      <c r="I47" s="947"/>
      <c r="J47" s="2845"/>
      <c r="K47" s="4450" t="s">
        <v>1765</v>
      </c>
      <c r="L47" s="4450"/>
      <c r="M47" s="4450"/>
      <c r="N47" s="4450"/>
      <c r="O47" s="4450"/>
      <c r="P47" s="4450"/>
    </row>
    <row r="48" spans="1:16" ht="14.25" customHeight="1">
      <c r="A48" s="4353" t="s">
        <v>1766</v>
      </c>
      <c r="B48" s="4354"/>
      <c r="C48" s="4354"/>
      <c r="D48" s="4354"/>
      <c r="E48" s="4354"/>
      <c r="F48" s="4354"/>
      <c r="G48" s="4355"/>
      <c r="H48" s="2977"/>
      <c r="I48" s="947"/>
      <c r="J48" s="2845"/>
      <c r="K48" s="2511">
        <v>1</v>
      </c>
      <c r="L48" s="4445" t="s">
        <v>1767</v>
      </c>
      <c r="M48" s="4445"/>
      <c r="N48" s="4451"/>
      <c r="O48" s="4451"/>
      <c r="P48" s="4451"/>
    </row>
    <row r="49" spans="1:17" ht="12" customHeight="1">
      <c r="A49" s="38" t="s">
        <v>1768</v>
      </c>
      <c r="B49" s="39"/>
      <c r="C49" s="40"/>
      <c r="D49" s="1099" t="s">
        <v>1769</v>
      </c>
      <c r="E49" s="235" t="s">
        <v>1770</v>
      </c>
      <c r="F49" s="41" t="s">
        <v>1771</v>
      </c>
      <c r="G49" s="2562" t="s">
        <v>1772</v>
      </c>
      <c r="H49" s="2977"/>
      <c r="I49" s="947"/>
      <c r="J49" s="2845"/>
      <c r="K49" s="2511">
        <v>2</v>
      </c>
      <c r="L49" s="4445" t="s">
        <v>1773</v>
      </c>
      <c r="M49" s="4445"/>
      <c r="N49" s="4452">
        <f>'数据-取费表'!B2</f>
        <v>42402</v>
      </c>
      <c r="O49" s="4452"/>
      <c r="P49" s="4452"/>
    </row>
    <row r="50" spans="1:17" ht="25.5">
      <c r="A50" s="4363" t="s">
        <v>1774</v>
      </c>
      <c r="B50" s="4317"/>
      <c r="C50" s="4317"/>
      <c r="D50" s="12">
        <f>IF(H50="情况1",0,IF(H50="情况2",D54,IF(H50="情况3",D55,IF(H50="情况4",D56))))</f>
        <v>0</v>
      </c>
      <c r="E50" s="2091" t="str">
        <f>IF(H50="情况4","(销售额-原购置价)×税（费）率","销售额×税（费）率")</f>
        <v>销售额×税（费）率</v>
      </c>
      <c r="F50" s="2563">
        <f>IF(H50="情况1","免征",'数据-取费表'!E29)</f>
        <v>5.6000000000000001E-2</v>
      </c>
      <c r="G50" s="2564" t="s">
        <v>1775</v>
      </c>
      <c r="H50" s="2565" t="s">
        <v>1776</v>
      </c>
      <c r="I50" s="2977"/>
      <c r="J50" s="2852"/>
      <c r="K50" s="2511">
        <v>3</v>
      </c>
      <c r="L50" s="4445" t="s">
        <v>1777</v>
      </c>
      <c r="M50" s="4445"/>
      <c r="N50" s="4446">
        <f>I104</f>
        <v>0</v>
      </c>
      <c r="O50" s="4446"/>
      <c r="P50" s="4446"/>
    </row>
    <row r="51" spans="1:17" ht="25.5" customHeight="1">
      <c r="A51" s="2090" t="s">
        <v>1778</v>
      </c>
      <c r="B51" s="4356" t="s">
        <v>1779</v>
      </c>
      <c r="C51" s="4356"/>
      <c r="D51" s="2566">
        <v>0</v>
      </c>
      <c r="E51" s="261" t="s">
        <v>1780</v>
      </c>
      <c r="F51" s="2567" t="s">
        <v>48</v>
      </c>
      <c r="G51" s="4413"/>
      <c r="H51" s="2568" t="s">
        <v>2735</v>
      </c>
      <c r="I51" s="2569"/>
      <c r="J51" s="2853"/>
      <c r="K51" s="2511">
        <v>4</v>
      </c>
      <c r="L51" s="4445" t="str">
        <f>IF(项目基本情况!F5="房地产抵押价值","房地产抵押价值","抵押担保权已注销时的房地产抵押价值")</f>
        <v>抵押担保权已注销时的房地产抵押价值</v>
      </c>
      <c r="M51" s="4445"/>
      <c r="N51" s="4446" t="str">
        <f>IF(项目基本情况!F5="房地产抵押价值",I112,I114)</f>
        <v>——</v>
      </c>
      <c r="O51" s="4446"/>
      <c r="P51" s="4446"/>
    </row>
    <row r="52" spans="1:17" ht="25.5" customHeight="1">
      <c r="A52" s="2080"/>
      <c r="B52" s="4356" t="s">
        <v>1781</v>
      </c>
      <c r="C52" s="4356"/>
      <c r="D52" s="2570"/>
      <c r="E52" s="269"/>
      <c r="F52" s="2567"/>
      <c r="G52" s="4414"/>
      <c r="H52" s="2571" t="s">
        <v>2736</v>
      </c>
      <c r="I52" s="2569"/>
      <c r="J52" s="2853"/>
      <c r="K52" s="4445" t="s">
        <v>1782</v>
      </c>
      <c r="L52" s="4445"/>
      <c r="M52" s="4445"/>
      <c r="N52" s="4445"/>
      <c r="O52" s="4445"/>
      <c r="P52" s="4445"/>
    </row>
    <row r="53" spans="1:17" ht="20.45" customHeight="1">
      <c r="A53" s="2572"/>
      <c r="B53" s="4356" t="s">
        <v>1783</v>
      </c>
      <c r="C53" s="4356"/>
      <c r="D53" s="1099"/>
      <c r="E53" s="264"/>
      <c r="F53" s="2567"/>
      <c r="G53" s="4415"/>
      <c r="H53" s="2571" t="s">
        <v>2737</v>
      </c>
      <c r="I53" s="2569"/>
      <c r="J53" s="2853"/>
      <c r="K53" s="2512" t="s">
        <v>1784</v>
      </c>
      <c r="L53" s="4445" t="s">
        <v>1785</v>
      </c>
      <c r="M53" s="4445"/>
      <c r="N53" s="2512" t="s">
        <v>1786</v>
      </c>
      <c r="O53" s="2512" t="s">
        <v>1787</v>
      </c>
      <c r="P53" s="2512" t="s">
        <v>1788</v>
      </c>
    </row>
    <row r="54" spans="1:17" ht="24" customHeight="1">
      <c r="A54" s="2081" t="s">
        <v>1789</v>
      </c>
      <c r="B54" s="4356" t="s">
        <v>1790</v>
      </c>
      <c r="C54" s="4356"/>
      <c r="D54" s="1099">
        <f>ROUND(D47*'数据-取费表'!E29/(1+'数据-取费表'!F30),0)</f>
        <v>0</v>
      </c>
      <c r="E54" s="2091" t="s">
        <v>1791</v>
      </c>
      <c r="F54" s="2573">
        <f>'数据-取费表'!E29</f>
        <v>5.6000000000000001E-2</v>
      </c>
      <c r="G54" s="2574"/>
      <c r="H54" s="947"/>
      <c r="I54" s="2978"/>
      <c r="J54" s="2853"/>
      <c r="K54" s="2511">
        <v>1</v>
      </c>
      <c r="L54" s="4441" t="s">
        <v>1792</v>
      </c>
      <c r="M54" s="4441"/>
      <c r="N54" s="2513">
        <f>D50</f>
        <v>0</v>
      </c>
      <c r="O54" s="2511" t="str">
        <f>E50</f>
        <v>销售额×税（费）率</v>
      </c>
      <c r="P54" s="2514">
        <f>F50</f>
        <v>5.6000000000000001E-2</v>
      </c>
    </row>
    <row r="55" spans="1:17" ht="12" customHeight="1">
      <c r="A55" s="2081" t="s">
        <v>1793</v>
      </c>
      <c r="B55" s="4318" t="s">
        <v>2829</v>
      </c>
      <c r="C55" s="4357"/>
      <c r="D55" s="1099">
        <f>ROUND(D47*'数据-取费表'!E29/(1+'数据-取费表'!F30),0)</f>
        <v>0</v>
      </c>
      <c r="E55" s="2091" t="s">
        <v>1791</v>
      </c>
      <c r="F55" s="2573">
        <f>'数据-取费表'!E29</f>
        <v>5.6000000000000001E-2</v>
      </c>
      <c r="G55" s="2574"/>
      <c r="H55" s="947"/>
      <c r="I55" s="2978"/>
      <c r="J55" s="2853"/>
      <c r="K55" s="2511">
        <v>2</v>
      </c>
      <c r="L55" s="4441" t="s">
        <v>1794</v>
      </c>
      <c r="M55" s="4441"/>
      <c r="N55" s="2513">
        <f t="shared" ref="N55:P56" si="1">D57</f>
        <v>0</v>
      </c>
      <c r="O55" s="2511" t="str">
        <f t="shared" si="1"/>
        <v>销售额×税（费）率</v>
      </c>
      <c r="P55" s="2514">
        <f t="shared" si="1"/>
        <v>5.0000000000000001E-4</v>
      </c>
    </row>
    <row r="56" spans="1:17" ht="12" customHeight="1">
      <c r="A56" s="2081" t="s">
        <v>1795</v>
      </c>
      <c r="B56" s="4318" t="s">
        <v>2830</v>
      </c>
      <c r="C56" s="4357"/>
      <c r="D56" s="1099">
        <f>C70</f>
        <v>0</v>
      </c>
      <c r="E56" s="264" t="s">
        <v>1796</v>
      </c>
      <c r="F56" s="2573">
        <f>'数据-取费表'!E29</f>
        <v>5.6000000000000001E-2</v>
      </c>
      <c r="G56" s="2574"/>
      <c r="H56" s="2979"/>
      <c r="I56" s="2978"/>
      <c r="J56" s="2853"/>
      <c r="K56" s="2511">
        <v>3</v>
      </c>
      <c r="L56" s="4441" t="s">
        <v>1797</v>
      </c>
      <c r="M56" s="4441"/>
      <c r="N56" s="2513">
        <f t="shared" si="1"/>
        <v>0</v>
      </c>
      <c r="O56" s="2511" t="str">
        <f t="shared" si="1"/>
        <v>增值额×税（费）率</v>
      </c>
      <c r="P56" s="2515" t="str">
        <f t="shared" si="1"/>
        <v>——</v>
      </c>
    </row>
    <row r="57" spans="1:17" ht="24" customHeight="1">
      <c r="A57" s="4316" t="s">
        <v>1798</v>
      </c>
      <c r="B57" s="4317"/>
      <c r="C57" s="4317"/>
      <c r="D57" s="12">
        <f>IF(H57="个人住宅",0,ROUND(D47*I57,0))</f>
        <v>0</v>
      </c>
      <c r="E57" s="2091" t="s">
        <v>1799</v>
      </c>
      <c r="F57" s="2573">
        <f>IF(H57="正常",I57,"免征")</f>
        <v>5.0000000000000001E-4</v>
      </c>
      <c r="G57" s="2574"/>
      <c r="H57" s="2565" t="s">
        <v>1800</v>
      </c>
      <c r="I57" s="74">
        <f>'数据-取费表'!E37</f>
        <v>5.0000000000000001E-4</v>
      </c>
      <c r="J57" s="2853"/>
      <c r="K57" s="2511">
        <f>IF(H61="非个人房产","",4)</f>
        <v>4</v>
      </c>
      <c r="L57" s="4441" t="str">
        <f>IF(H61="非个人房产","——","个人所得税")</f>
        <v>个人所得税</v>
      </c>
      <c r="M57" s="4441"/>
      <c r="N57" s="2516">
        <f>D61</f>
        <v>0</v>
      </c>
      <c r="O57" s="2517" t="str">
        <f>E61</f>
        <v>销售额×税（费）率</v>
      </c>
      <c r="P57" s="2518">
        <f>F61</f>
        <v>0.01</v>
      </c>
    </row>
    <row r="58" spans="1:17" ht="24.75">
      <c r="A58" s="4316" t="s">
        <v>1801</v>
      </c>
      <c r="B58" s="4317"/>
      <c r="C58" s="4317"/>
      <c r="D58" s="12">
        <f>IF(H58="个人住宅",D59,D60)</f>
        <v>0</v>
      </c>
      <c r="E58" s="2091" t="s">
        <v>1802</v>
      </c>
      <c r="F58" s="2573" t="str">
        <f>IF(H58="正常",F60,"免征")</f>
        <v>——</v>
      </c>
      <c r="G58" s="2575" t="s">
        <v>1803</v>
      </c>
      <c r="H58" s="2576" t="s">
        <v>1800</v>
      </c>
      <c r="I58" s="2980"/>
      <c r="J58" s="2853"/>
      <c r="K58" s="2511" t="str">
        <f>IF(项目基本情况!I6="上海银行",IF(K57="",4,K57+1),"")</f>
        <v/>
      </c>
      <c r="L58" s="4443" t="str">
        <f>IF(项目基本情况!I6="上海银行","其他处置费用","")</f>
        <v/>
      </c>
      <c r="M58" s="4444"/>
      <c r="N58" s="2513" t="str">
        <f>IF(项目基本情况!I6="上海银行",N71,"")</f>
        <v/>
      </c>
      <c r="O58" s="4443" t="str">
        <f>IF(项目基本情况!I6="上海银行","包含处置中涉及的律师、诉讼、拍卖、评估等费用","")</f>
        <v/>
      </c>
      <c r="P58" s="4447"/>
    </row>
    <row r="59" spans="1:17" ht="12.75">
      <c r="A59" s="2081" t="s">
        <v>1778</v>
      </c>
      <c r="B59" s="4318" t="s">
        <v>1804</v>
      </c>
      <c r="C59" s="4357"/>
      <c r="D59" s="2566">
        <v>0</v>
      </c>
      <c r="E59" s="261" t="s">
        <v>1780</v>
      </c>
      <c r="F59" s="235"/>
      <c r="G59" s="2574"/>
      <c r="H59" s="2980"/>
      <c r="I59" s="2980"/>
      <c r="J59" s="2853"/>
      <c r="K59" s="4441">
        <f>IF(AND(K57="",K58=""),4,IF(项目基本情况!I6="上海银行",K58+1,K57+1))</f>
        <v>5</v>
      </c>
      <c r="L59" s="4441" t="s">
        <v>1805</v>
      </c>
      <c r="M59" s="2519" t="s">
        <v>1806</v>
      </c>
      <c r="N59" s="2520"/>
      <c r="O59" s="2521">
        <f>SUMIF(N54:N58,"&lt;9e307")</f>
        <v>0</v>
      </c>
      <c r="P59" s="2522"/>
      <c r="Q59" s="1306" t="e">
        <f>O59/N51</f>
        <v>#VALUE!</v>
      </c>
    </row>
    <row r="60" spans="1:17" ht="24.75">
      <c r="A60" s="2081" t="s">
        <v>1789</v>
      </c>
      <c r="B60" s="4318" t="s">
        <v>1807</v>
      </c>
      <c r="C60" s="4356"/>
      <c r="D60" s="12">
        <f>IF(H60="转让取得",C83,C99)</f>
        <v>0</v>
      </c>
      <c r="E60" s="2091" t="s">
        <v>1802</v>
      </c>
      <c r="F60" s="235" t="s">
        <v>48</v>
      </c>
      <c r="G60" s="2574"/>
      <c r="H60" s="2576" t="s">
        <v>1808</v>
      </c>
      <c r="I60" s="2980"/>
      <c r="J60" s="2853"/>
      <c r="K60" s="4441"/>
      <c r="L60" s="4441"/>
      <c r="M60" s="2519" t="s">
        <v>1809</v>
      </c>
      <c r="N60" s="2523"/>
      <c r="O60" s="2524" t="str">
        <f>IF(H19="元",NUMBERSTRING(INT(O59),2)&amp;"元整",NUMBERSTRING(INT(O59*10000),2)&amp;"元整")</f>
        <v>零元整</v>
      </c>
      <c r="P60" s="2525"/>
    </row>
    <row r="61" spans="1:17" ht="26.25" thickBot="1">
      <c r="A61" s="4340" t="s">
        <v>1810</v>
      </c>
      <c r="B61" s="4341"/>
      <c r="C61" s="4341"/>
      <c r="D61" s="69">
        <f>IF(H61="非个人房产","——",IF(H61="个人住宅（满五唯一有凭证）",0,IF(H61="个人其他（无凭证）",ROUND(D47*F61,0),ROUND(C69*F61,0))))</f>
        <v>0</v>
      </c>
      <c r="E61" s="2082" t="str">
        <f>IF(H61="非个人房产","——",IF(H61="个人其他（无凭证）","销售额×税（费）率",IF(H61="个人住宅（满五唯一有凭证）","免征","差额计税")))</f>
        <v>销售额×税（费）率</v>
      </c>
      <c r="F61" s="2783">
        <f>IF(OR(H61="非个人房产",H61="个人住宅（满五唯一有凭证）"),"——",IF(H61="个人其他（有凭证）",20%,1%))</f>
        <v>0.01</v>
      </c>
      <c r="G61" s="2823" t="s">
        <v>2808</v>
      </c>
      <c r="H61" s="2095" t="s">
        <v>2734</v>
      </c>
      <c r="I61" s="2881" t="s">
        <v>2820</v>
      </c>
      <c r="J61" s="2853"/>
      <c r="K61" s="4439">
        <f>K59+1</f>
        <v>6</v>
      </c>
      <c r="L61" s="4441" t="s">
        <v>1811</v>
      </c>
      <c r="M61" s="2511" t="s">
        <v>1806</v>
      </c>
      <c r="N61" s="2526"/>
      <c r="O61" s="2527" t="e">
        <f>N51-O59</f>
        <v>#VALUE!</v>
      </c>
      <c r="P61" s="2528"/>
    </row>
    <row r="62" spans="1:17" ht="12" customHeight="1">
      <c r="A62" s="1457"/>
      <c r="B62" s="2561"/>
      <c r="C62" s="2561"/>
      <c r="D62" s="2561"/>
      <c r="E62" s="1457"/>
      <c r="F62" s="2980"/>
      <c r="G62" s="2980"/>
      <c r="H62" s="2975"/>
      <c r="I62" s="947"/>
      <c r="J62" s="2853"/>
      <c r="K62" s="4440"/>
      <c r="L62" s="4441"/>
      <c r="M62" s="2519" t="s">
        <v>1809</v>
      </c>
      <c r="N62" s="2523"/>
      <c r="O62" s="2524" t="e">
        <f>IF(H19="元",NUMBERSTRING(INT(O61),2)&amp;"元整",NUMBERSTRING(INT(O61*10000),2)&amp;"元整")</f>
        <v>#VALUE!</v>
      </c>
      <c r="P62" s="2525"/>
    </row>
    <row r="63" spans="1:17" ht="13.5" thickBot="1">
      <c r="A63" s="4442" t="s">
        <v>1812</v>
      </c>
      <c r="B63" s="4442"/>
      <c r="C63" s="4442"/>
      <c r="D63" s="4442"/>
      <c r="E63" s="4442"/>
      <c r="F63" s="2980"/>
      <c r="G63" s="2980"/>
      <c r="H63" s="2975"/>
      <c r="I63" s="947"/>
      <c r="J63" s="2845"/>
      <c r="K63" s="2511">
        <f>K61+1</f>
        <v>7</v>
      </c>
      <c r="L63" s="4441" t="s">
        <v>1813</v>
      </c>
      <c r="M63" s="4441"/>
      <c r="N63" s="2529"/>
      <c r="O63" s="2530" t="e">
        <f>IF(H19="元",ROUND(O61/项目基本情况!C12,0),ROUND(O61*10000/项目基本情况!C12,0))</f>
        <v>#VALUE!</v>
      </c>
      <c r="P63" s="2531"/>
    </row>
    <row r="64" spans="1:17" ht="12.75">
      <c r="A64" s="4375" t="s">
        <v>1814</v>
      </c>
      <c r="B64" s="4376"/>
      <c r="C64" s="1606"/>
      <c r="D64" s="1606" t="s">
        <v>1815</v>
      </c>
      <c r="E64" s="45" t="s">
        <v>1816</v>
      </c>
      <c r="F64" s="2980"/>
      <c r="G64" s="2980"/>
      <c r="H64" s="2975"/>
      <c r="I64" s="947"/>
      <c r="J64" s="2845"/>
      <c r="K64" s="1308"/>
      <c r="L64" s="1308"/>
      <c r="M64" s="1308"/>
      <c r="N64" s="1308"/>
      <c r="O64" s="1308"/>
    </row>
    <row r="65" spans="1:36" ht="12.75">
      <c r="A65" s="46">
        <v>1</v>
      </c>
      <c r="B65" s="47" t="s">
        <v>1817</v>
      </c>
      <c r="C65" s="2784">
        <f>ROUND((C66+C67)/(1+'数据-取费表'!F30),0)</f>
        <v>0</v>
      </c>
      <c r="D65" s="47"/>
      <c r="E65" s="48"/>
      <c r="F65" s="2980"/>
      <c r="G65" s="2980"/>
      <c r="H65" s="2975"/>
      <c r="I65" s="947"/>
      <c r="J65" s="2845"/>
      <c r="K65" s="4449" t="s">
        <v>1818</v>
      </c>
      <c r="L65" s="1307" t="s">
        <v>1819</v>
      </c>
      <c r="M65" s="1307" t="e">
        <f>IF(N51&gt;10000,N51*0.5%,IF(AND(N51&gt;1000,N51&lt;=10000),N51*1%,IF(AND(N51&gt;100,N51&lt;=1000),N51*3%,IF(AND(N51&gt;10,N51&lt;=100),N51*5%,N51*8%))))</f>
        <v>#VALUE!</v>
      </c>
      <c r="N65" s="235" t="e">
        <f>ROUND(M65,1)</f>
        <v>#VALUE!</v>
      </c>
      <c r="O65" s="2532"/>
    </row>
    <row r="66" spans="1:36" ht="12.75">
      <c r="A66" s="49" t="s">
        <v>71</v>
      </c>
      <c r="B66" s="50" t="s">
        <v>1820</v>
      </c>
      <c r="C66" s="2785">
        <f>D47</f>
        <v>0</v>
      </c>
      <c r="D66" s="50" t="s">
        <v>41</v>
      </c>
      <c r="E66" s="52"/>
      <c r="F66" s="2980"/>
      <c r="G66" s="2980"/>
      <c r="H66" s="2975"/>
      <c r="I66" s="947"/>
      <c r="J66" s="2845"/>
      <c r="K66" s="4449"/>
      <c r="L66" s="1307" t="s">
        <v>1821</v>
      </c>
      <c r="M66" s="130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32" t="s">
        <v>1822</v>
      </c>
    </row>
    <row r="67" spans="1:36" ht="12.75">
      <c r="A67" s="49" t="s">
        <v>72</v>
      </c>
      <c r="B67" s="50" t="s">
        <v>1823</v>
      </c>
      <c r="C67" s="2786"/>
      <c r="D67" s="50"/>
      <c r="E67" s="52"/>
      <c r="F67" s="2980"/>
      <c r="G67" s="2980"/>
      <c r="H67" s="2975"/>
      <c r="I67" s="947"/>
      <c r="J67" s="2845"/>
      <c r="K67" s="4449"/>
      <c r="L67" s="1307" t="s">
        <v>1824</v>
      </c>
      <c r="M67" s="1307" t="e">
        <f>IF(N51&gt;1000,N51*0.1%,IF(AND(N51&gt;500,N51&lt;=1000),N51*0.5%,IF(AND(N51&gt;50,N51&lt;=500),N51*1%,IF(AND(N51&gt;1,N51&lt;=50),N51*1.5%))))</f>
        <v>#VALUE!</v>
      </c>
      <c r="N67" s="235" t="e">
        <f t="shared" si="2"/>
        <v>#VALUE!</v>
      </c>
      <c r="O67" s="2532" t="s">
        <v>1822</v>
      </c>
    </row>
    <row r="68" spans="1:36" ht="12.75">
      <c r="A68" s="53" t="s">
        <v>47</v>
      </c>
      <c r="B68" s="54" t="s">
        <v>1825</v>
      </c>
      <c r="C68" s="2787"/>
      <c r="D68" s="54" t="s">
        <v>41</v>
      </c>
      <c r="E68" s="1316" t="s">
        <v>1826</v>
      </c>
      <c r="F68" s="2980"/>
      <c r="G68" s="2980"/>
      <c r="H68" s="2975"/>
      <c r="I68" s="947"/>
      <c r="J68" s="2845"/>
      <c r="K68" s="4449"/>
      <c r="L68" s="1307" t="s">
        <v>1827</v>
      </c>
      <c r="M68" s="1307" t="e">
        <f>N51*0.5%</f>
        <v>#VALUE!</v>
      </c>
      <c r="N68" s="235" t="e">
        <f>IF(M68&gt;0.5,0.5,ROUND(M68,0))</f>
        <v>#VALUE!</v>
      </c>
      <c r="O68" s="2532" t="s">
        <v>1828</v>
      </c>
    </row>
    <row r="69" spans="1:36" ht="12.75">
      <c r="A69" s="53" t="s">
        <v>42</v>
      </c>
      <c r="B69" s="54" t="s">
        <v>1829</v>
      </c>
      <c r="C69" s="2788">
        <f>C65-C68</f>
        <v>0</v>
      </c>
      <c r="D69" s="50" t="s">
        <v>41</v>
      </c>
      <c r="E69" s="52"/>
      <c r="F69" s="2980"/>
      <c r="G69" s="2980"/>
      <c r="H69" s="2975"/>
      <c r="I69" s="947"/>
      <c r="J69" s="2845"/>
      <c r="K69" s="4449"/>
      <c r="L69" s="1307" t="s">
        <v>1830</v>
      </c>
      <c r="M69" s="130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32"/>
    </row>
    <row r="70" spans="1:36" ht="13.5" thickBot="1">
      <c r="A70" s="55" t="s">
        <v>46</v>
      </c>
      <c r="B70" s="56" t="s">
        <v>1831</v>
      </c>
      <c r="C70" s="2789">
        <f>IF(C69&lt;=0,0,ROUND(C69*D70,0))</f>
        <v>0</v>
      </c>
      <c r="D70" s="2241">
        <f>'数据-取费表'!E29</f>
        <v>5.6000000000000001E-2</v>
      </c>
      <c r="E70" s="57"/>
      <c r="F70" s="2980"/>
      <c r="G70" s="2980"/>
      <c r="H70" s="2975"/>
      <c r="I70" s="947"/>
      <c r="J70" s="2845"/>
      <c r="K70" s="4449"/>
      <c r="L70" s="1307" t="s">
        <v>1832</v>
      </c>
      <c r="M70" s="1307" t="e">
        <f>IF(N51&gt;10000,N51*0.5%,IF(AND(N51&gt;5000,N51&lt;=10000),N51*1%,IF(AND(N51&gt;1000,N51&lt;=5000),N51*2%,IF(AND(N51&gt;200,N51&lt;=1000),N51*3%,N51*5%))))</f>
        <v>#VALUE!</v>
      </c>
      <c r="N70" s="235" t="e">
        <f>ROUND(M70,1)</f>
        <v>#VALUE!</v>
      </c>
      <c r="O70" s="2532"/>
    </row>
    <row r="71" spans="1:36" s="1465" customFormat="1" ht="7.5" customHeight="1">
      <c r="A71" s="1477"/>
      <c r="B71" s="1478"/>
      <c r="C71" s="2790"/>
      <c r="D71" s="2284"/>
      <c r="E71" s="1481"/>
      <c r="F71" s="1457"/>
      <c r="G71" s="1457"/>
      <c r="H71" s="1481"/>
      <c r="I71" s="2561"/>
      <c r="J71" s="2845"/>
      <c r="K71" s="4449"/>
      <c r="L71" s="1307" t="s">
        <v>1833</v>
      </c>
      <c r="M71" s="1307"/>
      <c r="N71" s="235" t="e">
        <f>ROUND(SUM(N65:N70),0)</f>
        <v>#VALUE!</v>
      </c>
      <c r="O71" s="2533" t="e">
        <f>N71/N51</f>
        <v>#VALUE!</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3" customFormat="1" ht="15" thickBot="1">
      <c r="A72" s="4436" t="s">
        <v>1834</v>
      </c>
      <c r="B72" s="4437"/>
      <c r="C72" s="4437"/>
      <c r="D72" s="4437"/>
      <c r="E72" s="4437"/>
      <c r="F72" s="4437"/>
      <c r="G72" s="4437"/>
      <c r="H72" s="4437"/>
      <c r="I72" s="1482"/>
      <c r="J72" s="2854"/>
      <c r="K72" s="976"/>
      <c r="L72" s="976"/>
      <c r="M72" s="976"/>
      <c r="N72" s="976"/>
      <c r="O72" s="976"/>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4375" t="s">
        <v>1814</v>
      </c>
      <c r="B73" s="4376"/>
      <c r="C73" s="1606"/>
      <c r="D73" s="1606" t="s">
        <v>1815</v>
      </c>
      <c r="E73" s="58" t="s">
        <v>1816</v>
      </c>
      <c r="F73" s="59"/>
      <c r="G73" s="59"/>
      <c r="H73" s="60"/>
      <c r="I73" s="2791"/>
      <c r="J73" s="2876"/>
      <c r="K73" s="976"/>
      <c r="L73" s="976"/>
      <c r="M73" s="976"/>
      <c r="N73" s="976"/>
      <c r="O73" s="976"/>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14.25">
      <c r="A74" s="61">
        <v>1</v>
      </c>
      <c r="B74" s="54" t="s">
        <v>1835</v>
      </c>
      <c r="C74" s="2788">
        <f>ROUND(D47/(1+'数据-取费表'!F30),0)</f>
        <v>0</v>
      </c>
      <c r="D74" s="50" t="s">
        <v>41</v>
      </c>
      <c r="E74" s="2087"/>
      <c r="F74" s="2088"/>
      <c r="G74" s="2088"/>
      <c r="H74" s="62"/>
      <c r="I74" s="2791"/>
      <c r="J74" s="2876"/>
      <c r="K74" s="976"/>
      <c r="L74" s="976"/>
      <c r="M74" s="976"/>
      <c r="N74" s="976"/>
      <c r="O74" s="976"/>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63">
        <v>2</v>
      </c>
      <c r="B75" s="41" t="s">
        <v>1837</v>
      </c>
      <c r="C75" s="2788">
        <f>C76+C80</f>
        <v>0</v>
      </c>
      <c r="D75" s="50" t="s">
        <v>41</v>
      </c>
      <c r="E75" s="2087"/>
      <c r="F75" s="2088"/>
      <c r="G75" s="2088"/>
      <c r="H75" s="62"/>
      <c r="I75" s="2791"/>
      <c r="J75" s="2876"/>
      <c r="K75" s="976"/>
      <c r="L75" s="976"/>
      <c r="M75" s="976"/>
      <c r="N75" s="976"/>
      <c r="O75" s="976"/>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14.25">
      <c r="A76" s="49" t="s">
        <v>73</v>
      </c>
      <c r="B76" s="50" t="s">
        <v>1838</v>
      </c>
      <c r="C76" s="50">
        <f>ROUND(IF(G79="2016年5月1日后购买",C77/(1+'数据-取费表'!F30)+C78+C79,C77+C78+C79),0)</f>
        <v>0</v>
      </c>
      <c r="D76" s="50" t="s">
        <v>41</v>
      </c>
      <c r="E76" s="2087"/>
      <c r="F76" s="2088"/>
      <c r="G76" s="2088"/>
      <c r="H76" s="62"/>
      <c r="I76" s="2791"/>
      <c r="J76" s="2876"/>
      <c r="K76" s="976"/>
      <c r="L76" s="976"/>
      <c r="M76" s="976"/>
      <c r="N76" s="976"/>
      <c r="O76" s="976"/>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14.25">
      <c r="A77" s="49" t="s">
        <v>74</v>
      </c>
      <c r="B77" s="50" t="s">
        <v>1839</v>
      </c>
      <c r="C77" s="2267"/>
      <c r="D77" s="50" t="s">
        <v>41</v>
      </c>
      <c r="E77" s="64" t="s">
        <v>1840</v>
      </c>
      <c r="F77" s="2792" t="s">
        <v>1841</v>
      </c>
      <c r="G77" s="64" t="s">
        <v>1842</v>
      </c>
      <c r="H77" s="2793"/>
      <c r="I77" s="608"/>
      <c r="J77" s="2877"/>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75</v>
      </c>
      <c r="B78" s="65" t="s">
        <v>1843</v>
      </c>
      <c r="C78" s="50">
        <f>IF(F77="购房发票",ROUND(C77*H77*D78,0),0)</f>
        <v>0</v>
      </c>
      <c r="D78" s="2794">
        <v>0.05</v>
      </c>
      <c r="E78" s="4318" t="s">
        <v>1844</v>
      </c>
      <c r="F78" s="4356"/>
      <c r="G78" s="4356"/>
      <c r="H78" s="4370"/>
      <c r="I78" s="2791"/>
      <c r="J78" s="2876"/>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24.75" customHeight="1">
      <c r="A79" s="49" t="s">
        <v>76</v>
      </c>
      <c r="B79" s="50" t="s">
        <v>1845</v>
      </c>
      <c r="C79" s="50">
        <f>ROUND(IF(G79="个人住宅",0,IF(G79="2016年5月1日前购买",C77*D79,C77*D79/(1+'数据-取费表'!F30))),0)</f>
        <v>0</v>
      </c>
      <c r="D79" s="2795">
        <f>'数据-取费表'!E36+'数据-取费表'!E37</f>
        <v>3.0499999999999999E-2</v>
      </c>
      <c r="E79" s="12" t="s">
        <v>1846</v>
      </c>
      <c r="F79" s="2094"/>
      <c r="G79" s="1486" t="s">
        <v>1847</v>
      </c>
      <c r="H79" s="2089" t="str">
        <f>IF(G79="个人买卖住房","免征印花税"," ")</f>
        <v xml:space="preserve"> </v>
      </c>
      <c r="I79" s="2791"/>
      <c r="J79" s="2876"/>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75" customHeight="1">
      <c r="A80" s="49" t="s">
        <v>77</v>
      </c>
      <c r="B80" s="50" t="s">
        <v>1848</v>
      </c>
      <c r="C80" s="2796">
        <f>ROUND(D47*D80/(1+'数据-取费表'!F30),0)</f>
        <v>0</v>
      </c>
      <c r="D80" s="2797">
        <f>'数据-取费表'!E31</f>
        <v>6.000000000000001E-3</v>
      </c>
      <c r="E80" s="4350" t="s">
        <v>1849</v>
      </c>
      <c r="F80" s="4351"/>
      <c r="G80" s="4351"/>
      <c r="H80" s="4352"/>
      <c r="I80" s="609"/>
      <c r="J80" s="2878"/>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14.25">
      <c r="A81" s="53" t="s">
        <v>42</v>
      </c>
      <c r="B81" s="54" t="s">
        <v>1850</v>
      </c>
      <c r="C81" s="2788">
        <f>C74-C75</f>
        <v>0</v>
      </c>
      <c r="D81" s="50" t="s">
        <v>41</v>
      </c>
      <c r="E81" s="2087"/>
      <c r="F81" s="2088"/>
      <c r="G81" s="2088"/>
      <c r="H81" s="62"/>
      <c r="I81" s="2791"/>
      <c r="J81" s="2876"/>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14.25">
      <c r="A82" s="53" t="s">
        <v>43</v>
      </c>
      <c r="B82" s="54" t="s">
        <v>1851</v>
      </c>
      <c r="C82" s="2798">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8"/>
      <c r="G82" s="2088"/>
      <c r="H82" s="62"/>
      <c r="I82" s="2791"/>
      <c r="J82" s="2876"/>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55" t="s">
        <v>44</v>
      </c>
      <c r="B83" s="56" t="s">
        <v>1852</v>
      </c>
      <c r="C83" s="2799">
        <f>ROUND(IF(C81&lt;=0,0,IF(C82&gt;=200%,C81*60%-C75*35%,IF(C82&gt;=100%,C81*50%-C75*15%,IF(C82&gt;=50%,C81*40%-C75*5%,IF(C82&lt;50%,C81*30%,0))))),0)</f>
        <v>0</v>
      </c>
      <c r="D83" s="2171"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91"/>
      <c r="J83" s="2876"/>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7.5" customHeight="1">
      <c r="A84" s="608"/>
      <c r="B84" s="608"/>
      <c r="C84" s="608"/>
      <c r="D84" s="608"/>
      <c r="E84" s="608"/>
      <c r="F84" s="608"/>
      <c r="G84" s="608"/>
      <c r="H84" s="609"/>
      <c r="I84" s="609"/>
      <c r="J84" s="2878"/>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15" thickBot="1">
      <c r="A85" s="4436" t="s">
        <v>1853</v>
      </c>
      <c r="B85" s="4437"/>
      <c r="C85" s="4437"/>
      <c r="D85" s="4437"/>
      <c r="E85" s="4437"/>
      <c r="F85" s="4437"/>
      <c r="G85" s="4437"/>
      <c r="H85" s="4437"/>
      <c r="I85" s="608"/>
      <c r="J85" s="2877"/>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4375" t="s">
        <v>1814</v>
      </c>
      <c r="B86" s="4376"/>
      <c r="C86" s="1606"/>
      <c r="D86" s="1606" t="s">
        <v>1815</v>
      </c>
      <c r="E86" s="58" t="s">
        <v>1816</v>
      </c>
      <c r="F86" s="59"/>
      <c r="G86" s="59"/>
      <c r="H86" s="72"/>
      <c r="I86" s="608"/>
      <c r="J86" s="2877"/>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61">
        <v>1</v>
      </c>
      <c r="B87" s="54" t="s">
        <v>1835</v>
      </c>
      <c r="C87" s="2788">
        <f>ROUND(D47/(1+'数据-取费表'!F30),0)</f>
        <v>0</v>
      </c>
      <c r="D87" s="50" t="s">
        <v>41</v>
      </c>
      <c r="E87" s="2087"/>
      <c r="F87" s="2088"/>
      <c r="G87" s="2088"/>
      <c r="H87" s="73"/>
      <c r="I87" s="608"/>
      <c r="J87" s="2877"/>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63">
        <v>2</v>
      </c>
      <c r="B88" s="41" t="s">
        <v>1837</v>
      </c>
      <c r="C88" s="2788">
        <f>IF(H90="仅含出让金",C89+C92+C93+C94+C95+C96,C89+C93+C94+C95+C96)</f>
        <v>0</v>
      </c>
      <c r="D88" s="2800"/>
      <c r="E88" s="2087"/>
      <c r="F88" s="2088"/>
      <c r="G88" s="2088"/>
      <c r="H88" s="73"/>
      <c r="I88" s="608"/>
      <c r="J88" s="2877"/>
      <c r="K88" s="976"/>
      <c r="L88" s="976"/>
      <c r="M88" s="976"/>
      <c r="N88" s="976"/>
      <c r="O88" s="976"/>
      <c r="P88" s="976"/>
      <c r="Q88" s="976"/>
      <c r="R88" s="976"/>
      <c r="S88" s="976"/>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73</v>
      </c>
      <c r="B89" s="50" t="s">
        <v>1854</v>
      </c>
      <c r="C89" s="2796">
        <f>C90+C91</f>
        <v>0</v>
      </c>
      <c r="D89" s="2797"/>
      <c r="E89" s="2084"/>
      <c r="F89" s="2085"/>
      <c r="G89" s="2085"/>
      <c r="H89" s="2086"/>
      <c r="I89" s="608"/>
      <c r="J89" s="2877"/>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14.25">
      <c r="A90" s="49" t="s">
        <v>74</v>
      </c>
      <c r="B90" s="50" t="s">
        <v>1855</v>
      </c>
      <c r="C90" s="2801"/>
      <c r="D90" s="2797"/>
      <c r="E90" s="74" t="s">
        <v>1856</v>
      </c>
      <c r="F90" s="2085"/>
      <c r="G90" s="75" t="s">
        <v>1857</v>
      </c>
      <c r="H90" s="1488"/>
      <c r="I90" s="608"/>
      <c r="J90" s="2877"/>
      <c r="K90" s="2972" t="s">
        <v>2812</v>
      </c>
      <c r="L90" s="1484"/>
      <c r="M90" s="1484"/>
      <c r="N90" s="1484"/>
      <c r="O90" s="1484"/>
      <c r="P90" s="1484"/>
      <c r="Q90" s="1484"/>
      <c r="R90" s="1484"/>
      <c r="S90" s="1484"/>
      <c r="T90" s="976"/>
      <c r="U90" s="976"/>
      <c r="V90" s="976"/>
      <c r="W90" s="976"/>
      <c r="X90" s="976"/>
      <c r="Y90" s="976"/>
      <c r="Z90" s="976"/>
      <c r="AA90" s="976"/>
      <c r="AB90" s="1484"/>
      <c r="AC90" s="1484"/>
      <c r="AD90" s="1484"/>
      <c r="AE90" s="1484"/>
      <c r="AF90" s="1484"/>
      <c r="AG90" s="1484"/>
      <c r="AH90" s="1484"/>
      <c r="AI90" s="1484"/>
      <c r="AJ90" s="1484"/>
    </row>
    <row r="91" spans="1:36" s="1483" customFormat="1" ht="14.25">
      <c r="A91" s="49" t="s">
        <v>75</v>
      </c>
      <c r="B91" s="50" t="s">
        <v>1845</v>
      </c>
      <c r="C91" s="2796">
        <f>ROUND(C90*D91,0)</f>
        <v>0</v>
      </c>
      <c r="D91" s="2797">
        <f>'数据-取费表'!E36+'数据-取费表'!E37</f>
        <v>3.0499999999999999E-2</v>
      </c>
      <c r="E91" s="74" t="s">
        <v>1858</v>
      </c>
      <c r="F91" s="2085"/>
      <c r="G91" s="2085"/>
      <c r="H91" s="2086"/>
      <c r="I91" s="608"/>
      <c r="J91" s="2877"/>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14.25">
      <c r="A92" s="49" t="s">
        <v>77</v>
      </c>
      <c r="B92" s="50" t="s">
        <v>1859</v>
      </c>
      <c r="C92" s="2801"/>
      <c r="D92" s="2797"/>
      <c r="E92" s="74" t="str">
        <f>IF(H90="-","土地取得成本中已包含该笔费用"," ")</f>
        <v xml:space="preserve"> </v>
      </c>
      <c r="F92" s="2085"/>
      <c r="G92" s="4411" t="s">
        <v>2729</v>
      </c>
      <c r="H92" s="4438"/>
      <c r="I92" s="608"/>
      <c r="J92" s="2877"/>
      <c r="K92" s="2972" t="s">
        <v>2813</v>
      </c>
      <c r="L92" s="1484"/>
      <c r="M92" s="1484"/>
      <c r="N92" s="1484"/>
      <c r="O92" s="1484"/>
      <c r="P92" s="1484"/>
      <c r="Q92" s="1484"/>
      <c r="R92" s="1484"/>
      <c r="S92" s="1484"/>
      <c r="T92" s="976"/>
      <c r="U92" s="976"/>
      <c r="V92" s="976"/>
      <c r="W92" s="976"/>
      <c r="X92" s="976"/>
      <c r="Y92" s="976"/>
      <c r="Z92" s="976"/>
      <c r="AA92" s="976"/>
      <c r="AB92" s="1484"/>
      <c r="AC92" s="1484"/>
      <c r="AD92" s="1484"/>
      <c r="AE92" s="1484"/>
      <c r="AF92" s="1484"/>
      <c r="AG92" s="1484"/>
      <c r="AH92" s="1484"/>
      <c r="AI92" s="1484"/>
      <c r="AJ92" s="1484"/>
    </row>
    <row r="93" spans="1:36" s="1483" customFormat="1" ht="30.75" customHeight="1">
      <c r="A93" s="49" t="s">
        <v>78</v>
      </c>
      <c r="B93" s="50" t="s">
        <v>1860</v>
      </c>
      <c r="C93" s="2796">
        <f>IF(H93="——",成本法!C33,I93)</f>
        <v>0</v>
      </c>
      <c r="D93" s="2797"/>
      <c r="E93" s="4350" t="s">
        <v>1861</v>
      </c>
      <c r="F93" s="4351"/>
      <c r="G93" s="4351"/>
      <c r="H93" s="1489" t="s">
        <v>1862</v>
      </c>
      <c r="I93" s="2802"/>
      <c r="J93" s="2879"/>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79</v>
      </c>
      <c r="B94" s="50" t="s">
        <v>1863</v>
      </c>
      <c r="C94" s="2796">
        <f>ROUND((C89+C92+C93)*D94,0)</f>
        <v>0</v>
      </c>
      <c r="D94" s="2797">
        <v>0.1</v>
      </c>
      <c r="E94" s="4350" t="s">
        <v>1864</v>
      </c>
      <c r="F94" s="4351"/>
      <c r="G94" s="4351"/>
      <c r="H94" s="4352"/>
      <c r="I94" s="608"/>
      <c r="J94" s="2877"/>
      <c r="K94" s="2973" t="s">
        <v>2814</v>
      </c>
      <c r="L94" s="1484"/>
      <c r="M94" s="1484"/>
      <c r="N94" s="1484"/>
      <c r="O94" s="1484"/>
      <c r="P94" s="1484"/>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25.5" customHeight="1">
      <c r="A95" s="49" t="s">
        <v>80</v>
      </c>
      <c r="B95" s="50" t="s">
        <v>1848</v>
      </c>
      <c r="C95" s="2796">
        <f>ROUND(D47*D95/(1+'数据-取费表'!F30),0)</f>
        <v>0</v>
      </c>
      <c r="D95" s="2797">
        <f>'数据-取费表'!E31</f>
        <v>6.000000000000001E-3</v>
      </c>
      <c r="E95" s="4350" t="s">
        <v>1849</v>
      </c>
      <c r="F95" s="4351"/>
      <c r="G95" s="4351"/>
      <c r="H95" s="4352"/>
      <c r="I95" s="608"/>
      <c r="J95" s="2877"/>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5.5" customHeight="1">
      <c r="A96" s="49" t="s">
        <v>81</v>
      </c>
      <c r="B96" s="50" t="s">
        <v>1865</v>
      </c>
      <c r="C96" s="2796">
        <f>ROUND((C89+C92+C93)*D96,0)</f>
        <v>0</v>
      </c>
      <c r="D96" s="2797">
        <v>0.2</v>
      </c>
      <c r="E96" s="4350" t="s">
        <v>1866</v>
      </c>
      <c r="F96" s="4351"/>
      <c r="G96" s="4351"/>
      <c r="H96" s="4352"/>
      <c r="I96" s="608"/>
      <c r="J96" s="2877"/>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14.25">
      <c r="A97" s="53" t="s">
        <v>42</v>
      </c>
      <c r="B97" s="54" t="s">
        <v>1850</v>
      </c>
      <c r="C97" s="2788">
        <f>ROUND(C87-C88,0)</f>
        <v>0</v>
      </c>
      <c r="D97" s="50" t="s">
        <v>41</v>
      </c>
      <c r="E97" s="2087"/>
      <c r="F97" s="2088"/>
      <c r="G97" s="2088"/>
      <c r="H97" s="73"/>
      <c r="I97" s="608"/>
      <c r="J97" s="2877"/>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s="1483" customFormat="1" ht="14.25">
      <c r="A98" s="53" t="s">
        <v>43</v>
      </c>
      <c r="B98" s="54" t="s">
        <v>1851</v>
      </c>
      <c r="C98" s="2798">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8"/>
      <c r="G98" s="2088"/>
      <c r="H98" s="73"/>
      <c r="I98" s="608"/>
      <c r="J98" s="2877"/>
      <c r="K98" s="976"/>
      <c r="L98" s="976"/>
      <c r="M98" s="976"/>
      <c r="N98" s="976"/>
      <c r="O98" s="976"/>
      <c r="P98" s="976"/>
      <c r="Q98" s="976"/>
      <c r="R98" s="976"/>
      <c r="S98" s="976"/>
      <c r="T98" s="976"/>
      <c r="U98" s="976"/>
      <c r="V98" s="976"/>
      <c r="W98" s="976"/>
      <c r="X98" s="976"/>
      <c r="Y98" s="976"/>
      <c r="Z98" s="976"/>
      <c r="AA98" s="976"/>
      <c r="AB98" s="1484"/>
      <c r="AC98" s="1484"/>
      <c r="AD98" s="1484"/>
      <c r="AE98" s="1484"/>
      <c r="AF98" s="1484"/>
      <c r="AG98" s="1484"/>
      <c r="AH98" s="1484"/>
      <c r="AI98" s="1484"/>
      <c r="AJ98" s="1484"/>
    </row>
    <row r="99" spans="1:36" s="1483" customFormat="1" ht="15" thickBot="1">
      <c r="A99" s="66" t="s">
        <v>44</v>
      </c>
      <c r="B99" s="56" t="s">
        <v>1852</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6"/>
      <c r="K99" s="976"/>
      <c r="L99" s="976"/>
      <c r="M99" s="976"/>
      <c r="N99" s="976"/>
      <c r="O99" s="976"/>
      <c r="P99" s="976"/>
      <c r="Q99" s="976"/>
      <c r="R99" s="976"/>
      <c r="S99" s="976"/>
      <c r="T99" s="976"/>
      <c r="U99" s="976"/>
      <c r="V99" s="976"/>
      <c r="W99" s="976"/>
      <c r="X99" s="976"/>
      <c r="Y99" s="976"/>
      <c r="Z99" s="976"/>
      <c r="AA99" s="976"/>
      <c r="AB99" s="1484"/>
      <c r="AC99" s="1484"/>
      <c r="AD99" s="1484"/>
      <c r="AE99" s="1484"/>
      <c r="AF99" s="1484"/>
      <c r="AG99" s="1484"/>
      <c r="AH99" s="1484"/>
      <c r="AI99" s="1484"/>
      <c r="AJ99" s="1484"/>
    </row>
    <row r="100" spans="1:36" ht="21.75" customHeight="1" thickBot="1">
      <c r="A100" s="1471" t="s">
        <v>1867</v>
      </c>
      <c r="B100" s="1461"/>
      <c r="C100" s="1461"/>
      <c r="D100" s="1461"/>
      <c r="E100" s="812"/>
      <c r="F100" s="812"/>
      <c r="G100" s="812"/>
      <c r="H100" s="1470"/>
      <c r="I100" s="1461"/>
    </row>
    <row r="101" spans="1:36" ht="15">
      <c r="A101" s="4397" t="s">
        <v>1868</v>
      </c>
      <c r="B101" s="4398"/>
      <c r="C101" s="4398"/>
      <c r="D101" s="4399"/>
      <c r="E101" s="1461"/>
      <c r="F101" s="4433" t="s">
        <v>2771</v>
      </c>
      <c r="G101" s="4434"/>
      <c r="H101" s="4434"/>
      <c r="I101" s="4435"/>
      <c r="J101" s="2880"/>
    </row>
    <row r="102" spans="1:36" ht="15">
      <c r="A102" s="4409" t="s">
        <v>1870</v>
      </c>
      <c r="B102" s="4410"/>
      <c r="C102" s="2803">
        <f>C4</f>
        <v>0</v>
      </c>
      <c r="D102" s="2804">
        <f>D4</f>
        <v>0</v>
      </c>
      <c r="E102" s="1461"/>
      <c r="F102" s="4321" t="s">
        <v>2772</v>
      </c>
      <c r="G102" s="4322"/>
      <c r="H102" s="4327" t="s">
        <v>2773</v>
      </c>
      <c r="I102" s="4320"/>
      <c r="J102" s="2860"/>
    </row>
    <row r="103" spans="1:36" ht="12.75">
      <c r="A103" s="4430" t="s">
        <v>2767</v>
      </c>
      <c r="B103" s="2305" t="str">
        <f>IF(H19="元","总价（元）","总价（万元）")</f>
        <v>总价（元）</v>
      </c>
      <c r="C103" s="1307" t="e">
        <f ca="1">C19</f>
        <v>#REF!</v>
      </c>
      <c r="D103" s="2807" t="e">
        <f ca="1">D19</f>
        <v>#REF!</v>
      </c>
      <c r="E103" s="1461"/>
      <c r="F103" s="4431"/>
      <c r="G103" s="4432"/>
      <c r="H103" s="4319">
        <f>典型户型修正!B25</f>
        <v>0</v>
      </c>
      <c r="I103" s="4320"/>
      <c r="J103" s="2860"/>
    </row>
    <row r="104" spans="1:36" ht="12.75">
      <c r="A104" s="4430"/>
      <c r="B104" s="2305" t="s">
        <v>2768</v>
      </c>
      <c r="C104" s="2808" t="e">
        <f ca="1">C20</f>
        <v>#REF!</v>
      </c>
      <c r="D104" s="2809" t="e">
        <f ca="1">D20</f>
        <v>#REF!</v>
      </c>
      <c r="E104" s="1461"/>
      <c r="F104" s="4331" t="s">
        <v>2774</v>
      </c>
      <c r="G104" s="4332"/>
      <c r="H104" s="2817" t="str">
        <f>C110</f>
        <v>总价（元）</v>
      </c>
      <c r="I104" s="2818">
        <f>H125</f>
        <v>0</v>
      </c>
      <c r="J104" s="2860"/>
    </row>
    <row r="105" spans="1:36" ht="12.75">
      <c r="A105" s="4430" t="s">
        <v>2769</v>
      </c>
      <c r="B105" s="2244" t="str">
        <f>B103</f>
        <v>总价（元）</v>
      </c>
      <c r="C105" s="12" t="e">
        <f ca="1">ROUND(IF('数据-取费表'!B4="总价",G19,IF(H19="元",G20*'数据-取费表'!E5,G20*'数据-取费表'!E5/10000)),0)</f>
        <v>#REF!</v>
      </c>
      <c r="D105" s="2810"/>
      <c r="E105" s="1461"/>
      <c r="F105" s="4331"/>
      <c r="G105" s="4332"/>
      <c r="H105" s="2817" t="s">
        <v>2775</v>
      </c>
      <c r="I105" s="52" t="e">
        <f>I125</f>
        <v>#DIV/0!</v>
      </c>
      <c r="J105" s="2844"/>
    </row>
    <row r="106" spans="1:36" ht="12.75">
      <c r="A106" s="4430"/>
      <c r="B106" s="2305" t="s">
        <v>2768</v>
      </c>
      <c r="C106" s="1481" t="e">
        <f ca="1">ROUND(IF('数据-取费表'!B4="楼面单价",G20,IF(H19="元",G19/'数据-取费表'!E5,G19*10000/'数据-取费表'!E5)),0)</f>
        <v>#REF!</v>
      </c>
      <c r="D106" s="2810"/>
      <c r="E106" s="1461"/>
      <c r="F106" s="4331"/>
      <c r="G106" s="4332"/>
      <c r="H106" s="4391"/>
      <c r="I106" s="4392"/>
      <c r="J106" s="2861"/>
    </row>
    <row r="107" spans="1:36" ht="12.75">
      <c r="A107" s="4424" t="s">
        <v>2770</v>
      </c>
      <c r="B107" s="2811" t="str">
        <f>B103</f>
        <v>总价（元）</v>
      </c>
      <c r="C107" s="2812">
        <f>H125</f>
        <v>0</v>
      </c>
      <c r="D107" s="2813"/>
      <c r="E107" s="1461"/>
      <c r="F107" s="4395" t="s">
        <v>2776</v>
      </c>
      <c r="G107" s="4396"/>
      <c r="H107" s="2819" t="str">
        <f>C112</f>
        <v>总额（元）</v>
      </c>
      <c r="I107" s="2818">
        <f>SUMIF(I108:I110,"&lt;9E307")</f>
        <v>0</v>
      </c>
      <c r="J107" s="2860"/>
    </row>
    <row r="108" spans="1:36" ht="15" thickBot="1">
      <c r="A108" s="4390"/>
      <c r="B108" s="2814" t="s">
        <v>2768</v>
      </c>
      <c r="C108" s="2815" t="e">
        <f>I125</f>
        <v>#DIV/0!</v>
      </c>
      <c r="D108" s="2816"/>
      <c r="E108" s="1461"/>
      <c r="F108" s="4333" t="s">
        <v>2777</v>
      </c>
      <c r="G108" s="4334"/>
      <c r="H108" s="2819" t="str">
        <f>C113</f>
        <v>总额（元）</v>
      </c>
      <c r="I108" s="2820">
        <f>IF(D38="同一抵押权人同一抵押物续贷",C38&amp;"（续贷，未扣减，详见特别提示）",C38)</f>
        <v>0</v>
      </c>
      <c r="J108" s="2844"/>
      <c r="L108" s="1464" t="str">
        <f>IF(D125=0,"本次评估不存在"&amp;A125&amp;"。","本次评估"&amp;A125&amp;"为"&amp;D125&amp;"元人民币。")</f>
        <v>本次评估不存在北京市房地产。</v>
      </c>
      <c r="M108" s="1461"/>
      <c r="N108" s="1461"/>
      <c r="O108" s="1461"/>
      <c r="P108" s="1461"/>
      <c r="Q108" s="1461"/>
    </row>
    <row r="109" spans="1:36" ht="15">
      <c r="A109" s="4427" t="s">
        <v>1871</v>
      </c>
      <c r="B109" s="4428"/>
      <c r="C109" s="4428"/>
      <c r="D109" s="4429"/>
      <c r="E109" s="1461"/>
      <c r="F109" s="4333" t="s">
        <v>2778</v>
      </c>
      <c r="G109" s="4334"/>
      <c r="H109" s="2819" t="str">
        <f>C114</f>
        <v>总额（元）</v>
      </c>
      <c r="I109" s="52">
        <f>C39</f>
        <v>0</v>
      </c>
      <c r="J109" s="2844"/>
    </row>
    <row r="110" spans="1:36" ht="12.75">
      <c r="A110" s="4331" t="s">
        <v>2781</v>
      </c>
      <c r="B110" s="4332"/>
      <c r="C110" s="2817" t="str">
        <f>B103</f>
        <v>总价（元）</v>
      </c>
      <c r="D110" s="2818">
        <f>H125</f>
        <v>0</v>
      </c>
      <c r="E110" s="1461"/>
      <c r="F110" s="4333" t="s">
        <v>2779</v>
      </c>
      <c r="G110" s="4334"/>
      <c r="H110" s="2819" t="str">
        <f>C115</f>
        <v>总额（元）</v>
      </c>
      <c r="I110" s="52">
        <f>C40</f>
        <v>0</v>
      </c>
      <c r="J110" s="2844"/>
    </row>
    <row r="111" spans="1:36" ht="12.75">
      <c r="A111" s="4331"/>
      <c r="B111" s="4332"/>
      <c r="C111" s="2817" t="s">
        <v>2782</v>
      </c>
      <c r="D111" s="52" t="e">
        <f>I125</f>
        <v>#DIV/0!</v>
      </c>
      <c r="E111" s="1461"/>
      <c r="F111" s="4331"/>
      <c r="G111" s="4332"/>
      <c r="H111" s="4393"/>
      <c r="I111" s="4394"/>
      <c r="J111" s="2862"/>
    </row>
    <row r="112" spans="1:36" ht="28.5" customHeight="1">
      <c r="A112" s="4338" t="s">
        <v>2776</v>
      </c>
      <c r="B112" s="4339"/>
      <c r="C112" s="2819" t="str">
        <f>IF(H19="元","总额（元）","总额（万元）")</f>
        <v>总额（元）</v>
      </c>
      <c r="D112" s="2818">
        <f>IF(D38="正常操作",I108+I109+I110,I109+I110)</f>
        <v>0</v>
      </c>
      <c r="E112" s="1461"/>
      <c r="F112" s="4323" t="str">
        <f>IF(项目基本情况!F5="已注销","——","3.房地产抵押价值")</f>
        <v>3.房地产抵押价值</v>
      </c>
      <c r="G112" s="4324"/>
      <c r="H112" s="1481" t="str">
        <f>C116</f>
        <v>总价（元）</v>
      </c>
      <c r="I112" s="2818">
        <f>IF(F112="——","——",I104-I107)</f>
        <v>0</v>
      </c>
      <c r="J112" s="2860"/>
    </row>
    <row r="113" spans="1:27" ht="12.75">
      <c r="A113" s="4333" t="s">
        <v>2783</v>
      </c>
      <c r="B113" s="4334"/>
      <c r="C113" s="2819" t="str">
        <f>C112</f>
        <v>总额（元）</v>
      </c>
      <c r="D113" s="52">
        <f>IF(D38="同一抵押权人同一抵押物续贷",C38&amp;"（未扣减，详见特别提示）",C38)</f>
        <v>0</v>
      </c>
      <c r="E113" s="1461"/>
      <c r="F113" s="4422"/>
      <c r="G113" s="4423"/>
      <c r="H113" s="2817" t="s">
        <v>2775</v>
      </c>
      <c r="I113" s="2821" t="e">
        <f>D117</f>
        <v>#DIV/0!</v>
      </c>
      <c r="J113" s="2863"/>
    </row>
    <row r="114" spans="1:27" ht="12.75">
      <c r="A114" s="4333" t="s">
        <v>2784</v>
      </c>
      <c r="B114" s="4334"/>
      <c r="C114" s="2819" t="str">
        <f>C112</f>
        <v>总额（元）</v>
      </c>
      <c r="D114" s="52">
        <f>C39</f>
        <v>0</v>
      </c>
      <c r="E114" s="1461"/>
      <c r="F114" s="4323" t="str">
        <f>IF(项目基本情况!F5="已注销及未注销","4.抵押担保权已注销时的房地产抵押价值",IF(项目基本情况!F5="已注销","3.抵押担保权已注销时的房地产抵押价值","——"))</f>
        <v>——</v>
      </c>
      <c r="G114" s="4324"/>
      <c r="H114" s="1481" t="str">
        <f>C118</f>
        <v>总价（元）</v>
      </c>
      <c r="I114" s="2818" t="str">
        <f>IF(F114="——","——",I104-I109-I110)</f>
        <v>——</v>
      </c>
      <c r="J114" s="2860"/>
    </row>
    <row r="115" spans="1:27" ht="12.75">
      <c r="A115" s="4333" t="s">
        <v>2785</v>
      </c>
      <c r="B115" s="4334"/>
      <c r="C115" s="2819" t="str">
        <f>C112</f>
        <v>总额（元）</v>
      </c>
      <c r="D115" s="52">
        <f>C40</f>
        <v>0</v>
      </c>
      <c r="E115" s="1461"/>
      <c r="F115" s="4422"/>
      <c r="G115" s="4423"/>
      <c r="H115" s="2817" t="s">
        <v>2775</v>
      </c>
      <c r="I115" s="52" t="str">
        <f>D119</f>
        <v>——</v>
      </c>
      <c r="J115" s="2844"/>
    </row>
    <row r="116" spans="1:27" ht="12.75">
      <c r="A116" s="4331" t="str">
        <f>IF(项目基本情况!F5="已注销","——","3.房地产抵押价值")</f>
        <v>3.房地产抵押价值</v>
      </c>
      <c r="B116" s="4332"/>
      <c r="C116" s="2817" t="str">
        <f>B103</f>
        <v>总价（元）</v>
      </c>
      <c r="D116" s="2818">
        <f>IF(A116="——","——",D110-D112)</f>
        <v>0</v>
      </c>
      <c r="E116" s="1461"/>
      <c r="F116" s="4323" t="str">
        <f>IF(项目基本情况!G5="抵押净值",IF(OR(项目基本情况!F5="已注销",项目基本情况!F5="房地产抵押价值"),"4.抵押净值","5.抵押净值"),"——")</f>
        <v>——</v>
      </c>
      <c r="G116" s="4324"/>
      <c r="H116" s="2817" t="str">
        <f>C120</f>
        <v>总价（元）</v>
      </c>
      <c r="I116" s="2818" t="str">
        <f>IF(F116="——","——",O61)</f>
        <v>——</v>
      </c>
      <c r="J116" s="2860"/>
    </row>
    <row r="117" spans="1:27" ht="13.5" thickBot="1">
      <c r="A117" s="4331"/>
      <c r="B117" s="4332"/>
      <c r="C117" s="2817" t="s">
        <v>2782</v>
      </c>
      <c r="D117" s="52" t="e">
        <f>ROUND(IF(D116=D110,D111,IF(H19="元",D116/B125,D116*10000/B125)),0)</f>
        <v>#DIV/0!</v>
      </c>
      <c r="E117" s="1461"/>
      <c r="F117" s="4325"/>
      <c r="G117" s="4326"/>
      <c r="H117" s="2822" t="s">
        <v>2775</v>
      </c>
      <c r="I117" s="2806" t="str">
        <f>D121</f>
        <v>——</v>
      </c>
      <c r="J117" s="2844"/>
    </row>
    <row r="118" spans="1:27" ht="15.75">
      <c r="A118" s="4331" t="str">
        <f>IF(项目基本情况!F5="已注销及未注销","4.抵押担保权已注销时的房地产抵押价值",IF(项目基本情况!F5="已注销","3.抵押担保权已注销时的房地产抵押价值","——"))</f>
        <v>——</v>
      </c>
      <c r="B118" s="4332"/>
      <c r="C118" s="2817" t="str">
        <f>B103</f>
        <v>总价（元）</v>
      </c>
      <c r="D118" s="2818" t="str">
        <f>IF(A118="——","——",D110-D114-D115)</f>
        <v>——</v>
      </c>
      <c r="E118" s="1461"/>
      <c r="F118" s="4417"/>
      <c r="G118" s="4417"/>
      <c r="H118" s="4381"/>
      <c r="I118" s="4381"/>
      <c r="J118" s="2864"/>
      <c r="O118" s="32"/>
      <c r="P118" s="32"/>
    </row>
    <row r="119" spans="1:27" s="1308" customFormat="1" ht="12.75">
      <c r="A119" s="4331"/>
      <c r="B119" s="4332"/>
      <c r="C119" s="2817" t="s">
        <v>2782</v>
      </c>
      <c r="D119" s="52" t="str">
        <f>IF(A118="——","——",IF(H19="元",ROUND(D118/B125,0),ROUND(D118*10000/B125,0)))</f>
        <v>——</v>
      </c>
      <c r="E119" s="1461"/>
      <c r="F119" s="4426" t="str">
        <f>IF(B33="总价","（以上估价结果中楼面单价为总价除以建筑面积得出）","（以上估价结果中总价为楼面单价乘以建筑面积得出）")</f>
        <v>（以上估价结果中总价为楼面单价乘以建筑面积得出）</v>
      </c>
      <c r="G119" s="4426"/>
      <c r="H119" s="4426"/>
      <c r="I119" s="4426"/>
      <c r="J119" s="2865"/>
      <c r="K119" s="659"/>
      <c r="L119" s="659"/>
      <c r="M119" s="659"/>
      <c r="N119" s="659"/>
      <c r="O119" s="32"/>
      <c r="P119" s="32"/>
      <c r="Q119" s="659"/>
      <c r="R119" s="659"/>
      <c r="S119" s="659"/>
      <c r="T119" s="659"/>
      <c r="U119" s="659"/>
      <c r="V119" s="659"/>
      <c r="W119" s="659"/>
      <c r="X119" s="659"/>
      <c r="Y119" s="659"/>
      <c r="Z119" s="659"/>
      <c r="AA119" s="659"/>
    </row>
    <row r="120" spans="1:27" s="1308" customFormat="1" ht="12.75">
      <c r="A120" s="4331" t="str">
        <f>IF(项目基本情况!G5="抵押净值",IF(OR(项目基本情况!F5="已注销",项目基本情况!F5="房地产抵押价值"),"4.抵押净值","5.抵押净值"),"——")</f>
        <v>——</v>
      </c>
      <c r="B120" s="4332"/>
      <c r="C120" s="2817" t="str">
        <f>B103</f>
        <v>总价（元）</v>
      </c>
      <c r="D120" s="2818" t="str">
        <f>IF(A120="——","——",O61)</f>
        <v>——</v>
      </c>
      <c r="E120" s="1461"/>
      <c r="F120" s="1515"/>
      <c r="G120" s="1515"/>
      <c r="H120" s="1515"/>
      <c r="I120" s="1515"/>
      <c r="J120" s="2865"/>
      <c r="K120" s="659"/>
      <c r="L120" s="659"/>
      <c r="M120" s="659"/>
      <c r="N120" s="659"/>
      <c r="O120" s="32"/>
      <c r="P120" s="32"/>
      <c r="Q120" s="659"/>
      <c r="R120" s="659"/>
      <c r="S120" s="659"/>
      <c r="T120" s="659"/>
      <c r="U120" s="659"/>
      <c r="V120" s="659"/>
      <c r="W120" s="659"/>
      <c r="X120" s="659"/>
      <c r="Y120" s="659"/>
      <c r="Z120" s="659"/>
      <c r="AA120" s="659"/>
    </row>
    <row r="121" spans="1:27" s="1308" customFormat="1" ht="13.5" thickBot="1">
      <c r="A121" s="4336"/>
      <c r="B121" s="4337"/>
      <c r="C121" s="2822" t="s">
        <v>2782</v>
      </c>
      <c r="D121" s="2806" t="str">
        <f>IF(D120=D110,D111,IF(A120="——","——",O63))</f>
        <v>——</v>
      </c>
      <c r="E121" s="1461"/>
      <c r="F121" s="1515"/>
      <c r="G121" s="1515"/>
      <c r="H121" s="1515"/>
      <c r="I121" s="1515"/>
      <c r="J121" s="2865"/>
      <c r="K121" s="659"/>
      <c r="L121" s="659"/>
      <c r="M121" s="659"/>
      <c r="N121" s="659"/>
      <c r="O121" s="32"/>
      <c r="P121" s="32"/>
      <c r="Q121" s="659"/>
      <c r="R121" s="659"/>
      <c r="S121" s="659"/>
      <c r="T121" s="659"/>
      <c r="U121" s="659"/>
      <c r="V121" s="659"/>
      <c r="W121" s="659"/>
      <c r="X121" s="659"/>
      <c r="Y121" s="659"/>
      <c r="Z121" s="659"/>
      <c r="AA121" s="659"/>
    </row>
    <row r="122" spans="1:27" s="1308" customFormat="1" ht="15">
      <c r="A122" s="4382" t="s">
        <v>1910</v>
      </c>
      <c r="B122" s="4383"/>
      <c r="C122" s="4383"/>
      <c r="D122" s="4383"/>
      <c r="E122" s="4383"/>
      <c r="F122" s="4383"/>
      <c r="G122" s="4383"/>
      <c r="H122" s="4383"/>
      <c r="I122" s="4383"/>
      <c r="J122" s="2866"/>
      <c r="K122" s="659"/>
      <c r="L122" s="659"/>
      <c r="M122" s="659"/>
      <c r="N122" s="659"/>
      <c r="O122" s="659"/>
      <c r="P122" s="659"/>
      <c r="Q122" s="659"/>
      <c r="R122" s="659"/>
      <c r="S122" s="659"/>
      <c r="T122" s="659"/>
      <c r="U122" s="659"/>
      <c r="V122" s="659"/>
      <c r="W122" s="659"/>
      <c r="X122" s="659"/>
      <c r="Y122" s="659"/>
      <c r="Z122" s="659"/>
      <c r="AA122" s="659"/>
    </row>
    <row r="123" spans="1:27" s="1308" customFormat="1" ht="12.75">
      <c r="A123" s="4316" t="s">
        <v>2786</v>
      </c>
      <c r="B123" s="4342" t="s">
        <v>2787</v>
      </c>
      <c r="C123" s="4342" t="s">
        <v>2793</v>
      </c>
      <c r="D123" s="4404" t="s">
        <v>2788</v>
      </c>
      <c r="E123" s="4405"/>
      <c r="F123" s="4317" t="s">
        <v>2794</v>
      </c>
      <c r="G123" s="4317"/>
      <c r="H123" s="4317" t="s">
        <v>2789</v>
      </c>
      <c r="I123" s="4403"/>
      <c r="J123" s="2844"/>
      <c r="K123" s="659"/>
      <c r="L123" s="659"/>
      <c r="M123" s="659"/>
      <c r="N123" s="659"/>
      <c r="O123" s="659"/>
      <c r="P123" s="659"/>
      <c r="Q123" s="659"/>
      <c r="R123" s="659"/>
      <c r="S123" s="659"/>
      <c r="T123" s="659"/>
      <c r="U123" s="659"/>
      <c r="V123" s="659"/>
      <c r="W123" s="659"/>
      <c r="X123" s="659"/>
      <c r="Y123" s="659"/>
      <c r="Z123" s="659"/>
      <c r="AA123" s="659"/>
    </row>
    <row r="124" spans="1:27" s="1308" customFormat="1" ht="12.75">
      <c r="A124" s="4316"/>
      <c r="B124" s="4343"/>
      <c r="C124" s="4343"/>
      <c r="D124" s="2091" t="s">
        <v>2790</v>
      </c>
      <c r="E124" s="2091" t="s">
        <v>2795</v>
      </c>
      <c r="F124" s="2091" t="s">
        <v>2790</v>
      </c>
      <c r="G124" s="2091" t="s">
        <v>2791</v>
      </c>
      <c r="H124" s="2091" t="s">
        <v>2790</v>
      </c>
      <c r="I124" s="52" t="s">
        <v>2791</v>
      </c>
      <c r="J124" s="2844"/>
      <c r="K124" s="659"/>
      <c r="L124" s="659"/>
      <c r="M124" s="659"/>
      <c r="N124" s="659"/>
      <c r="O124" s="659"/>
      <c r="P124" s="659"/>
      <c r="Q124" s="659"/>
      <c r="R124" s="659"/>
      <c r="S124" s="659"/>
      <c r="T124" s="659"/>
      <c r="U124" s="659"/>
      <c r="V124" s="659"/>
      <c r="W124" s="659"/>
      <c r="X124" s="659"/>
      <c r="Y124" s="659"/>
      <c r="Z124" s="659"/>
      <c r="AA124" s="659"/>
    </row>
    <row r="125" spans="1:27" s="1308" customFormat="1" ht="12.75">
      <c r="A125" s="2081" t="str">
        <f>项目基本情况!I1</f>
        <v>北京市房地产</v>
      </c>
      <c r="B125" s="2091">
        <f>典型户型修正!B25</f>
        <v>0</v>
      </c>
      <c r="C125" s="1456"/>
      <c r="D125" s="2091">
        <f>C36</f>
        <v>0</v>
      </c>
      <c r="E125" s="2091" t="e">
        <f>ROUND(IF(H19="元",D125/B125,D125*10000/B125),0)</f>
        <v>#DIV/0!</v>
      </c>
      <c r="F125" s="2091">
        <f>C37</f>
        <v>0</v>
      </c>
      <c r="G125" s="2091" t="e">
        <f>ROUND(IF(H19="元",F125/B125,F125*10000/B125),0)</f>
        <v>#DIV/0!</v>
      </c>
      <c r="H125" s="2091">
        <f>C34</f>
        <v>0</v>
      </c>
      <c r="I125" s="52" t="e">
        <f>C35</f>
        <v>#DIV/0!</v>
      </c>
      <c r="J125" s="2844"/>
      <c r="K125" s="659"/>
      <c r="L125" s="659"/>
      <c r="M125" s="659"/>
      <c r="N125" s="659"/>
      <c r="O125" s="659"/>
      <c r="P125" s="659"/>
      <c r="Q125" s="659"/>
      <c r="R125" s="659"/>
      <c r="S125" s="659"/>
      <c r="T125" s="659"/>
      <c r="U125" s="659"/>
      <c r="V125" s="659"/>
      <c r="W125" s="659"/>
      <c r="X125" s="659"/>
      <c r="Y125" s="659"/>
      <c r="Z125" s="659"/>
      <c r="AA125" s="659"/>
    </row>
    <row r="126" spans="1:27" s="1308" customFormat="1" ht="12.75">
      <c r="A126" s="4316" t="s">
        <v>2792</v>
      </c>
      <c r="B126" s="4317"/>
      <c r="C126" s="4317"/>
      <c r="D126" s="4344" t="str">
        <f>IF(H19="元",NUMBERSTRING(INT(D125),2)&amp;"元整",NUMBERSTRING(INT(D125*10000),2)&amp;"元整")</f>
        <v>零元整</v>
      </c>
      <c r="E126" s="4387"/>
      <c r="F126" s="4344" t="str">
        <f>IF(H19="元",NUMBERSTRING(INT(F125),2)&amp;"元整",NUMBERSTRING(INT(F125*10000),2)&amp;"元整")</f>
        <v>零元整</v>
      </c>
      <c r="G126" s="4387"/>
      <c r="H126" s="4344" t="str">
        <f>IF(H19="元",NUMBERSTRING(INT(H125),2)&amp;"元整",NUMBERSTRING(INT(H125*10000),2)&amp;"元整")</f>
        <v>零元整</v>
      </c>
      <c r="I126" s="4345"/>
      <c r="J126" s="2867"/>
      <c r="K126" s="659"/>
      <c r="L126" s="659"/>
      <c r="M126" s="659"/>
      <c r="N126" s="659"/>
      <c r="O126" s="659"/>
      <c r="P126" s="659"/>
      <c r="Q126" s="659"/>
      <c r="R126" s="659"/>
      <c r="S126" s="659"/>
      <c r="T126" s="659"/>
      <c r="U126" s="659"/>
      <c r="V126" s="659"/>
      <c r="W126" s="659"/>
      <c r="X126" s="659"/>
      <c r="Y126" s="659"/>
      <c r="Z126" s="659"/>
      <c r="AA126" s="659"/>
    </row>
    <row r="127" spans="1:27" s="1308" customFormat="1" ht="12.75">
      <c r="A127" s="4321" t="str">
        <f>IF(项目基本情况!D5="房地产市场价值","——",MID(A112,3,LEN(A112)-2))</f>
        <v>——</v>
      </c>
      <c r="B127" s="4327"/>
      <c r="C127" s="4322"/>
      <c r="D127" s="4319">
        <f>I107</f>
        <v>0</v>
      </c>
      <c r="E127" s="4327"/>
      <c r="F127" s="4327"/>
      <c r="G127" s="4327"/>
      <c r="H127" s="4327"/>
      <c r="I127" s="4320"/>
      <c r="J127" s="2860"/>
      <c r="K127" s="659"/>
      <c r="L127" s="659"/>
      <c r="M127" s="659"/>
      <c r="N127" s="659"/>
      <c r="O127" s="659"/>
      <c r="P127" s="659"/>
      <c r="Q127" s="659"/>
      <c r="R127" s="659"/>
      <c r="S127" s="659"/>
      <c r="T127" s="659"/>
      <c r="U127" s="659"/>
      <c r="V127" s="659"/>
      <c r="W127" s="659"/>
      <c r="X127" s="659"/>
      <c r="Y127" s="659"/>
      <c r="Z127" s="659"/>
      <c r="AA127" s="659"/>
    </row>
    <row r="128" spans="1:27" s="1308" customFormat="1" ht="12.75">
      <c r="A128" s="4388" t="s">
        <v>2792</v>
      </c>
      <c r="B128" s="4356"/>
      <c r="C128" s="4357"/>
      <c r="D128" s="4328">
        <f>H111</f>
        <v>0</v>
      </c>
      <c r="E128" s="4329"/>
      <c r="F128" s="4329"/>
      <c r="G128" s="4329"/>
      <c r="H128" s="4329"/>
      <c r="I128" s="4330"/>
      <c r="J128" s="2868"/>
      <c r="K128" s="659"/>
      <c r="L128" s="659"/>
      <c r="M128" s="659"/>
      <c r="N128" s="659"/>
      <c r="O128" s="659"/>
      <c r="P128" s="659"/>
      <c r="Q128" s="659"/>
      <c r="R128" s="659"/>
      <c r="S128" s="659"/>
      <c r="T128" s="659"/>
      <c r="U128" s="659"/>
      <c r="V128" s="659"/>
      <c r="W128" s="659"/>
      <c r="X128" s="659"/>
      <c r="Y128" s="659"/>
      <c r="Z128" s="659"/>
      <c r="AA128" s="659"/>
    </row>
    <row r="129" spans="1:27" s="1308" customFormat="1" ht="12.75">
      <c r="A129" s="4331" t="str">
        <f>IF(项目基本情况!D5="房地产市场价值","——",MID(A116,3,LEN(A116)-2))</f>
        <v>——</v>
      </c>
      <c r="B129" s="4332"/>
      <c r="C129" s="4332"/>
      <c r="D129" s="4319">
        <f>I112</f>
        <v>0</v>
      </c>
      <c r="E129" s="4327"/>
      <c r="F129" s="4327"/>
      <c r="G129" s="4327"/>
      <c r="H129" s="4327"/>
      <c r="I129" s="4320"/>
      <c r="J129" s="2860"/>
      <c r="K129" s="659"/>
      <c r="L129" s="659"/>
      <c r="M129" s="659"/>
      <c r="N129" s="659"/>
      <c r="O129" s="659"/>
      <c r="P129" s="659"/>
      <c r="Q129" s="659"/>
      <c r="R129" s="659"/>
      <c r="S129" s="659"/>
      <c r="T129" s="659"/>
      <c r="U129" s="659"/>
      <c r="V129" s="659"/>
      <c r="W129" s="659"/>
      <c r="X129" s="659"/>
      <c r="Y129" s="659"/>
      <c r="Z129" s="659"/>
      <c r="AA129" s="659"/>
    </row>
    <row r="130" spans="1:27" s="1308" customFormat="1" ht="12.75">
      <c r="A130" s="4316" t="s">
        <v>2792</v>
      </c>
      <c r="B130" s="4317"/>
      <c r="C130" s="4317"/>
      <c r="D130" s="4328" t="e">
        <f>I113</f>
        <v>#DIV/0!</v>
      </c>
      <c r="E130" s="4329"/>
      <c r="F130" s="4329"/>
      <c r="G130" s="4329"/>
      <c r="H130" s="4329"/>
      <c r="I130" s="4330"/>
      <c r="J130" s="2868"/>
      <c r="K130" s="659"/>
      <c r="L130" s="659"/>
      <c r="M130" s="659"/>
      <c r="N130" s="659"/>
      <c r="O130" s="659"/>
      <c r="P130" s="659"/>
      <c r="Q130" s="659"/>
      <c r="R130" s="659"/>
      <c r="S130" s="659"/>
      <c r="T130" s="659"/>
      <c r="U130" s="659"/>
      <c r="V130" s="659"/>
      <c r="W130" s="659"/>
      <c r="X130" s="659"/>
      <c r="Y130" s="659"/>
      <c r="Z130" s="659"/>
      <c r="AA130" s="659"/>
    </row>
    <row r="131" spans="1:27" s="1308" customFormat="1" ht="13.5" thickBot="1">
      <c r="A131" s="4331" t="str">
        <f>IF(项目基本情况!D5="房地产市场价值","——",MID(A118,3,LEN(A118)-2))</f>
        <v>——</v>
      </c>
      <c r="B131" s="4332"/>
      <c r="C131" s="4332"/>
      <c r="D131" s="4364" t="str">
        <f>I114</f>
        <v>——</v>
      </c>
      <c r="E131" s="4365"/>
      <c r="F131" s="4365"/>
      <c r="G131" s="4365"/>
      <c r="H131" s="4365"/>
      <c r="I131" s="4416"/>
      <c r="J131" s="2860"/>
      <c r="K131" s="659"/>
      <c r="L131" s="659"/>
      <c r="M131" s="659"/>
      <c r="N131" s="659"/>
      <c r="O131" s="659"/>
      <c r="P131" s="659"/>
      <c r="Q131" s="659"/>
      <c r="R131" s="659"/>
      <c r="S131" s="659"/>
      <c r="T131" s="659"/>
      <c r="U131" s="659"/>
      <c r="V131" s="659"/>
      <c r="W131" s="659"/>
      <c r="X131" s="659"/>
      <c r="Y131" s="659"/>
      <c r="Z131" s="659"/>
      <c r="AA131" s="659"/>
    </row>
    <row r="132" spans="1:27" s="1308" customFormat="1" ht="14.25" thickTop="1" thickBot="1">
      <c r="A132" s="4316" t="s">
        <v>2792</v>
      </c>
      <c r="B132" s="4317"/>
      <c r="C132" s="4318"/>
      <c r="D132" s="4380" t="str">
        <f>I115</f>
        <v>——</v>
      </c>
      <c r="E132" s="4380"/>
      <c r="F132" s="4380"/>
      <c r="G132" s="4380"/>
      <c r="H132" s="4380"/>
      <c r="I132" s="4380"/>
      <c r="J132" s="2868"/>
      <c r="K132" s="659"/>
      <c r="L132" s="659"/>
      <c r="M132" s="659"/>
      <c r="N132" s="659"/>
      <c r="O132" s="659"/>
      <c r="P132" s="659"/>
      <c r="Q132" s="659"/>
      <c r="R132" s="659"/>
      <c r="S132" s="659"/>
      <c r="T132" s="659"/>
      <c r="U132" s="659"/>
      <c r="V132" s="659"/>
      <c r="W132" s="659"/>
      <c r="X132" s="659"/>
      <c r="Y132" s="659"/>
      <c r="Z132" s="659"/>
      <c r="AA132" s="659"/>
    </row>
    <row r="133" spans="1:27" s="1308" customFormat="1" ht="14.25" thickTop="1" thickBot="1">
      <c r="A133" s="4331" t="str">
        <f>IF(项目基本情况!D5="房地产市场价值","——",MID(F116,3,LEN(F116)-2))</f>
        <v>——</v>
      </c>
      <c r="B133" s="4332"/>
      <c r="C133" s="4319"/>
      <c r="D133" s="4335" t="str">
        <f>I116</f>
        <v>——</v>
      </c>
      <c r="E133" s="4335"/>
      <c r="F133" s="4335"/>
      <c r="G133" s="4335"/>
      <c r="H133" s="4335"/>
      <c r="I133" s="4335"/>
      <c r="J133" s="2860"/>
      <c r="K133" s="659"/>
      <c r="L133" s="659"/>
      <c r="M133" s="659"/>
      <c r="N133" s="659"/>
      <c r="O133" s="659"/>
      <c r="P133" s="659"/>
      <c r="Q133" s="659"/>
      <c r="R133" s="659"/>
      <c r="S133" s="659"/>
      <c r="T133" s="659"/>
      <c r="U133" s="659"/>
      <c r="V133" s="659"/>
      <c r="W133" s="659"/>
      <c r="X133" s="659"/>
      <c r="Y133" s="659"/>
      <c r="Z133" s="659"/>
      <c r="AA133" s="659"/>
    </row>
    <row r="134" spans="1:27" s="1308" customFormat="1" ht="14.25" thickTop="1" thickBot="1">
      <c r="A134" s="4340" t="s">
        <v>2792</v>
      </c>
      <c r="B134" s="4341"/>
      <c r="C134" s="4341"/>
      <c r="D134" s="4346">
        <f>H118</f>
        <v>0</v>
      </c>
      <c r="E134" s="4347"/>
      <c r="F134" s="4347"/>
      <c r="G134" s="4347"/>
      <c r="H134" s="4347"/>
      <c r="I134" s="4348"/>
      <c r="J134" s="2868"/>
      <c r="K134" s="659"/>
      <c r="L134" s="659"/>
      <c r="M134" s="659"/>
      <c r="N134" s="659"/>
      <c r="O134" s="659"/>
      <c r="P134" s="659"/>
      <c r="Q134" s="659"/>
      <c r="R134" s="659"/>
      <c r="S134" s="659"/>
      <c r="T134" s="659"/>
      <c r="U134" s="659"/>
      <c r="V134" s="659"/>
      <c r="W134" s="659"/>
      <c r="X134" s="659"/>
      <c r="Y134" s="659"/>
      <c r="Z134" s="659"/>
      <c r="AA134" s="659"/>
    </row>
    <row r="135" spans="1:27" s="1308" customFormat="1" ht="12.75">
      <c r="A135" s="1481" t="str">
        <f>IF(H19="元","单位：平方米、元、元/平方米（币种：人民币）","单位：平方米、万元、元/平方米（币种：人民币）")</f>
        <v>单位：平方米、元、元/平方米（币种：人民币）</v>
      </c>
      <c r="B135" s="1481"/>
      <c r="C135" s="1481"/>
      <c r="D135" s="1481"/>
      <c r="E135" s="1481"/>
      <c r="F135" s="1481"/>
      <c r="G135" s="1481"/>
      <c r="H135" s="1481"/>
      <c r="I135" s="1481"/>
      <c r="J135" s="2869"/>
      <c r="K135" s="659"/>
      <c r="L135" s="659"/>
      <c r="M135" s="659"/>
      <c r="N135" s="659"/>
      <c r="O135" s="659"/>
      <c r="P135" s="659"/>
      <c r="Q135" s="659"/>
      <c r="R135" s="659"/>
      <c r="S135" s="659"/>
      <c r="T135" s="659"/>
      <c r="U135" s="659"/>
      <c r="V135" s="659"/>
      <c r="W135" s="659"/>
      <c r="X135" s="659"/>
      <c r="Y135" s="659"/>
      <c r="Z135" s="659"/>
      <c r="AA135" s="659"/>
    </row>
    <row r="136" spans="1:27" s="1308" customFormat="1" ht="13.5" thickBot="1">
      <c r="A136" s="4314" t="str">
        <f>IF(B33="总价","（以上估价结果中楼面单价为总价除以建筑面积得出）","（以上估价结果中总价为楼面单价乘以建筑面积得出）")</f>
        <v>（以上估价结果中总价为楼面单价乘以建筑面积得出）</v>
      </c>
      <c r="B136" s="4314"/>
      <c r="C136" s="4314"/>
      <c r="D136" s="4314"/>
      <c r="E136" s="4314"/>
      <c r="F136" s="4314"/>
      <c r="G136" s="4314"/>
      <c r="H136" s="4314"/>
      <c r="I136" s="4314"/>
      <c r="J136" s="2862"/>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91" t="s">
        <v>1873</v>
      </c>
      <c r="B137" s="1492"/>
      <c r="C137" s="1493" t="s">
        <v>1874</v>
      </c>
      <c r="D137" s="1494"/>
      <c r="E137" s="1494"/>
      <c r="F137" s="1494"/>
      <c r="G137" s="1494"/>
      <c r="H137" s="1495"/>
      <c r="I137" s="1496"/>
      <c r="J137" s="2870"/>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7">
        <v>1</v>
      </c>
      <c r="B138" s="1498"/>
      <c r="C138" s="1498"/>
      <c r="D138" s="1494"/>
      <c r="E138" s="1494"/>
      <c r="F138" s="1494"/>
      <c r="G138" s="1494"/>
      <c r="H138" s="1495"/>
      <c r="I138" s="1496"/>
      <c r="J138" s="2870"/>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7">
        <v>2</v>
      </c>
      <c r="B139" s="1498"/>
      <c r="C139" s="1498"/>
      <c r="D139" s="1494"/>
      <c r="E139" s="1494"/>
      <c r="F139" s="1494"/>
      <c r="G139" s="1494"/>
      <c r="H139" s="1495"/>
      <c r="I139" s="1496"/>
      <c r="J139" s="2870"/>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7">
        <v>3</v>
      </c>
      <c r="B140" s="1498"/>
      <c r="C140" s="1498"/>
      <c r="D140" s="1494"/>
      <c r="E140" s="1494"/>
      <c r="F140" s="32"/>
      <c r="G140" s="32"/>
      <c r="H140" s="32"/>
      <c r="I140" s="32"/>
      <c r="J140" s="2871"/>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9"/>
      <c r="B141" s="1500"/>
      <c r="C141" s="1500"/>
      <c r="D141" s="1501"/>
      <c r="E141" s="1501"/>
      <c r="F141" s="1501"/>
      <c r="G141" s="1501"/>
      <c r="H141" s="1502"/>
      <c r="I141" s="1503"/>
      <c r="J141" s="2870"/>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8"/>
      <c r="B142" s="1498"/>
      <c r="C142" s="1498"/>
      <c r="D142" s="1494"/>
      <c r="E142" s="1494"/>
      <c r="F142" s="1494"/>
      <c r="G142" s="1494"/>
      <c r="H142" s="1495"/>
      <c r="I142" s="659"/>
      <c r="J142" s="2871"/>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4" t="s">
        <v>1875</v>
      </c>
      <c r="G143" s="1505"/>
      <c r="H143" s="1505"/>
      <c r="I143" s="1506" t="s">
        <v>1876</v>
      </c>
      <c r="J143" s="2872"/>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7" t="s">
        <v>1877</v>
      </c>
      <c r="C144" s="659"/>
      <c r="D144" s="659"/>
      <c r="E144" s="659"/>
      <c r="F144" s="659"/>
      <c r="G144" s="659"/>
      <c r="H144" s="659"/>
      <c r="I144" s="659"/>
      <c r="J144" s="2871"/>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871"/>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5"/>
      <c r="C146" s="1505"/>
      <c r="D146" s="1505"/>
      <c r="E146" s="1505"/>
      <c r="F146" s="1505"/>
      <c r="G146" s="1505"/>
      <c r="H146" s="1505"/>
      <c r="I146" s="1506" t="s">
        <v>1878</v>
      </c>
      <c r="J146" s="2872"/>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7" t="s">
        <v>1879</v>
      </c>
      <c r="C147" s="659"/>
      <c r="D147" s="659"/>
      <c r="E147" s="659"/>
      <c r="F147" s="659"/>
      <c r="G147" s="659"/>
      <c r="H147" s="659"/>
      <c r="I147" s="659"/>
      <c r="J147" s="2871"/>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7"/>
      <c r="C148" s="659"/>
      <c r="D148" s="659"/>
      <c r="E148" s="659"/>
      <c r="F148" s="659"/>
      <c r="G148" s="659"/>
      <c r="H148" s="659"/>
      <c r="I148" s="659"/>
      <c r="J148" s="2871"/>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5"/>
      <c r="C149" s="1505"/>
      <c r="D149" s="1505"/>
      <c r="E149" s="1505"/>
      <c r="F149" s="1505"/>
      <c r="G149" s="1505"/>
      <c r="H149" s="1505"/>
      <c r="I149" s="1506" t="s">
        <v>1878</v>
      </c>
      <c r="J149" s="2872"/>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7"/>
      <c r="C150" s="1508"/>
      <c r="D150" s="1509"/>
      <c r="E150" s="1509"/>
      <c r="F150" s="1510"/>
      <c r="G150" s="659"/>
      <c r="H150" s="659"/>
      <c r="I150" s="659"/>
      <c r="J150" s="2871"/>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7"/>
      <c r="C151" s="1508"/>
      <c r="D151" s="1509"/>
      <c r="E151" s="1509"/>
      <c r="J151" s="2871"/>
    </row>
    <row r="152" spans="1:27" s="659" customFormat="1" ht="21.75" customHeight="1">
      <c r="J152" s="2871"/>
    </row>
    <row r="153" spans="1:27" s="659" customFormat="1" ht="21.75" customHeight="1">
      <c r="J153" s="2871"/>
    </row>
    <row r="154" spans="1:27" s="659" customFormat="1" ht="21.75" customHeight="1">
      <c r="J154" s="2871"/>
    </row>
    <row r="155" spans="1:27" s="659" customFormat="1" ht="21.75" customHeight="1">
      <c r="J155" s="2871"/>
    </row>
    <row r="156" spans="1:27" s="659" customFormat="1" ht="21.75" customHeight="1">
      <c r="J156" s="2871"/>
    </row>
    <row r="157" spans="1:27" s="659" customFormat="1" ht="21.75" customHeight="1">
      <c r="J157" s="2871"/>
    </row>
    <row r="158" spans="1:27" s="659" customFormat="1" ht="21.75" customHeight="1">
      <c r="J158" s="2871"/>
    </row>
    <row r="159" spans="1:27" s="659" customFormat="1" ht="21.75" customHeight="1">
      <c r="J159" s="2871"/>
    </row>
    <row r="160" spans="1:27" s="659" customFormat="1" ht="21.75" customHeight="1">
      <c r="J160" s="2871"/>
    </row>
    <row r="161" spans="10:10" s="659" customFormat="1" ht="21.75" customHeight="1">
      <c r="J161" s="2871"/>
    </row>
    <row r="162" spans="10:10" s="659" customFormat="1" ht="21.75" customHeight="1">
      <c r="J162" s="2871"/>
    </row>
    <row r="163" spans="10:10" s="659" customFormat="1" ht="21.75" customHeight="1">
      <c r="J163" s="2871"/>
    </row>
    <row r="164" spans="10:10" s="659" customFormat="1" ht="21.75" customHeight="1">
      <c r="J164" s="2871"/>
    </row>
    <row r="165" spans="10:10" s="659" customFormat="1" ht="21.75" customHeight="1">
      <c r="J165" s="2871"/>
    </row>
    <row r="166" spans="10:10" s="659" customFormat="1" ht="21.75" customHeight="1">
      <c r="J166" s="2871"/>
    </row>
    <row r="167" spans="10:10" s="659" customFormat="1" ht="21.75" customHeight="1">
      <c r="J167" s="2871"/>
    </row>
    <row r="168" spans="10:10" s="659" customFormat="1" ht="21.75" customHeight="1">
      <c r="J168" s="2871"/>
    </row>
    <row r="169" spans="10:10" s="659" customFormat="1" ht="21.75" customHeight="1">
      <c r="J169" s="2871"/>
    </row>
    <row r="170" spans="10:10" s="659" customFormat="1" ht="21.75" customHeight="1">
      <c r="J170" s="2871"/>
    </row>
    <row r="171" spans="10:10" s="659" customFormat="1" ht="21.75" customHeight="1">
      <c r="J171" s="2871"/>
    </row>
    <row r="172" spans="10:10" s="659" customFormat="1" ht="21.75" customHeight="1">
      <c r="J172" s="2871"/>
    </row>
    <row r="173" spans="10:10" s="659" customFormat="1" ht="21.75" customHeight="1">
      <c r="J173" s="2871"/>
    </row>
    <row r="174" spans="10:10" s="659" customFormat="1" ht="21.75" customHeight="1">
      <c r="J174" s="2871"/>
    </row>
    <row r="175" spans="10:10" s="659" customFormat="1" ht="21.75" customHeight="1">
      <c r="J175" s="2871"/>
    </row>
    <row r="176" spans="10:10" s="659" customFormat="1" ht="21.75" customHeight="1">
      <c r="J176" s="2871"/>
    </row>
    <row r="177" spans="10:10" s="659" customFormat="1" ht="21.75" customHeight="1">
      <c r="J177" s="2871"/>
    </row>
    <row r="178" spans="10:10" s="659" customFormat="1" ht="21.75" customHeight="1">
      <c r="J178" s="2871"/>
    </row>
    <row r="179" spans="10:10" s="659" customFormat="1" ht="21.75" customHeight="1">
      <c r="J179" s="2871"/>
    </row>
    <row r="180" spans="10:10" s="659" customFormat="1" ht="21.75" customHeight="1">
      <c r="J180" s="2871"/>
    </row>
    <row r="181" spans="10:10" s="659" customFormat="1" ht="21.75" customHeight="1">
      <c r="J181" s="2871"/>
    </row>
    <row r="182" spans="10:10" s="659" customFormat="1" ht="21.75" customHeight="1">
      <c r="J182" s="2871"/>
    </row>
    <row r="183" spans="10:10" s="659" customFormat="1" ht="21.75" customHeight="1">
      <c r="J183" s="2871"/>
    </row>
    <row r="184" spans="10:10" s="659" customFormat="1" ht="21.75" customHeight="1">
      <c r="J184" s="2871"/>
    </row>
    <row r="185" spans="10:10" s="659" customFormat="1" ht="21.75" customHeight="1">
      <c r="J185" s="2871"/>
    </row>
    <row r="186" spans="10:10" s="659" customFormat="1" ht="21.75" customHeight="1">
      <c r="J186" s="2871"/>
    </row>
    <row r="187" spans="10:10" s="659" customFormat="1" ht="21.75" customHeight="1">
      <c r="J187" s="2871"/>
    </row>
    <row r="188" spans="10:10" s="659" customFormat="1" ht="21.75" customHeight="1">
      <c r="J188" s="2871"/>
    </row>
    <row r="189" spans="10:10" s="659" customFormat="1" ht="21.75" customHeight="1">
      <c r="J189" s="2871"/>
    </row>
    <row r="190" spans="10:10" s="659" customFormat="1" ht="21.75" customHeight="1">
      <c r="J190" s="2871"/>
    </row>
    <row r="191" spans="10:10" s="659" customFormat="1" ht="21.75" customHeight="1">
      <c r="J191" s="2871"/>
    </row>
    <row r="192" spans="10:10" s="659" customFormat="1" ht="21.75" customHeight="1">
      <c r="J192" s="2871"/>
    </row>
    <row r="193" spans="10:10" s="659" customFormat="1" ht="21.75" customHeight="1">
      <c r="J193" s="2871"/>
    </row>
    <row r="194" spans="10:10" s="659" customFormat="1" ht="21.75" customHeight="1">
      <c r="J194" s="2871"/>
    </row>
    <row r="195" spans="10:10" s="659" customFormat="1" ht="21.75" customHeight="1">
      <c r="J195" s="2871"/>
    </row>
    <row r="196" spans="10:10" s="659" customFormat="1" ht="21.75" customHeight="1">
      <c r="J196" s="2871"/>
    </row>
    <row r="197" spans="10:10" s="659" customFormat="1" ht="21.75" customHeight="1">
      <c r="J197" s="2871"/>
    </row>
    <row r="198" spans="10:10" s="659" customFormat="1" ht="21.75" customHeight="1">
      <c r="J198" s="2871"/>
    </row>
    <row r="199" spans="10:10" s="659" customFormat="1" ht="21.75" customHeight="1">
      <c r="J199" s="2871"/>
    </row>
    <row r="200" spans="10:10" s="659" customFormat="1" ht="21.75" customHeight="1">
      <c r="J200" s="2871"/>
    </row>
    <row r="201" spans="10:10" s="659" customFormat="1" ht="21.75" customHeight="1">
      <c r="J201" s="2871"/>
    </row>
    <row r="202" spans="10:10" s="659" customFormat="1" ht="21.75" customHeight="1">
      <c r="J202" s="2871"/>
    </row>
    <row r="203" spans="10:10" s="659" customFormat="1" ht="21.75" customHeight="1">
      <c r="J203" s="2871"/>
    </row>
    <row r="204" spans="10:10" s="659" customFormat="1" ht="21.75" customHeight="1">
      <c r="J204" s="2871"/>
    </row>
    <row r="205" spans="10:10" s="659" customFormat="1" ht="21.75" customHeight="1">
      <c r="J205" s="2871"/>
    </row>
    <row r="206" spans="10:10" s="659" customFormat="1" ht="21.75" customHeight="1">
      <c r="J206" s="2871"/>
    </row>
    <row r="207" spans="10:10" s="659" customFormat="1" ht="21.75" customHeight="1">
      <c r="J207" s="2871"/>
    </row>
    <row r="208" spans="10:10" s="659" customFormat="1" ht="21.75" customHeight="1">
      <c r="J208" s="2871"/>
    </row>
    <row r="209" spans="10:10" s="659" customFormat="1" ht="21.75" customHeight="1">
      <c r="J209" s="2871"/>
    </row>
    <row r="210" spans="10:10" s="659" customFormat="1" ht="21.75" customHeight="1">
      <c r="J210" s="2871"/>
    </row>
    <row r="211" spans="10:10" s="659" customFormat="1" ht="21.75" customHeight="1">
      <c r="J211" s="2871"/>
    </row>
    <row r="212" spans="10:10" s="659" customFormat="1" ht="21.75" customHeight="1">
      <c r="J212" s="2871"/>
    </row>
    <row r="213" spans="10:10" s="659" customFormat="1" ht="21.75" customHeight="1">
      <c r="J213" s="2871"/>
    </row>
    <row r="214" spans="10:10" s="659" customFormat="1" ht="21.75" customHeight="1">
      <c r="J214" s="2871"/>
    </row>
    <row r="215" spans="10:10" s="659" customFormat="1" ht="21.75" customHeight="1">
      <c r="J215" s="2871"/>
    </row>
    <row r="216" spans="10:10" s="659" customFormat="1" ht="21.75" customHeight="1">
      <c r="J216" s="2871"/>
    </row>
    <row r="217" spans="10:10" s="659" customFormat="1" ht="21.75" customHeight="1">
      <c r="J217" s="2871"/>
    </row>
    <row r="218" spans="10:10" s="659" customFormat="1" ht="21.75" customHeight="1">
      <c r="J218" s="2871"/>
    </row>
    <row r="219" spans="10:10" s="659" customFormat="1" ht="21.75" customHeight="1">
      <c r="J219" s="2871"/>
    </row>
    <row r="220" spans="10:10" s="659" customFormat="1" ht="21.75" customHeight="1">
      <c r="J220" s="2871"/>
    </row>
    <row r="221" spans="10:10" s="659" customFormat="1" ht="21.75" customHeight="1">
      <c r="J221" s="2871"/>
    </row>
    <row r="222" spans="10:10" s="659" customFormat="1" ht="21.75" customHeight="1">
      <c r="J222" s="2871"/>
    </row>
    <row r="223" spans="10:10" s="659" customFormat="1" ht="21.75" customHeight="1">
      <c r="J223" s="2871"/>
    </row>
    <row r="224" spans="10:10" s="659" customFormat="1" ht="21.75" customHeight="1">
      <c r="J224" s="2871"/>
    </row>
    <row r="225" spans="10:10" s="659" customFormat="1" ht="21.75" customHeight="1">
      <c r="J225" s="2871"/>
    </row>
    <row r="226" spans="10:10" s="659" customFormat="1" ht="21.75" customHeight="1">
      <c r="J226" s="2871"/>
    </row>
    <row r="227" spans="10:10" s="659" customFormat="1" ht="21.75" customHeight="1">
      <c r="J227" s="2871"/>
    </row>
    <row r="228" spans="10:10" s="659" customFormat="1" ht="21.75" customHeight="1">
      <c r="J228" s="2871"/>
    </row>
    <row r="229" spans="10:10" s="659" customFormat="1" ht="21.75" customHeight="1">
      <c r="J229" s="2871"/>
    </row>
    <row r="230" spans="10:10" s="659" customFormat="1" ht="21.75" customHeight="1">
      <c r="J230" s="2871"/>
    </row>
    <row r="231" spans="10:10" s="659" customFormat="1" ht="21.75" customHeight="1">
      <c r="J231" s="2871"/>
    </row>
    <row r="232" spans="10:10" s="659" customFormat="1" ht="21.75" customHeight="1">
      <c r="J232" s="2871"/>
    </row>
    <row r="233" spans="10:10" s="659" customFormat="1" ht="21.75" customHeight="1">
      <c r="J233" s="2871"/>
    </row>
    <row r="234" spans="10:10" s="659" customFormat="1" ht="21.75" customHeight="1">
      <c r="J234" s="2871"/>
    </row>
    <row r="235" spans="10:10" s="659" customFormat="1" ht="21.75" customHeight="1">
      <c r="J235" s="2871"/>
    </row>
    <row r="236" spans="10:10" s="659" customFormat="1" ht="21.75" customHeight="1">
      <c r="J236" s="2871"/>
    </row>
    <row r="237" spans="10:10" s="659" customFormat="1" ht="21.75" customHeight="1">
      <c r="J237" s="2871"/>
    </row>
    <row r="238" spans="10:10" s="659" customFormat="1" ht="21.75" customHeight="1">
      <c r="J238" s="2871"/>
    </row>
    <row r="239" spans="10:10" s="659" customFormat="1" ht="21.75" customHeight="1">
      <c r="J239" s="2871"/>
    </row>
    <row r="240" spans="10:10" s="659" customFormat="1" ht="21.75" customHeight="1">
      <c r="J240" s="2871"/>
    </row>
    <row r="241" spans="10:10" s="659" customFormat="1" ht="21.75" customHeight="1">
      <c r="J241" s="2871"/>
    </row>
    <row r="242" spans="10:10" s="659" customFormat="1" ht="21.75" customHeight="1">
      <c r="J242" s="2871"/>
    </row>
    <row r="243" spans="10:10" s="659" customFormat="1" ht="21.75" customHeight="1">
      <c r="J243" s="2871"/>
    </row>
    <row r="244" spans="10:10" s="659" customFormat="1" ht="21.75" customHeight="1">
      <c r="J244" s="2871"/>
    </row>
    <row r="245" spans="10:10" s="659" customFormat="1" ht="21.75" customHeight="1">
      <c r="J245" s="2871"/>
    </row>
    <row r="246" spans="10:10" s="659" customFormat="1" ht="21.75" customHeight="1">
      <c r="J246" s="2871"/>
    </row>
    <row r="247" spans="10:10" s="659" customFormat="1" ht="21.75" customHeight="1">
      <c r="J247" s="2871"/>
    </row>
    <row r="248" spans="10:10" s="659" customFormat="1" ht="21.75" customHeight="1">
      <c r="J248" s="2871"/>
    </row>
    <row r="249" spans="10:10" s="659" customFormat="1" ht="21.75" customHeight="1">
      <c r="J249" s="2871"/>
    </row>
    <row r="250" spans="10:10" s="659" customFormat="1" ht="21.75" customHeight="1">
      <c r="J250" s="2871"/>
    </row>
    <row r="251" spans="10:10" s="659" customFormat="1" ht="21.75" customHeight="1">
      <c r="J251" s="2871"/>
    </row>
    <row r="252" spans="10:10" s="659" customFormat="1" ht="21.75" customHeight="1">
      <c r="J252" s="2871"/>
    </row>
    <row r="253" spans="10:10" s="659" customFormat="1" ht="21.75" customHeight="1">
      <c r="J253" s="2871"/>
    </row>
    <row r="254" spans="10:10" s="659" customFormat="1" ht="21.75" customHeight="1">
      <c r="J254" s="2871"/>
    </row>
    <row r="255" spans="10:10" s="659" customFormat="1" ht="21.75" customHeight="1">
      <c r="J255" s="2871"/>
    </row>
    <row r="256" spans="10:10" s="659" customFormat="1" ht="21.75" customHeight="1">
      <c r="J256" s="2871"/>
    </row>
    <row r="257" spans="10:10" s="659" customFormat="1" ht="21.75" customHeight="1">
      <c r="J257" s="2871"/>
    </row>
    <row r="258" spans="10:10" s="659" customFormat="1" ht="21.75" customHeight="1">
      <c r="J258" s="2871"/>
    </row>
    <row r="259" spans="10:10" s="659" customFormat="1" ht="21.75" customHeight="1">
      <c r="J259" s="2871"/>
    </row>
    <row r="260" spans="10:10" s="659" customFormat="1" ht="21.75" customHeight="1">
      <c r="J260" s="2871"/>
    </row>
    <row r="261" spans="10:10" s="659" customFormat="1" ht="21.75" customHeight="1">
      <c r="J261" s="2871"/>
    </row>
    <row r="262" spans="10:10" s="659" customFormat="1" ht="21.75" customHeight="1">
      <c r="J262" s="2871"/>
    </row>
    <row r="263" spans="10:10" s="659" customFormat="1" ht="21.75" customHeight="1">
      <c r="J263" s="2871"/>
    </row>
    <row r="264" spans="10:10" s="659" customFormat="1" ht="21.75" customHeight="1">
      <c r="J264" s="2871"/>
    </row>
    <row r="265" spans="10:10" s="659" customFormat="1" ht="21.75" customHeight="1">
      <c r="J265" s="2871"/>
    </row>
    <row r="266" spans="10:10" s="659" customFormat="1" ht="21.75" customHeight="1">
      <c r="J266" s="2871"/>
    </row>
    <row r="267" spans="10:10" s="659" customFormat="1" ht="21.75" customHeight="1">
      <c r="J267" s="2871"/>
    </row>
    <row r="268" spans="10:10" s="659" customFormat="1" ht="21.75" customHeight="1">
      <c r="J268" s="2871"/>
    </row>
    <row r="269" spans="10:10" s="659" customFormat="1" ht="21.75" customHeight="1">
      <c r="J269" s="2871"/>
    </row>
    <row r="270" spans="10:10" s="659" customFormat="1" ht="21.75" customHeight="1">
      <c r="J270" s="2871"/>
    </row>
    <row r="271" spans="10:10" s="659" customFormat="1" ht="21.75" customHeight="1">
      <c r="J271" s="2871"/>
    </row>
    <row r="272" spans="10:10" s="659" customFormat="1" ht="21.75" customHeight="1">
      <c r="J272" s="2871"/>
    </row>
    <row r="273" spans="10:10" s="659" customFormat="1" ht="21.75" customHeight="1">
      <c r="J273" s="2871"/>
    </row>
    <row r="274" spans="10:10" s="659" customFormat="1" ht="21.75" customHeight="1">
      <c r="J274" s="2871"/>
    </row>
    <row r="275" spans="10:10" s="659" customFormat="1" ht="21.75" customHeight="1">
      <c r="J275" s="2871"/>
    </row>
    <row r="276" spans="10:10" s="659" customFormat="1" ht="21.75" customHeight="1">
      <c r="J276" s="2871"/>
    </row>
    <row r="277" spans="10:10" s="659" customFormat="1" ht="21.75" customHeight="1">
      <c r="J277" s="2871"/>
    </row>
    <row r="278" spans="10:10" s="659" customFormat="1" ht="21.75" customHeight="1">
      <c r="J278" s="2871"/>
    </row>
    <row r="279" spans="10:10" s="659" customFormat="1" ht="21.75" customHeight="1">
      <c r="J279" s="2871"/>
    </row>
    <row r="280" spans="10:10" s="659" customFormat="1" ht="21.75" customHeight="1">
      <c r="J280" s="2871"/>
    </row>
    <row r="281" spans="10:10" s="659" customFormat="1" ht="21.75" customHeight="1">
      <c r="J281" s="2871"/>
    </row>
    <row r="282" spans="10:10" s="659" customFormat="1" ht="21.75" customHeight="1">
      <c r="J282" s="2871"/>
    </row>
    <row r="283" spans="10:10" s="659" customFormat="1" ht="21.75" customHeight="1">
      <c r="J283" s="2871"/>
    </row>
    <row r="284" spans="10:10" s="659" customFormat="1" ht="21.75" customHeight="1">
      <c r="J284" s="2871"/>
    </row>
    <row r="285" spans="10:10" s="659" customFormat="1" ht="21.75" customHeight="1">
      <c r="J285" s="2871"/>
    </row>
    <row r="286" spans="10:10" s="659" customFormat="1" ht="21.75" customHeight="1">
      <c r="J286" s="2871"/>
    </row>
    <row r="287" spans="10:10" s="659" customFormat="1" ht="21.75" customHeight="1">
      <c r="J287" s="2871"/>
    </row>
    <row r="288" spans="10:10" s="659" customFormat="1" ht="21.75" customHeight="1">
      <c r="J288" s="2871"/>
    </row>
    <row r="289" spans="10:10" s="659" customFormat="1" ht="21.75" customHeight="1">
      <c r="J289" s="2871"/>
    </row>
    <row r="290" spans="10:10" s="659" customFormat="1" ht="21.75" customHeight="1">
      <c r="J290" s="2871"/>
    </row>
    <row r="291" spans="10:10" s="659" customFormat="1" ht="21.75" customHeight="1">
      <c r="J291" s="2871"/>
    </row>
    <row r="292" spans="10:10" s="659" customFormat="1" ht="21.75" customHeight="1">
      <c r="J292" s="2871"/>
    </row>
    <row r="293" spans="10:10" s="659" customFormat="1" ht="21.75" customHeight="1">
      <c r="J293" s="2871"/>
    </row>
    <row r="294" spans="10:10" s="659" customFormat="1" ht="21.75" customHeight="1">
      <c r="J294" s="2871"/>
    </row>
    <row r="295" spans="10:10" s="659" customFormat="1" ht="21.75" customHeight="1">
      <c r="J295" s="2871"/>
    </row>
    <row r="296" spans="10:10" s="659" customFormat="1" ht="21.75" customHeight="1">
      <c r="J296" s="2871"/>
    </row>
    <row r="297" spans="10:10" s="659" customFormat="1" ht="21.75" customHeight="1">
      <c r="J297" s="2871"/>
    </row>
    <row r="298" spans="10:10" s="659" customFormat="1" ht="21.75" customHeight="1">
      <c r="J298" s="2871"/>
    </row>
    <row r="299" spans="10:10" s="659" customFormat="1" ht="21.75" customHeight="1">
      <c r="J299" s="2871"/>
    </row>
    <row r="300" spans="10:10" s="659" customFormat="1" ht="21.75" customHeight="1">
      <c r="J300" s="2871"/>
    </row>
    <row r="301" spans="10:10" s="659" customFormat="1" ht="21.75" customHeight="1">
      <c r="J301" s="2871"/>
    </row>
    <row r="302" spans="10:10" s="659" customFormat="1" ht="21.75" customHeight="1">
      <c r="J302" s="2871"/>
    </row>
    <row r="303" spans="10:10" s="659" customFormat="1" ht="21.75" customHeight="1">
      <c r="J303" s="2871"/>
    </row>
    <row r="304" spans="10:10" s="659" customFormat="1" ht="21.75" customHeight="1">
      <c r="J304" s="2871"/>
    </row>
    <row r="305" spans="10:10" s="659" customFormat="1" ht="21.75" customHeight="1">
      <c r="J305" s="2871"/>
    </row>
    <row r="306" spans="10:10" s="659" customFormat="1" ht="21.75" customHeight="1">
      <c r="J306" s="2871"/>
    </row>
    <row r="307" spans="10:10" s="659" customFormat="1" ht="21.75" customHeight="1">
      <c r="J307" s="2871"/>
    </row>
    <row r="308" spans="10:10" s="659" customFormat="1" ht="21.75" customHeight="1">
      <c r="J308" s="2871"/>
    </row>
    <row r="309" spans="10:10" s="659" customFormat="1" ht="21.75" customHeight="1">
      <c r="J309" s="2871"/>
    </row>
    <row r="310" spans="10:10" s="659" customFormat="1" ht="21.75" customHeight="1">
      <c r="J310" s="2871"/>
    </row>
    <row r="311" spans="10:10" s="659" customFormat="1" ht="21.75" customHeight="1">
      <c r="J311" s="2871"/>
    </row>
    <row r="312" spans="10:10" s="659" customFormat="1" ht="21.75" customHeight="1">
      <c r="J312" s="2871"/>
    </row>
    <row r="313" spans="10:10" s="659" customFormat="1" ht="21.75" customHeight="1">
      <c r="J313" s="2871"/>
    </row>
    <row r="314" spans="10:10" s="659" customFormat="1" ht="21.75" customHeight="1">
      <c r="J314" s="2871"/>
    </row>
    <row r="315" spans="10:10" s="659" customFormat="1" ht="21.75" customHeight="1">
      <c r="J315" s="2871"/>
    </row>
    <row r="316" spans="10:10" s="659" customFormat="1" ht="21.75" customHeight="1">
      <c r="J316" s="2871"/>
    </row>
    <row r="317" spans="10:10" s="659" customFormat="1" ht="21.75" customHeight="1">
      <c r="J317" s="2871"/>
    </row>
    <row r="318" spans="10:10" s="659" customFormat="1" ht="21.75" customHeight="1">
      <c r="J318" s="2871"/>
    </row>
    <row r="319" spans="10:10" s="659" customFormat="1" ht="21.75" customHeight="1">
      <c r="J319" s="2871"/>
    </row>
    <row r="320" spans="10:10" s="659" customFormat="1" ht="21.75" customHeight="1">
      <c r="J320" s="2871"/>
    </row>
    <row r="321" spans="10:10" s="659" customFormat="1" ht="21.75" customHeight="1">
      <c r="J321" s="2871"/>
    </row>
    <row r="322" spans="10:10" s="659" customFormat="1" ht="21.75" customHeight="1">
      <c r="J322" s="2871"/>
    </row>
    <row r="323" spans="10:10" s="659" customFormat="1" ht="21.75" customHeight="1">
      <c r="J323" s="2871"/>
    </row>
    <row r="324" spans="10:10" s="659" customFormat="1" ht="21.75" customHeight="1">
      <c r="J324" s="2871"/>
    </row>
    <row r="325" spans="10:10" s="659" customFormat="1" ht="21.75" customHeight="1">
      <c r="J325" s="2871"/>
    </row>
    <row r="326" spans="10:10" s="659" customFormat="1" ht="21.75" customHeight="1">
      <c r="J326" s="2871"/>
    </row>
    <row r="327" spans="10:10" s="659" customFormat="1" ht="21.75" customHeight="1">
      <c r="J327" s="2871"/>
    </row>
    <row r="328" spans="10:10" s="659" customFormat="1" ht="21.75" customHeight="1">
      <c r="J328" s="2871"/>
    </row>
    <row r="329" spans="10:10" s="659" customFormat="1" ht="21.75" customHeight="1">
      <c r="J329" s="2871"/>
    </row>
    <row r="330" spans="10:10" s="659" customFormat="1" ht="21.75" customHeight="1">
      <c r="J330" s="2871"/>
    </row>
    <row r="331" spans="10:10" s="659" customFormat="1" ht="21.75" customHeight="1">
      <c r="J331" s="2871"/>
    </row>
    <row r="332" spans="10:10" s="659" customFormat="1" ht="21.75" customHeight="1">
      <c r="J332" s="2871"/>
    </row>
    <row r="333" spans="10:10" s="659" customFormat="1" ht="21.75" customHeight="1">
      <c r="J333" s="2871"/>
    </row>
    <row r="334" spans="10:10" s="659" customFormat="1" ht="21.75" customHeight="1">
      <c r="J334" s="2871"/>
    </row>
    <row r="335" spans="10:10" s="659" customFormat="1" ht="21.75" customHeight="1">
      <c r="J335" s="2871"/>
    </row>
    <row r="336" spans="10:10" s="659" customFormat="1" ht="21.75" customHeight="1">
      <c r="J336" s="2871"/>
    </row>
    <row r="337" spans="10:10" s="659" customFormat="1" ht="21.75" customHeight="1">
      <c r="J337" s="2871"/>
    </row>
    <row r="338" spans="10:10" s="659" customFormat="1" ht="21.75" customHeight="1">
      <c r="J338" s="2871"/>
    </row>
    <row r="339" spans="10:10" s="659" customFormat="1" ht="21.75" customHeight="1">
      <c r="J339" s="2871"/>
    </row>
    <row r="340" spans="10:10" s="659" customFormat="1" ht="21.75" customHeight="1">
      <c r="J340" s="2871"/>
    </row>
    <row r="341" spans="10:10" s="659" customFormat="1" ht="21.75" customHeight="1">
      <c r="J341" s="2871"/>
    </row>
    <row r="342" spans="10:10" s="659" customFormat="1" ht="21.75" customHeight="1">
      <c r="J342" s="2871"/>
    </row>
    <row r="343" spans="10:10" s="659" customFormat="1" ht="21.75" customHeight="1">
      <c r="J343" s="2871"/>
    </row>
    <row r="344" spans="10:10" s="659" customFormat="1" ht="21.75" customHeight="1">
      <c r="J344" s="2871"/>
    </row>
    <row r="345" spans="10:10" s="659" customFormat="1" ht="21.75" customHeight="1">
      <c r="J345" s="2871"/>
    </row>
    <row r="346" spans="10:10" s="659" customFormat="1" ht="21.75" customHeight="1">
      <c r="J346" s="2871"/>
    </row>
    <row r="347" spans="10:10" s="659" customFormat="1" ht="21.75" customHeight="1">
      <c r="J347" s="2871"/>
    </row>
    <row r="348" spans="10:10" s="659" customFormat="1" ht="21.75" customHeight="1">
      <c r="J348" s="2871"/>
    </row>
    <row r="349" spans="10:10" s="659" customFormat="1" ht="21.75" customHeight="1">
      <c r="J349" s="2871"/>
    </row>
    <row r="350" spans="10:10" s="659" customFormat="1" ht="21.75" customHeight="1">
      <c r="J350" s="2871"/>
    </row>
    <row r="351" spans="10:10" s="659" customFormat="1" ht="21.75" customHeight="1">
      <c r="J351" s="2871"/>
    </row>
    <row r="352" spans="10:10" s="659" customFormat="1" ht="21.75" customHeight="1">
      <c r="J352" s="2871"/>
    </row>
    <row r="353" spans="10:10" s="659" customFormat="1" ht="21.75" customHeight="1">
      <c r="J353" s="2871"/>
    </row>
    <row r="354" spans="10:10" s="659" customFormat="1" ht="21.75" customHeight="1">
      <c r="J354" s="2871"/>
    </row>
    <row r="355" spans="10:10" s="659" customFormat="1" ht="21.75" customHeight="1">
      <c r="J355" s="2871"/>
    </row>
    <row r="356" spans="10:10" s="659" customFormat="1" ht="21.75" customHeight="1">
      <c r="J356" s="2871"/>
    </row>
    <row r="357" spans="10:10" s="659" customFormat="1" ht="21.75" customHeight="1">
      <c r="J357" s="2871"/>
    </row>
    <row r="358" spans="10:10" s="659" customFormat="1" ht="21.75" customHeight="1">
      <c r="J358" s="2871"/>
    </row>
    <row r="359" spans="10:10" s="659" customFormat="1" ht="21.75" customHeight="1">
      <c r="J359" s="2871"/>
    </row>
    <row r="360" spans="10:10" s="659" customFormat="1" ht="21.75" customHeight="1">
      <c r="J360" s="2871"/>
    </row>
    <row r="361" spans="10:10" s="659" customFormat="1" ht="21.75" customHeight="1">
      <c r="J361" s="2871"/>
    </row>
    <row r="362" spans="10:10" s="659" customFormat="1" ht="21.75" customHeight="1">
      <c r="J362" s="2871"/>
    </row>
    <row r="363" spans="10:10" s="659" customFormat="1" ht="21.75" customHeight="1">
      <c r="J363" s="2871"/>
    </row>
    <row r="364" spans="10:10" s="659" customFormat="1" ht="21.75" customHeight="1">
      <c r="J364" s="2871"/>
    </row>
    <row r="365" spans="10:10" s="659" customFormat="1" ht="21.75" customHeight="1">
      <c r="J365" s="2871"/>
    </row>
    <row r="366" spans="10:10" s="659" customFormat="1" ht="21.75" customHeight="1">
      <c r="J366" s="2871"/>
    </row>
    <row r="367" spans="10:10" s="659" customFormat="1" ht="21.75" customHeight="1">
      <c r="J367" s="2871"/>
    </row>
    <row r="368" spans="10:10" s="659" customFormat="1" ht="21.75" customHeight="1">
      <c r="J368" s="2871"/>
    </row>
    <row r="369" spans="10:27" s="659" customFormat="1" ht="21.75" customHeight="1">
      <c r="J369" s="2871"/>
    </row>
    <row r="370" spans="10:27" s="659" customFormat="1" ht="21.75" customHeight="1">
      <c r="J370" s="2871"/>
    </row>
    <row r="371" spans="10:27" s="659" customFormat="1" ht="21.75" customHeight="1">
      <c r="J371" s="2871"/>
    </row>
    <row r="372" spans="10:27" s="659" customFormat="1" ht="21.75" customHeight="1">
      <c r="J372" s="2871"/>
    </row>
    <row r="373" spans="10:27" s="659" customFormat="1" ht="21.75" customHeight="1">
      <c r="J373" s="2871"/>
    </row>
    <row r="374" spans="10:27" s="659" customFormat="1" ht="21.75" customHeight="1">
      <c r="J374" s="2871"/>
    </row>
    <row r="375" spans="10:27" s="659" customFormat="1" ht="21.75" customHeight="1">
      <c r="J375" s="2871"/>
    </row>
    <row r="376" spans="10:27" s="659" customFormat="1" ht="21.75" customHeight="1">
      <c r="J376" s="2871"/>
    </row>
    <row r="377" spans="10:27" s="659" customFormat="1" ht="21.75" customHeight="1">
      <c r="J377" s="2871"/>
    </row>
    <row r="378" spans="10:27" s="659" customFormat="1" ht="21.75" customHeight="1">
      <c r="J378" s="2871"/>
    </row>
    <row r="379" spans="10:27" s="659" customFormat="1" ht="21.75" customHeight="1">
      <c r="J379" s="2871"/>
    </row>
    <row r="380" spans="10:27" s="659" customFormat="1" ht="21.75" customHeight="1">
      <c r="J380" s="2871"/>
    </row>
    <row r="381" spans="10:27" s="659" customFormat="1" ht="21.75" customHeight="1">
      <c r="J381" s="2871"/>
    </row>
    <row r="382" spans="10:27" s="659" customFormat="1" ht="21.75" customHeight="1">
      <c r="J382" s="2871"/>
    </row>
    <row r="383" spans="10:27" s="1308" customFormat="1" ht="21.75" customHeight="1">
      <c r="J383" s="2841"/>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41"/>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41"/>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41"/>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41"/>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41"/>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41"/>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41"/>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41"/>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41"/>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41"/>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41"/>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41"/>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41"/>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41"/>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41"/>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41"/>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41"/>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41"/>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41"/>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41"/>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1"/>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1"/>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1"/>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1"/>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1"/>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1"/>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1"/>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1"/>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1"/>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1"/>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1"/>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1"/>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1"/>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1"/>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1"/>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1"/>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1"/>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1"/>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1"/>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1"/>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1"/>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1"/>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1"/>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1"/>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1"/>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1"/>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1"/>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1"/>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1"/>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1"/>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1"/>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1"/>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1"/>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1"/>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1"/>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1"/>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1"/>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1"/>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1"/>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1"/>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1"/>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1"/>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1"/>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1"/>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1"/>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1"/>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1"/>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1"/>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1"/>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1"/>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1"/>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1"/>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1"/>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1"/>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1"/>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1"/>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1"/>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1"/>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1"/>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1"/>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1"/>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1"/>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1"/>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1"/>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1"/>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1"/>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1"/>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1"/>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1"/>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1"/>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1"/>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1"/>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1"/>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1"/>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1"/>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1"/>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1"/>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1"/>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1"/>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1"/>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1"/>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1"/>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1"/>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1"/>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1"/>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1"/>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1"/>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1"/>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1"/>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1"/>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1"/>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1"/>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1"/>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1"/>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1"/>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1"/>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1"/>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1"/>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1"/>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1"/>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1"/>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1"/>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1"/>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1"/>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1"/>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1"/>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1"/>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1"/>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1"/>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1"/>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1"/>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1"/>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41"/>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41"/>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41"/>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41"/>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62"/>
      <c r="G520" s="1462"/>
      <c r="H520" s="1462"/>
      <c r="I520" s="1462"/>
      <c r="J520" s="2841"/>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2" type="noConversion"/>
  <conditionalFormatting sqref="C5:C7">
    <cfRule type="cellIs" dxfId="234" priority="9" stopIfTrue="1" operator="equal">
      <formula>25</formula>
    </cfRule>
  </conditionalFormatting>
  <conditionalFormatting sqref="C8:C9">
    <cfRule type="cellIs" dxfId="233" priority="8" stopIfTrue="1" operator="equal">
      <formula>15</formula>
    </cfRule>
  </conditionalFormatting>
  <conditionalFormatting sqref="C14:C16">
    <cfRule type="cellIs" dxfId="232" priority="7" stopIfTrue="1" operator="equal">
      <formula>30</formula>
    </cfRule>
  </conditionalFormatting>
  <conditionalFormatting sqref="D5:D7">
    <cfRule type="cellIs" dxfId="231" priority="6" stopIfTrue="1" operator="equal">
      <formula>25</formula>
    </cfRule>
  </conditionalFormatting>
  <conditionalFormatting sqref="D8:D9">
    <cfRule type="cellIs" dxfId="230" priority="5" stopIfTrue="1" operator="equal">
      <formula>15</formula>
    </cfRule>
  </conditionalFormatting>
  <conditionalFormatting sqref="C10:D13">
    <cfRule type="cellIs" dxfId="229" priority="4" stopIfTrue="1" operator="equal">
      <formula>15</formula>
    </cfRule>
  </conditionalFormatting>
  <conditionalFormatting sqref="D14:D16">
    <cfRule type="cellIs" dxfId="228" priority="3" stopIfTrue="1" operator="equal">
      <formula>30</formula>
    </cfRule>
  </conditionalFormatting>
  <conditionalFormatting sqref="C92">
    <cfRule type="expression" dxfId="227" priority="2" stopIfTrue="1">
      <formula>$H$90&lt;&gt;"仅含出让金"</formula>
    </cfRule>
  </conditionalFormatting>
  <conditionalFormatting sqref="C93">
    <cfRule type="expression" dxfId="226" priority="1" stopIfTrue="1">
      <formula>$H$93="由企业提供"</formula>
    </cfRule>
  </conditionalFormatting>
  <dataValidations count="13">
    <dataValidation type="list" allowBlank="1" showInputMessage="1" showErrorMessage="1" sqref="H93" xr:uid="{00000000-0002-0000-0E00-000000000000}">
      <formula1>"企业提供（在右侧录入）,——"</formula1>
    </dataValidation>
    <dataValidation type="list" allowBlank="1" showInputMessage="1" showErrorMessage="1" sqref="C137" xr:uid="{00000000-0002-0000-0E00-000001000000}">
      <formula1>"无,有"</formula1>
    </dataValidation>
    <dataValidation type="list" allowBlank="1" showInputMessage="1" showErrorMessage="1" sqref="D123:E123" xr:uid="{00000000-0002-0000-0E00-000002000000}">
      <formula1>"出让国有建设用地使用权价值,划拨国有建设用地使用权价值"</formula1>
    </dataValidation>
    <dataValidation type="list" allowBlank="1" showInputMessage="1" showErrorMessage="1" sqref="D38" xr:uid="{00000000-0002-0000-0E00-000003000000}">
      <formula1>"同一抵押权人同一抵押物续贷,注销后放款,正常操作"</formula1>
    </dataValidation>
    <dataValidation type="list" allowBlank="1" showInputMessage="1" showErrorMessage="1" sqref="F77" xr:uid="{00000000-0002-0000-0E00-000004000000}">
      <formula1>"买卖合同,购房发票"</formula1>
    </dataValidation>
    <dataValidation type="list" allowBlank="1" showInputMessage="1" showErrorMessage="1" sqref="H90" xr:uid="{00000000-0002-0000-0E00-000005000000}">
      <formula1>"仅含出让金,出让金+开发费"</formula1>
    </dataValidation>
    <dataValidation type="list" allowBlank="1" showInputMessage="1" showErrorMessage="1" sqref="F47" xr:uid="{00000000-0002-0000-0E00-000006000000}">
      <formula1>"100%,80%,60%,64%"</formula1>
    </dataValidation>
    <dataValidation type="list" allowBlank="1" showInputMessage="1" showErrorMessage="1" sqref="H60" xr:uid="{00000000-0002-0000-0E00-000007000000}">
      <formula1>"转让取得,自行开发建设"</formula1>
    </dataValidation>
    <dataValidation type="list" allowBlank="1" showInputMessage="1" showErrorMessage="1" sqref="H50" xr:uid="{00000000-0002-0000-0E00-000008000000}">
      <formula1>"情况1,情况2,情况3,情况4"</formula1>
    </dataValidation>
    <dataValidation type="list" allowBlank="1" showInputMessage="1" showErrorMessage="1" sqref="H57:H58" xr:uid="{00000000-0002-0000-0E00-000009000000}">
      <formula1>"个人住宅,正常"</formula1>
    </dataValidation>
    <dataValidation type="list" allowBlank="1" showInputMessage="1" showErrorMessage="1" sqref="C4:D4" xr:uid="{00000000-0002-0000-0E00-00000A000000}">
      <formula1>估价方法</formula1>
    </dataValidation>
    <dataValidation type="list" allowBlank="1" showInputMessage="1" showErrorMessage="1" sqref="G79" xr:uid="{00000000-0002-0000-0E00-00000B000000}">
      <formula1>"个人住宅,2016年5月1日前购买,2016年5月1日后购买"</formula1>
    </dataValidation>
    <dataValidation type="list" allowBlank="1" showInputMessage="1" showErrorMessage="1" sqref="H61" xr:uid="{00000000-0002-0000-0E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tabColor rgb="FF92D050"/>
    <pageSetUpPr fitToPage="1"/>
  </sheetPr>
  <dimension ref="A1:AG34"/>
  <sheetViews>
    <sheetView workbookViewId="0">
      <selection sqref="A1:XFD1048576"/>
    </sheetView>
  </sheetViews>
  <sheetFormatPr defaultColWidth="6.625" defaultRowHeight="12.75"/>
  <cols>
    <col min="1" max="1" width="9.625" style="218" customWidth="1"/>
    <col min="2" max="2" width="25.62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2" t="s">
        <v>1286</v>
      </c>
      <c r="D1" s="1124"/>
      <c r="E1" s="924"/>
      <c r="F1" s="924"/>
      <c r="G1" s="924"/>
      <c r="H1" s="924"/>
      <c r="I1" s="924"/>
      <c r="J1" s="924"/>
      <c r="K1" s="924"/>
    </row>
    <row r="2" spans="1:33" s="139" customFormat="1" ht="18" customHeight="1">
      <c r="A2" s="81" t="s">
        <v>1287</v>
      </c>
      <c r="B2" s="84">
        <f ca="1">IF(C2="元",C32,ROUND(C32/10000,0))</f>
        <v>217590</v>
      </c>
      <c r="C2" s="1401" t="str">
        <f>'数据-取费表'!B3</f>
        <v>元</v>
      </c>
      <c r="D2" s="924"/>
      <c r="E2" s="924"/>
      <c r="F2" s="924"/>
      <c r="G2" s="924"/>
      <c r="H2" s="924"/>
      <c r="I2" s="924"/>
      <c r="J2" s="924"/>
      <c r="K2" s="924"/>
    </row>
    <row r="3" spans="1:33" s="139" customFormat="1" ht="18" customHeight="1" thickBot="1">
      <c r="A3" s="83" t="s">
        <v>1288</v>
      </c>
      <c r="B3" s="84" t="e">
        <f ca="1">ROUND(C32/IF(C1="仅计算典型户型",'数据-取费表'!E5,'数据-取费表'!B5),0)</f>
        <v>#DIV/0!</v>
      </c>
      <c r="C3" s="1401" t="s">
        <v>1289</v>
      </c>
      <c r="D3" s="924"/>
      <c r="E3" s="924"/>
      <c r="F3" s="924"/>
      <c r="G3" s="924"/>
      <c r="H3" s="924"/>
      <c r="I3" s="924"/>
      <c r="J3" s="924"/>
      <c r="K3" s="924"/>
    </row>
    <row r="4" spans="1:33" s="143" customFormat="1" ht="16.5" customHeight="1">
      <c r="A4" s="140" t="s">
        <v>1290</v>
      </c>
      <c r="B4" s="141"/>
      <c r="C4" s="1123">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1293</v>
      </c>
      <c r="B6" s="147" t="s">
        <v>1294</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1297</v>
      </c>
      <c r="B8" s="147" t="s">
        <v>1298</v>
      </c>
      <c r="C8" s="610">
        <f>C6*C7</f>
        <v>0</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1304</v>
      </c>
      <c r="C11" s="163">
        <f>IF(C1="仅计算典型户型",'数据-取费表'!F18,'数据-取费表'!E18)</f>
        <v>0</v>
      </c>
      <c r="D11" s="164"/>
      <c r="E11" s="34"/>
      <c r="F11" s="165">
        <f>1-'数据-取费表'!E20</f>
        <v>0.22999999999999998</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1305</v>
      </c>
      <c r="C12" s="13">
        <f>ROUND(C11*F12,0)</f>
        <v>0</v>
      </c>
      <c r="D12" s="164"/>
      <c r="E12" s="34"/>
      <c r="F12" s="167">
        <f>'数据-取费表'!E21</f>
        <v>0.05</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1307</v>
      </c>
      <c r="C13" s="13">
        <f>ROUND(IF('数据-取费表'!B10="住宅",C11*F13,0),0)</f>
        <v>0</v>
      </c>
      <c r="D13" s="164"/>
      <c r="E13" s="34"/>
      <c r="F13" s="167">
        <f>'数据-取费表'!E22</f>
        <v>0</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1309</v>
      </c>
      <c r="C14" s="13">
        <f>ROUND(D14*E14*F11,0)</f>
        <v>0</v>
      </c>
      <c r="D14" s="164">
        <f>IF(C1="仅计算典型户型",'数据-取费表'!E5,'数据-取费表'!B5)</f>
        <v>0</v>
      </c>
      <c r="E14" s="13">
        <f>'数据-取费表'!E23</f>
        <v>200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1318</v>
      </c>
      <c r="B18" s="162" t="s">
        <v>1319</v>
      </c>
      <c r="C18" s="13">
        <f>C19+C20-'数据-取费表'!E13</f>
        <v>-217696</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1321</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1322</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1293</v>
      </c>
      <c r="B21" s="177" t="s">
        <v>1323</v>
      </c>
      <c r="C21" s="178">
        <f>C16+C17+C18</f>
        <v>-217696</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1295</v>
      </c>
      <c r="B22" s="177" t="s">
        <v>1325</v>
      </c>
      <c r="C22" s="178">
        <f>ROUND(C21*F22,0)</f>
        <v>-6531</v>
      </c>
      <c r="D22" s="180"/>
      <c r="E22" s="180"/>
      <c r="F22" s="181">
        <f>'数据-取费表'!E25</f>
        <v>0.03</v>
      </c>
      <c r="G22" s="156" t="s">
        <v>1326</v>
      </c>
      <c r="H22" s="159"/>
      <c r="I22" s="159"/>
      <c r="J22" s="159"/>
      <c r="K22" s="160"/>
      <c r="L22" s="182"/>
      <c r="M22" s="182"/>
      <c r="N22" s="182"/>
    </row>
    <row r="23" spans="1:33" s="166" customFormat="1" ht="13.5" customHeight="1">
      <c r="A23" s="995" t="s">
        <v>1297</v>
      </c>
      <c r="B23" s="177" t="s">
        <v>1327</v>
      </c>
      <c r="C23" s="178">
        <f>ROUND(C4*F23*F11,0)</f>
        <v>0</v>
      </c>
      <c r="D23" s="180"/>
      <c r="E23" s="180"/>
      <c r="F23" s="181">
        <f>'数据-取费表'!E26</f>
        <v>0.03</v>
      </c>
      <c r="G23" s="156" t="s">
        <v>1328</v>
      </c>
      <c r="H23" s="159"/>
      <c r="I23" s="159"/>
      <c r="J23" s="159"/>
      <c r="K23" s="160"/>
    </row>
    <row r="24" spans="1:33" s="166" customFormat="1" ht="13.5" customHeight="1">
      <c r="A24" s="995" t="s">
        <v>1329</v>
      </c>
      <c r="B24" s="177" t="s">
        <v>1330</v>
      </c>
      <c r="C24" s="183">
        <f>ROUND(F24/(1+'数据-取费表'!F30),4)</f>
        <v>3.0499999999999999E-2</v>
      </c>
      <c r="D24" s="184" t="s">
        <v>12</v>
      </c>
      <c r="E24" s="184"/>
      <c r="F24" s="181">
        <f>'数据-取费表'!E36+'数据-取费表'!E37</f>
        <v>3.0499999999999999E-2</v>
      </c>
      <c r="G24" s="156" t="s">
        <v>1331</v>
      </c>
      <c r="H24" s="186"/>
      <c r="I24" s="186"/>
      <c r="J24" s="186"/>
      <c r="K24" s="187"/>
    </row>
    <row r="25" spans="1:33" s="182" customFormat="1" ht="13.5" customHeight="1">
      <c r="A25" s="995" t="s">
        <v>1332</v>
      </c>
      <c r="B25" s="179" t="s">
        <v>1333</v>
      </c>
      <c r="C25" s="188">
        <f ca="1">C27</f>
        <v>0</v>
      </c>
      <c r="D25" s="183">
        <f ca="1">C26</f>
        <v>0</v>
      </c>
      <c r="E25" s="189" t="s">
        <v>12</v>
      </c>
      <c r="F25" s="190">
        <f ca="1">'数据-取费表'!E27</f>
        <v>4.7500000000000001E-2</v>
      </c>
      <c r="G25" s="147" t="s">
        <v>1334</v>
      </c>
      <c r="H25" s="186"/>
      <c r="I25" s="186"/>
      <c r="J25" s="186"/>
      <c r="K25" s="187"/>
    </row>
    <row r="26" spans="1:33" s="196" customFormat="1" ht="13.5" customHeight="1">
      <c r="A26" s="996"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5" t="s">
        <v>1339</v>
      </c>
      <c r="B28" s="198" t="s">
        <v>1340</v>
      </c>
      <c r="C28" s="199">
        <f>C30</f>
        <v>-44845</v>
      </c>
      <c r="D28" s="183">
        <f>C29</f>
        <v>0.20610000000000001</v>
      </c>
      <c r="E28" s="189" t="s">
        <v>12</v>
      </c>
      <c r="F28" s="200">
        <f>'数据-取费表'!E28</f>
        <v>0.2</v>
      </c>
      <c r="G28" s="185"/>
      <c r="H28" s="186"/>
      <c r="I28" s="186"/>
      <c r="J28" s="186"/>
      <c r="K28" s="187"/>
    </row>
    <row r="29" spans="1:33" s="204" customFormat="1" ht="13.5" customHeight="1">
      <c r="A29" s="996" t="s">
        <v>1341</v>
      </c>
      <c r="B29" s="202" t="s">
        <v>1342</v>
      </c>
      <c r="C29" s="193">
        <f>ROUND((1+C24)*F28,4)</f>
        <v>0.20610000000000001</v>
      </c>
      <c r="D29" s="193"/>
      <c r="E29" s="194"/>
      <c r="F29" s="203"/>
      <c r="G29" s="147" t="s">
        <v>1343</v>
      </c>
      <c r="H29" s="170"/>
      <c r="I29" s="170"/>
      <c r="J29" s="170"/>
      <c r="K29" s="171"/>
    </row>
    <row r="30" spans="1:33" s="204" customFormat="1" ht="13.5" customHeight="1">
      <c r="A30" s="996" t="s">
        <v>1344</v>
      </c>
      <c r="B30" s="202" t="s">
        <v>1345</v>
      </c>
      <c r="C30" s="205">
        <f>ROUND((C21+C22+C23)*F28,0)</f>
        <v>-44845</v>
      </c>
      <c r="D30" s="193"/>
      <c r="E30" s="206"/>
      <c r="F30" s="203"/>
      <c r="G30" s="147"/>
      <c r="H30" s="170"/>
      <c r="I30" s="170"/>
      <c r="J30" s="170"/>
      <c r="K30" s="171"/>
    </row>
    <row r="31" spans="1:33" s="182" customFormat="1" ht="13.5" customHeight="1" thickBot="1">
      <c r="A31" s="1403" t="s">
        <v>1346</v>
      </c>
      <c r="B31" s="177" t="s">
        <v>1347</v>
      </c>
      <c r="C31" s="207">
        <f>ROUND(C4*F31/(1+'数据-取费表'!F30),0)</f>
        <v>0</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217590</v>
      </c>
      <c r="D32" s="214"/>
      <c r="E32" s="214"/>
      <c r="F32" s="214"/>
      <c r="G32" s="216" t="s">
        <v>1350</v>
      </c>
      <c r="H32" s="214"/>
      <c r="I32" s="214"/>
      <c r="J32" s="214"/>
      <c r="K32" s="217"/>
    </row>
    <row r="34" ht="12.75" customHeight="1"/>
  </sheetData>
  <sheetProtection password="C66D" sheet="1" objects="1" scenarios="1" formatCells="0" formatColumns="0" formatRows="0"/>
  <phoneticPr fontId="16" type="noConversion"/>
  <dataValidations count="1">
    <dataValidation type="list" allowBlank="1" showInputMessage="1" showErrorMessage="1" sqref="C1" xr:uid="{00000000-0002-0000-0F00-000000000000}">
      <formula1>"估价对象,仅计算典型户型"</formula1>
    </dataValidation>
  </dataValidations>
  <pageMargins left="0.7" right="0.7" top="0.75" bottom="0.75" header="0.3" footer="0.3"/>
  <pageSetup paperSize="9" scale="58" fitToHeight="0"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92D050"/>
    <pageSetUpPr fitToPage="1"/>
  </sheetPr>
  <dimension ref="A1:AK75"/>
  <sheetViews>
    <sheetView view="pageBreakPreview" topLeftCell="B1" zoomScale="90" zoomScaleNormal="60" zoomScaleSheetLayoutView="90" workbookViewId="0">
      <selection activeCell="B35" sqref="B35"/>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625" style="225" customWidth="1"/>
    <col min="6" max="6" width="10.625" style="225" customWidth="1"/>
    <col min="7" max="7" width="4.875" style="225" customWidth="1"/>
    <col min="8" max="8" width="8.5" style="225" customWidth="1"/>
    <col min="9" max="9" width="21.125" style="225" customWidth="1"/>
    <col min="10" max="10" width="12.125" style="225" customWidth="1"/>
    <col min="11" max="11" width="40.125" style="277" customWidth="1"/>
    <col min="12" max="12" width="18.375" style="225" customWidth="1"/>
    <col min="13" max="13" width="13" style="225" customWidth="1"/>
    <col min="14" max="14" width="13.125" style="652" customWidth="1"/>
    <col min="15" max="15" width="5.125" style="652" customWidth="1"/>
    <col min="16" max="16" width="24.875" style="652" customWidth="1"/>
    <col min="17" max="17" width="13.625" style="656" customWidth="1"/>
    <col min="18" max="18" width="26.125" style="652" customWidth="1"/>
    <col min="19" max="19" width="1.5" style="652" customWidth="1"/>
    <col min="20" max="37" width="9" style="652"/>
    <col min="38" max="16384" width="9" style="225"/>
  </cols>
  <sheetData>
    <row r="1" spans="1:37" s="223" customFormat="1" ht="21">
      <c r="A1" s="221" t="s">
        <v>2002</v>
      </c>
      <c r="B1" s="222"/>
      <c r="C1" s="611"/>
      <c r="D1" s="1624" t="s">
        <v>2741</v>
      </c>
      <c r="E1" s="1625" t="s">
        <v>1240</v>
      </c>
      <c r="F1" s="1626"/>
      <c r="G1" s="1627" t="e">
        <f>MATCH(C1,'数据-取费表'!A19:A19,0)+5</f>
        <v>#N/A</v>
      </c>
      <c r="H1" s="2985"/>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1912</v>
      </c>
      <c r="B2" s="642">
        <f ca="1">IF(C2="元",IF('数据-取费表'!B29="租赁期内按合同租金",C40+L47+J29,C40+L47),ROUND(IF('数据-取费表'!B29="租赁期内按合同租金",(C40+L47+J29)/10000,(C40+L47)/10000),0))</f>
        <v>-2292766</v>
      </c>
      <c r="C2" s="1519" t="str">
        <f>'数据-取费表'!B3</f>
        <v>元</v>
      </c>
      <c r="D2" s="927"/>
      <c r="E2" s="928"/>
      <c r="F2" s="928"/>
      <c r="G2" s="953"/>
      <c r="H2" s="929"/>
      <c r="I2" s="929"/>
      <c r="J2" s="929"/>
      <c r="K2" s="930"/>
      <c r="L2" s="929"/>
      <c r="M2" s="929"/>
    </row>
    <row r="3" spans="1:37" ht="18" customHeight="1" thickBot="1">
      <c r="A3" s="226" t="s">
        <v>1913</v>
      </c>
      <c r="B3" s="643">
        <f ca="1">ROUND(IF('数据-取费表'!B29="租赁期内按合同租金",(C40+L47+J29)/F43,(C40+L47)/F43),0)</f>
        <v>-2106</v>
      </c>
      <c r="C3" s="1519" t="s">
        <v>2003</v>
      </c>
      <c r="D3" s="927"/>
      <c r="E3" s="928"/>
      <c r="F3" s="928"/>
      <c r="G3" s="953"/>
      <c r="H3" s="227" t="s">
        <v>2004</v>
      </c>
      <c r="I3" s="929"/>
      <c r="J3" s="929"/>
      <c r="K3" s="930"/>
      <c r="L3" s="929"/>
      <c r="M3" s="929"/>
    </row>
    <row r="4" spans="1:37" ht="18" customHeight="1">
      <c r="A4" s="228" t="s">
        <v>2005</v>
      </c>
      <c r="B4" s="229" t="s">
        <v>2006</v>
      </c>
      <c r="C4" s="229" t="s">
        <v>2007</v>
      </c>
      <c r="D4" s="229" t="s">
        <v>2008</v>
      </c>
      <c r="E4" s="230" t="s">
        <v>2009</v>
      </c>
      <c r="F4" s="231"/>
      <c r="G4" s="951"/>
      <c r="H4" s="228" t="s">
        <v>2005</v>
      </c>
      <c r="I4" s="229" t="s">
        <v>2006</v>
      </c>
      <c r="J4" s="229" t="s">
        <v>2007</v>
      </c>
      <c r="K4" s="229" t="s">
        <v>2008</v>
      </c>
      <c r="L4" s="230" t="s">
        <v>2009</v>
      </c>
      <c r="M4" s="231"/>
    </row>
    <row r="5" spans="1:37" ht="18" customHeight="1">
      <c r="A5" s="232">
        <v>1</v>
      </c>
      <c r="B5" s="233" t="s">
        <v>2010</v>
      </c>
      <c r="C5" s="234">
        <f ca="1">C6+C10+C12</f>
        <v>0</v>
      </c>
      <c r="D5" s="1632" t="s">
        <v>2719</v>
      </c>
      <c r="E5" s="927"/>
      <c r="F5" s="1056"/>
      <c r="G5" s="951"/>
      <c r="H5" s="232">
        <v>1</v>
      </c>
      <c r="I5" s="233" t="s">
        <v>2010</v>
      </c>
      <c r="J5" s="234">
        <f ca="1">J6+J10+J12</f>
        <v>0</v>
      </c>
      <c r="K5" s="1520" t="s">
        <v>2011</v>
      </c>
      <c r="L5" s="927"/>
      <c r="M5" s="1056"/>
    </row>
    <row r="6" spans="1:37" ht="18" customHeight="1">
      <c r="A6" s="1057" t="s">
        <v>2012</v>
      </c>
      <c r="B6" s="1442" t="s">
        <v>2013</v>
      </c>
      <c r="C6" s="234">
        <f>ROUND(F6*F8*F7*(1-F9),0)</f>
        <v>0</v>
      </c>
      <c r="D6" s="36" t="s">
        <v>2697</v>
      </c>
      <c r="E6" s="235" t="s">
        <v>2014</v>
      </c>
      <c r="F6" s="236">
        <f>'数据-取费表'!B30</f>
        <v>0</v>
      </c>
      <c r="G6" s="951"/>
      <c r="H6" s="1057" t="s">
        <v>2012</v>
      </c>
      <c r="I6" s="1442" t="s">
        <v>2013</v>
      </c>
      <c r="J6" s="234">
        <f>ROUND(M6*M8*M7*(1-M9),0)</f>
        <v>0</v>
      </c>
      <c r="K6" s="36" t="s">
        <v>2697</v>
      </c>
      <c r="L6" s="235" t="s">
        <v>2014</v>
      </c>
      <c r="M6" s="236">
        <f>'数据-取费表'!B37</f>
        <v>0</v>
      </c>
    </row>
    <row r="7" spans="1:37" ht="18" customHeight="1">
      <c r="A7" s="1119"/>
      <c r="B7" s="238"/>
      <c r="C7" s="239"/>
      <c r="D7" s="240"/>
      <c r="E7" s="235" t="s">
        <v>2015</v>
      </c>
      <c r="F7" s="236">
        <f>IF('数据-取费表'!B42="",IF(D1="仅计算典型户型",'数据-取费表'!E5,'数据-取费表'!B5),'数据-取费表'!B42)</f>
        <v>1</v>
      </c>
      <c r="G7" s="951"/>
      <c r="H7" s="237"/>
      <c r="I7" s="238"/>
      <c r="J7" s="239"/>
      <c r="K7" s="240"/>
      <c r="L7" s="235" t="s">
        <v>2015</v>
      </c>
      <c r="M7" s="236">
        <f>IF('数据-取费表'!B42="",IF(D1="仅计算典型户型",'数据-取费表'!E5,'数据-取费表'!B5),'数据-取费表'!B42)</f>
        <v>1</v>
      </c>
    </row>
    <row r="8" spans="1:37" ht="18" customHeight="1">
      <c r="A8" s="1119"/>
      <c r="B8" s="238"/>
      <c r="C8" s="239"/>
      <c r="D8" s="240"/>
      <c r="E8" s="235" t="s">
        <v>2016</v>
      </c>
      <c r="F8" s="236">
        <f>'数据-取费表'!B43</f>
        <v>365</v>
      </c>
      <c r="G8" s="951"/>
      <c r="H8" s="237"/>
      <c r="I8" s="238"/>
      <c r="J8" s="239"/>
      <c r="K8" s="240"/>
      <c r="L8" s="235" t="s">
        <v>2017</v>
      </c>
      <c r="M8" s="236">
        <f>'数据-取费表'!B43</f>
        <v>365</v>
      </c>
    </row>
    <row r="9" spans="1:37" ht="18" customHeight="1">
      <c r="A9" s="1119"/>
      <c r="B9" s="238"/>
      <c r="C9" s="239"/>
      <c r="D9" s="244"/>
      <c r="E9" s="235" t="s">
        <v>2018</v>
      </c>
      <c r="F9" s="245">
        <f>'数据-取费表'!B33</f>
        <v>0.1</v>
      </c>
      <c r="G9" s="951"/>
      <c r="H9" s="237"/>
      <c r="I9" s="238"/>
      <c r="J9" s="1059"/>
      <c r="K9" s="43"/>
      <c r="L9" s="246" t="s">
        <v>2018</v>
      </c>
      <c r="M9" s="245">
        <f>'数据-取费表'!B39</f>
        <v>0</v>
      </c>
    </row>
    <row r="10" spans="1:37" ht="18" customHeight="1">
      <c r="A10" s="1057" t="s">
        <v>2019</v>
      </c>
      <c r="B10" s="1521" t="s">
        <v>2020</v>
      </c>
      <c r="C10" s="1058">
        <f ca="1">ROUND(IF(F10="押一",C6/12*F11,IF(F10="押二",C6/12*2*F11,IF(F10="押三",C6/12*3*F11,C11*F11))),0)</f>
        <v>0</v>
      </c>
      <c r="D10" s="1522" t="s">
        <v>2703</v>
      </c>
      <c r="E10" s="246" t="s">
        <v>2021</v>
      </c>
      <c r="F10" s="1523" t="s">
        <v>2022</v>
      </c>
      <c r="G10" s="951"/>
      <c r="H10" s="1057" t="s">
        <v>2019</v>
      </c>
      <c r="I10" s="1521" t="s">
        <v>2020</v>
      </c>
      <c r="J10" s="1058">
        <f ca="1">ROUND(IF(M10="押一",J6/12*M11,IF(M10="押二",J6/12*2*M11,IF(M10="押三",J6/12*3*M11,J11*M11))),0)</f>
        <v>0</v>
      </c>
      <c r="K10" s="36" t="s">
        <v>2703</v>
      </c>
      <c r="L10" s="246" t="s">
        <v>2021</v>
      </c>
      <c r="M10" s="1523"/>
    </row>
    <row r="11" spans="1:37" s="257" customFormat="1" ht="18" customHeight="1">
      <c r="A11" s="263"/>
      <c r="B11" s="1524" t="s">
        <v>2023</v>
      </c>
      <c r="C11" s="1091"/>
      <c r="D11" s="240"/>
      <c r="E11" s="246" t="s">
        <v>2024</v>
      </c>
      <c r="F11" s="247">
        <f ca="1">'数据-取费表'!B31</f>
        <v>1.4999999999999999E-2</v>
      </c>
      <c r="G11" s="952"/>
      <c r="H11" s="241"/>
      <c r="I11" s="1524" t="s">
        <v>2025</v>
      </c>
      <c r="J11" s="1091"/>
      <c r="K11" s="240"/>
      <c r="L11" s="246" t="s">
        <v>2024</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2026</v>
      </c>
      <c r="B12" s="1525" t="s">
        <v>2027</v>
      </c>
      <c r="C12" s="1097"/>
      <c r="D12" s="1526"/>
      <c r="E12" s="1103"/>
      <c r="F12" s="1098"/>
      <c r="G12" s="951"/>
      <c r="H12" s="1096" t="s">
        <v>2026</v>
      </c>
      <c r="I12" s="1525" t="s">
        <v>2027</v>
      </c>
      <c r="J12" s="1097"/>
      <c r="K12" s="1113"/>
      <c r="L12" s="1103"/>
      <c r="M12" s="1114"/>
    </row>
    <row r="13" spans="1:37" s="257" customFormat="1" ht="18" customHeight="1" thickTop="1">
      <c r="A13" s="1092">
        <v>2</v>
      </c>
      <c r="B13" s="1093" t="s">
        <v>2028</v>
      </c>
      <c r="C13" s="243">
        <f ca="1">ROUND(C29*F13,0)</f>
        <v>5297953</v>
      </c>
      <c r="D13" s="1094" t="s">
        <v>2029</v>
      </c>
      <c r="E13" s="1094" t="s">
        <v>2030</v>
      </c>
      <c r="F13" s="1095">
        <f>'数据-取费表'!E20</f>
        <v>0.77</v>
      </c>
      <c r="G13" s="952"/>
      <c r="H13" s="1092">
        <v>2</v>
      </c>
      <c r="I13" s="1093" t="s">
        <v>2028</v>
      </c>
      <c r="J13" s="1059">
        <f ca="1">ROUND(J14*J15,0)</f>
        <v>0</v>
      </c>
      <c r="K13" s="1099" t="s">
        <v>2029</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2031</v>
      </c>
      <c r="B14" s="235" t="s">
        <v>2032</v>
      </c>
      <c r="C14" s="254">
        <f>IF(D1="仅计算典型户型",'数据-取费表'!F18,'数据-取费表'!E18)</f>
        <v>4353920</v>
      </c>
      <c r="D14" s="1328" t="s">
        <v>2033</v>
      </c>
      <c r="E14" s="1329"/>
      <c r="F14" s="799"/>
      <c r="G14" s="952"/>
      <c r="H14" s="253" t="s">
        <v>2012</v>
      </c>
      <c r="I14" s="235" t="s">
        <v>2034</v>
      </c>
      <c r="J14" s="13">
        <f ca="1">C29</f>
        <v>6880459</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2035</v>
      </c>
      <c r="B15" s="235" t="s">
        <v>2036</v>
      </c>
      <c r="C15" s="13">
        <f>ROUND(C14*F15,0)</f>
        <v>217696</v>
      </c>
      <c r="D15" s="255" t="s">
        <v>2037</v>
      </c>
      <c r="E15" s="255" t="s">
        <v>2038</v>
      </c>
      <c r="F15" s="256">
        <f>'数据-取费表'!E21</f>
        <v>0.05</v>
      </c>
      <c r="G15" s="951"/>
      <c r="H15" s="1102" t="s">
        <v>2039</v>
      </c>
      <c r="I15" s="1103" t="s">
        <v>2040</v>
      </c>
      <c r="J15" s="1115">
        <f>'数据-取费表'!B40</f>
        <v>0</v>
      </c>
      <c r="K15" s="1116"/>
      <c r="L15" s="1117"/>
      <c r="M15" s="1118"/>
    </row>
    <row r="16" spans="1:37" s="257" customFormat="1" ht="18" customHeight="1" thickTop="1">
      <c r="A16" s="253" t="s">
        <v>2041</v>
      </c>
      <c r="B16" s="235" t="s">
        <v>2042</v>
      </c>
      <c r="C16" s="13">
        <f>ROUND(C14*F16,0)</f>
        <v>0</v>
      </c>
      <c r="D16" s="235" t="s">
        <v>2037</v>
      </c>
      <c r="E16" s="235" t="s">
        <v>2038</v>
      </c>
      <c r="F16" s="258">
        <f>IF('数据-取费表'!B10="住宅",'数据-取费表'!E22,0)</f>
        <v>0</v>
      </c>
      <c r="G16" s="952"/>
      <c r="H16" s="1092" t="s">
        <v>14</v>
      </c>
      <c r="I16" s="1093" t="s">
        <v>2043</v>
      </c>
      <c r="J16" s="243">
        <f ca="1">ROUND(J17+J22+J23+J24,0)</f>
        <v>195405</v>
      </c>
      <c r="K16" s="1099" t="s">
        <v>2044</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2045</v>
      </c>
      <c r="B17" s="235" t="s">
        <v>2046</v>
      </c>
      <c r="C17" s="13">
        <f>ROUND(F17*IF(D1="仅计算典型户型",'数据-取费表'!E5,'数据-取费表'!B5),0)</f>
        <v>217696</v>
      </c>
      <c r="D17" s="235" t="s">
        <v>2047</v>
      </c>
      <c r="E17" s="235" t="s">
        <v>2048</v>
      </c>
      <c r="F17" s="15">
        <f>'数据-取费表'!E23</f>
        <v>200</v>
      </c>
      <c r="G17" s="952"/>
      <c r="H17" s="253" t="s">
        <v>2049</v>
      </c>
      <c r="I17" s="235" t="s">
        <v>2050</v>
      </c>
      <c r="J17" s="2825">
        <f ca="1">ROUND(IF(AND(项目基本情况!B7="自然人",项目基本情况!B6="北京市"),J6*M17/(1+'数据-取费表'!F30),J18+J19+J20),0)</f>
        <v>57796</v>
      </c>
      <c r="K17" s="1328" t="s">
        <v>2051</v>
      </c>
      <c r="L17" s="1331" t="s">
        <v>2052</v>
      </c>
      <c r="M17" s="2824" t="str">
        <f>IF(项目基本情况!B7="企业","——",IF('数据-取费表'!B10="住宅",IF(M6*M7*M8/12/(1+'数据-取费表'!F30)&gt;100000,4%,2.5%),IF(M6*M7*M8/12/(1+'数据-取费表'!F30)&gt;100000,12%,7%)))</f>
        <v>——</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2053</v>
      </c>
      <c r="B18" s="235" t="s">
        <v>2054</v>
      </c>
      <c r="C18" s="13">
        <f>ROUND(C14*F18,0)</f>
        <v>65309</v>
      </c>
      <c r="D18" s="235" t="s">
        <v>2037</v>
      </c>
      <c r="E18" s="235" t="s">
        <v>2038</v>
      </c>
      <c r="F18" s="258">
        <f>'数据-取费表'!E24</f>
        <v>1.4999999999999999E-2</v>
      </c>
      <c r="G18" s="951"/>
      <c r="H18" s="253" t="s">
        <v>2055</v>
      </c>
      <c r="I18" s="235" t="s">
        <v>2056</v>
      </c>
      <c r="J18" s="13">
        <f>IF(项目基本情况!B7="自然人","——",ROUND(J6*M18/(1+'数据-取费表'!F30),0))</f>
        <v>0</v>
      </c>
      <c r="K18" s="1331" t="s">
        <v>2721</v>
      </c>
      <c r="L18" s="235" t="s">
        <v>2038</v>
      </c>
      <c r="M18" s="258">
        <f>'数据-取费表'!E29</f>
        <v>5.6000000000000001E-2</v>
      </c>
    </row>
    <row r="19" spans="1:37" s="257" customFormat="1" ht="18" customHeight="1">
      <c r="A19" s="253" t="s">
        <v>2049</v>
      </c>
      <c r="B19" s="235" t="s">
        <v>2057</v>
      </c>
      <c r="C19" s="13">
        <f>SUM(C14:C18)</f>
        <v>4854621</v>
      </c>
      <c r="D19" s="33" t="s">
        <v>2058</v>
      </c>
      <c r="E19" s="1333"/>
      <c r="F19" s="15"/>
      <c r="G19" s="952"/>
      <c r="H19" s="253" t="s">
        <v>2035</v>
      </c>
      <c r="I19" s="235" t="s">
        <v>2059</v>
      </c>
      <c r="J19" s="13">
        <f ca="1">IF(项目基本情况!B7="自然人","——",IF(K19="按租金收入计税",ROUND(J6*M19/(1+'数据-取费表'!F30),0),ROUND(C29*M19*0.7,0)))</f>
        <v>57796</v>
      </c>
      <c r="K19" s="1436"/>
      <c r="L19" s="235" t="s">
        <v>2038</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2019</v>
      </c>
      <c r="B20" s="235" t="s">
        <v>2061</v>
      </c>
      <c r="C20" s="13">
        <f>ROUND(C19*F20,0)</f>
        <v>145639</v>
      </c>
      <c r="D20" s="259" t="s">
        <v>2062</v>
      </c>
      <c r="E20" s="235" t="s">
        <v>2063</v>
      </c>
      <c r="F20" s="258">
        <f>'数据-取费表'!E25</f>
        <v>0.03</v>
      </c>
      <c r="G20" s="952"/>
      <c r="H20" s="253" t="s">
        <v>2041</v>
      </c>
      <c r="I20" s="36" t="s">
        <v>2064</v>
      </c>
      <c r="J20" s="14">
        <f>IF(项目基本情况!B7="自然人","——",ROUND(M20*M21,0))</f>
        <v>0</v>
      </c>
      <c r="K20" s="261" t="s">
        <v>2065</v>
      </c>
      <c r="L20" s="235" t="s">
        <v>2066</v>
      </c>
      <c r="M20" s="262">
        <f>'数据-取费表'!E40</f>
        <v>3</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2067</v>
      </c>
      <c r="B21" s="235" t="s">
        <v>2068</v>
      </c>
      <c r="C21" s="597">
        <f>F21</f>
        <v>0.03</v>
      </c>
      <c r="D21" s="259" t="s">
        <v>2069</v>
      </c>
      <c r="E21" s="235" t="s">
        <v>2070</v>
      </c>
      <c r="F21" s="258">
        <f>'数据-取费表'!E26</f>
        <v>0.03</v>
      </c>
      <c r="G21" s="951"/>
      <c r="H21" s="263"/>
      <c r="I21" s="244"/>
      <c r="J21" s="17"/>
      <c r="K21" s="264"/>
      <c r="L21" s="235" t="s">
        <v>2071</v>
      </c>
      <c r="M21" s="236">
        <f>IF(D1="仅计算典型户型",'数据-取费表'!E6,'数据-取费表'!B6)</f>
        <v>0</v>
      </c>
    </row>
    <row r="22" spans="1:37" ht="18" customHeight="1">
      <c r="A22" s="253" t="s">
        <v>2072</v>
      </c>
      <c r="B22" s="235" t="s">
        <v>2073</v>
      </c>
      <c r="C22" s="13"/>
      <c r="D22" s="33" t="str">
        <f>IF(F23&lt;=1,"单利计息。","复利计息。")&amp;"建造成本、管理费用、销售费用产生的利息。"</f>
        <v>复利计息。建造成本、管理费用、销售费用产生的利息。</v>
      </c>
      <c r="E22" s="1333"/>
      <c r="F22" s="15"/>
      <c r="G22" s="951"/>
      <c r="H22" s="253" t="s">
        <v>2039</v>
      </c>
      <c r="I22" s="235" t="s">
        <v>2074</v>
      </c>
      <c r="J22" s="13">
        <f ca="1">ROUND(J14*M22,0)</f>
        <v>137609</v>
      </c>
      <c r="K22" s="1331" t="s">
        <v>2075</v>
      </c>
      <c r="L22" s="235" t="s">
        <v>2038</v>
      </c>
      <c r="M22" s="265">
        <f>'数据-取费表'!B45</f>
        <v>0.02</v>
      </c>
    </row>
    <row r="23" spans="1:37" ht="18" customHeight="1">
      <c r="A23" s="253" t="s">
        <v>2055</v>
      </c>
      <c r="B23" s="235" t="s">
        <v>2076</v>
      </c>
      <c r="C23" s="13">
        <f ca="1">IF('数据-取费表'!B24&lt;=1,ROUND(C19*F24*F23/2,0)+ROUND(C20*F24*F23/2,0),ROUND(C19*(POWER((1+F24),F23/2)-1),0)+ROUND(C20*(POWER((1+F24),F23/2)-1),0))</f>
        <v>237512</v>
      </c>
      <c r="D23" s="1432" t="str">
        <f>IF(F23&lt;=1,"(建造成本+管理费用)×利率×(建设周期÷2)","(建造成本+管理费用)×((1+利率)^(建设周期÷2)-1)")</f>
        <v>(建造成本+管理费用)×((1+利率)^(建设周期÷2)-1)</v>
      </c>
      <c r="E23" s="235" t="s">
        <v>2077</v>
      </c>
      <c r="F23" s="262">
        <f>'数据-取费表'!B22</f>
        <v>2</v>
      </c>
      <c r="G23" s="951"/>
      <c r="H23" s="253" t="s">
        <v>2067</v>
      </c>
      <c r="I23" s="235" t="s">
        <v>2078</v>
      </c>
      <c r="J23" s="13">
        <f ca="1">ROUND(J13*M23,0)</f>
        <v>0</v>
      </c>
      <c r="K23" s="1331" t="s">
        <v>2079</v>
      </c>
      <c r="L23" s="235" t="s">
        <v>2080</v>
      </c>
      <c r="M23" s="266">
        <f>'数据-取费表'!B46</f>
        <v>2E-3</v>
      </c>
    </row>
    <row r="24" spans="1:37" s="257" customFormat="1" ht="18" customHeight="1" thickBot="1">
      <c r="A24" s="253" t="s">
        <v>2081</v>
      </c>
      <c r="B24" s="235" t="s">
        <v>2082</v>
      </c>
      <c r="C24" s="13">
        <f ca="1">ROUND(IF('数据-取费表'!B24&lt;=1,F21*F24*F23/2,F21*(POWER((1+F24),F23/2)-1)),4)</f>
        <v>1.4E-3</v>
      </c>
      <c r="D24" s="1432" t="str">
        <f>IF(F23&lt;=1,"销售费用×利率×(建设周期÷2)","销售费用×((1+利率)^(建设周期÷2)-1)")</f>
        <v>销售费用×((1+利率)^(建设周期÷2)-1)</v>
      </c>
      <c r="E24" s="235" t="s">
        <v>2083</v>
      </c>
      <c r="F24" s="267">
        <f ca="1">'数据-取费表'!E27</f>
        <v>4.7500000000000001E-2</v>
      </c>
      <c r="G24" s="952"/>
      <c r="H24" s="1102" t="s">
        <v>2072</v>
      </c>
      <c r="I24" s="1103" t="s">
        <v>2061</v>
      </c>
      <c r="J24" s="1104">
        <f ca="1">ROUND(J5*M24,0)</f>
        <v>0</v>
      </c>
      <c r="K24" s="1105" t="s">
        <v>2084</v>
      </c>
      <c r="L24" s="1103" t="s">
        <v>2080</v>
      </c>
      <c r="M24" s="1098">
        <f>'数据-取费表'!B47</f>
        <v>0.02</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2085</v>
      </c>
      <c r="B25" s="235" t="s">
        <v>2086</v>
      </c>
      <c r="C25" s="13"/>
      <c r="D25" s="33" t="s">
        <v>2087</v>
      </c>
      <c r="E25" s="1333"/>
      <c r="F25" s="15"/>
      <c r="G25" s="952"/>
      <c r="H25" s="1092" t="s">
        <v>22</v>
      </c>
      <c r="I25" s="1107" t="s">
        <v>2088</v>
      </c>
      <c r="J25" s="243">
        <f ca="1">J5-J16</f>
        <v>-195405</v>
      </c>
      <c r="K25" s="1108" t="s">
        <v>2089</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2031</v>
      </c>
      <c r="B26" s="235" t="s">
        <v>2090</v>
      </c>
      <c r="C26" s="13">
        <f>ROUND((C19+C20)*F26,0)</f>
        <v>1000052</v>
      </c>
      <c r="D26" s="259" t="s">
        <v>2091</v>
      </c>
      <c r="E26" s="246" t="s">
        <v>2092</v>
      </c>
      <c r="F26" s="245">
        <f>'数据-取费表'!E28</f>
        <v>0.2</v>
      </c>
      <c r="G26" s="652"/>
      <c r="H26" s="232" t="s">
        <v>23</v>
      </c>
      <c r="I26" s="233" t="s">
        <v>2093</v>
      </c>
      <c r="J26" s="234">
        <f ca="1">IF(J5&lt;&gt;0,ROUND(J25*(1-((1+M28)/(1+M26))^M27)/(M26-M28),0),0)</f>
        <v>0</v>
      </c>
      <c r="K26" s="261" t="s">
        <v>2094</v>
      </c>
      <c r="L26" s="235" t="s">
        <v>2095</v>
      </c>
      <c r="M26" s="245">
        <f>'数据-取费表'!B16</f>
        <v>0.05</v>
      </c>
    </row>
    <row r="27" spans="1:37" ht="18" customHeight="1">
      <c r="A27" s="253" t="s">
        <v>2096</v>
      </c>
      <c r="B27" s="235" t="s">
        <v>2097</v>
      </c>
      <c r="C27" s="13">
        <f>ROUND(F21*F26,4)</f>
        <v>6.0000000000000001E-3</v>
      </c>
      <c r="D27" s="259" t="s">
        <v>2098</v>
      </c>
      <c r="E27" s="255"/>
      <c r="F27" s="256"/>
      <c r="G27" s="652"/>
      <c r="H27" s="237"/>
      <c r="I27" s="238"/>
      <c r="J27" s="239"/>
      <c r="K27" s="269" t="s">
        <v>2099</v>
      </c>
      <c r="L27" s="235" t="s">
        <v>2100</v>
      </c>
      <c r="M27" s="270" t="str">
        <f>'数据-取费表'!B41</f>
        <v>——</v>
      </c>
    </row>
    <row r="28" spans="1:37" ht="18" customHeight="1">
      <c r="A28" s="253" t="s">
        <v>2101</v>
      </c>
      <c r="B28" s="235" t="s">
        <v>2102</v>
      </c>
      <c r="C28" s="13">
        <f>ROUND(F28/(1+'数据-取费表'!F30),4)</f>
        <v>5.6000000000000001E-2</v>
      </c>
      <c r="D28" s="259" t="s">
        <v>2103</v>
      </c>
      <c r="E28" s="235" t="s">
        <v>2063</v>
      </c>
      <c r="F28" s="258">
        <f>'数据-取费表'!E29</f>
        <v>5.6000000000000001E-2</v>
      </c>
      <c r="G28" s="652"/>
      <c r="H28" s="241"/>
      <c r="I28" s="242"/>
      <c r="J28" s="243"/>
      <c r="K28" s="264"/>
      <c r="L28" s="235" t="s">
        <v>2104</v>
      </c>
      <c r="M28" s="245">
        <f>'数据-取费表'!B38</f>
        <v>0</v>
      </c>
    </row>
    <row r="29" spans="1:37" ht="18" customHeight="1" thickBot="1">
      <c r="A29" s="1102" t="s">
        <v>2105</v>
      </c>
      <c r="B29" s="1103" t="s">
        <v>2106</v>
      </c>
      <c r="C29" s="1104">
        <f ca="1">ROUND((C19+C20+C23+C26)/(1-F21-C24-C27-C28),0)</f>
        <v>6880459</v>
      </c>
      <c r="D29" s="1105"/>
      <c r="E29" s="1103"/>
      <c r="F29" s="1106"/>
      <c r="G29" s="652"/>
      <c r="H29" s="271" t="s">
        <v>24</v>
      </c>
      <c r="I29" s="272" t="s">
        <v>2107</v>
      </c>
      <c r="J29" s="273">
        <f ca="1">ROUND(J26/(1+F40)^F41,0)</f>
        <v>0</v>
      </c>
      <c r="K29" s="274" t="s">
        <v>2108</v>
      </c>
      <c r="L29" s="275"/>
      <c r="M29" s="276">
        <f>IF(D1="仅计算典型户型",'数据-取费表'!E5,'数据-取费表'!B5)</f>
        <v>1088.48</v>
      </c>
    </row>
    <row r="30" spans="1:37" ht="18" customHeight="1" thickTop="1">
      <c r="A30" s="1092" t="s">
        <v>14</v>
      </c>
      <c r="B30" s="1093" t="s">
        <v>2109</v>
      </c>
      <c r="C30" s="243">
        <f ca="1">ROUND(C31+C36+C37+C38,0)</f>
        <v>148205</v>
      </c>
      <c r="D30" s="1099" t="s">
        <v>2110</v>
      </c>
      <c r="E30" s="1100"/>
      <c r="F30" s="1101"/>
      <c r="G30" s="652"/>
      <c r="H30" s="931"/>
      <c r="I30" s="932"/>
      <c r="J30" s="933"/>
      <c r="K30" s="934"/>
      <c r="L30" s="935"/>
      <c r="M30" s="936"/>
    </row>
    <row r="31" spans="1:37" ht="18" customHeight="1">
      <c r="A31" s="253" t="s">
        <v>2012</v>
      </c>
      <c r="B31" s="235" t="s">
        <v>2050</v>
      </c>
      <c r="C31" s="2825">
        <f>ROUND(IF(AND(项目基本情况!B7="自然人",项目基本情况!B6="北京市"),C6*F31/(1+'数据-取费表'!F30),C32+C33+C34),0)</f>
        <v>0</v>
      </c>
      <c r="D31" s="1328" t="s">
        <v>2111</v>
      </c>
      <c r="E31" s="1331" t="s">
        <v>2112</v>
      </c>
      <c r="F31" s="2824" t="str">
        <f>IF(项目基本情况!B7="企业","——",IF('数据-取费表'!B10="住宅",IF(F6*F7*F8/12/(1+'数据-取费表'!F30)&gt;100000,4%,2.5%),IF(F6*F7*F8/12/(1+'数据-取费表'!F30)&gt;100000,12%,7%)))</f>
        <v>——</v>
      </c>
      <c r="G31" s="652"/>
      <c r="H31" s="931"/>
      <c r="I31" s="932"/>
      <c r="J31" s="933"/>
      <c r="K31" s="934"/>
      <c r="L31" s="935"/>
      <c r="M31" s="936"/>
    </row>
    <row r="32" spans="1:37" ht="18" customHeight="1">
      <c r="A32" s="253" t="s">
        <v>2031</v>
      </c>
      <c r="B32" s="235" t="s">
        <v>2113</v>
      </c>
      <c r="C32" s="13">
        <f>IF(项目基本情况!B7="自然人","——",ROUND(C6*F32/(1+'数据-取费表'!F30),0))</f>
        <v>0</v>
      </c>
      <c r="D32" s="1331" t="s">
        <v>2720</v>
      </c>
      <c r="E32" s="235" t="s">
        <v>2063</v>
      </c>
      <c r="F32" s="267">
        <f>'数据-取费表'!E29</f>
        <v>5.6000000000000001E-2</v>
      </c>
      <c r="G32" s="652"/>
      <c r="H32" s="937"/>
      <c r="I32" s="938"/>
      <c r="J32" s="939"/>
      <c r="K32" s="940"/>
      <c r="L32" s="941"/>
      <c r="M32" s="942"/>
    </row>
    <row r="33" spans="1:18" ht="18" customHeight="1">
      <c r="A33" s="253" t="s">
        <v>2035</v>
      </c>
      <c r="B33" s="235" t="s">
        <v>2059</v>
      </c>
      <c r="C33" s="13">
        <f>IF(项目基本情况!B7="自然人","——",IF(D33="按租金收入计税",ROUND(C6*F33/(1+'数据-取费表'!F30),0),IF(D33="按房产原值计税",ROUND(C29*F33*0.7,0),'数据-取费表'!B44)))</f>
        <v>0</v>
      </c>
      <c r="D33" s="1436" t="s">
        <v>2878</v>
      </c>
      <c r="E33" s="235" t="s">
        <v>2038</v>
      </c>
      <c r="F33" s="258">
        <f>IF(D33="按票据","——",IF(D33="按租金收入计税",'数据-取费表'!E39,'数据-取费表'!E38))</f>
        <v>0.12</v>
      </c>
      <c r="G33" s="652"/>
      <c r="H33" s="943"/>
      <c r="I33" s="278" t="s">
        <v>2115</v>
      </c>
      <c r="J33" s="279"/>
      <c r="K33" s="944"/>
      <c r="L33" s="943"/>
      <c r="M33" s="943"/>
    </row>
    <row r="34" spans="1:18" ht="18" customHeight="1">
      <c r="A34" s="1057" t="s">
        <v>2041</v>
      </c>
      <c r="B34" s="36" t="s">
        <v>2064</v>
      </c>
      <c r="C34" s="14">
        <f>IF(项目基本情况!B7="自然人","——",ROUND(F34*F35,0))</f>
        <v>0</v>
      </c>
      <c r="D34" s="261" t="s">
        <v>2065</v>
      </c>
      <c r="E34" s="235" t="s">
        <v>2066</v>
      </c>
      <c r="F34" s="262">
        <f>'数据-取费表'!E40</f>
        <v>3</v>
      </c>
      <c r="G34" s="652"/>
      <c r="H34" s="931"/>
      <c r="I34" s="280" t="s">
        <v>2116</v>
      </c>
      <c r="J34" s="281">
        <f ca="1">ROUND(C13*J35,0)</f>
        <v>317877</v>
      </c>
      <c r="K34" s="945"/>
      <c r="L34" s="946"/>
      <c r="M34" s="946"/>
    </row>
    <row r="35" spans="1:18" ht="24.6" customHeight="1">
      <c r="A35" s="1061"/>
      <c r="B35" s="244"/>
      <c r="C35" s="17"/>
      <c r="D35" s="264"/>
      <c r="E35" s="235" t="s">
        <v>2071</v>
      </c>
      <c r="F35" s="236">
        <f>IF(D1="仅计算典型户型",'数据-取费表'!E6,'数据-取费表'!B6)</f>
        <v>0</v>
      </c>
      <c r="G35" s="652" t="s">
        <v>2809</v>
      </c>
      <c r="H35" s="931"/>
      <c r="I35" s="282" t="s">
        <v>2117</v>
      </c>
      <c r="J35" s="283">
        <f>'数据-取费表'!B18</f>
        <v>0.06</v>
      </c>
      <c r="K35" s="944"/>
      <c r="L35" s="943"/>
      <c r="M35" s="943"/>
    </row>
    <row r="36" spans="1:18" ht="18" customHeight="1">
      <c r="A36" s="1060" t="s">
        <v>2019</v>
      </c>
      <c r="B36" s="235" t="s">
        <v>2118</v>
      </c>
      <c r="C36" s="13">
        <f ca="1">ROUND(C29*F36,0)</f>
        <v>137609</v>
      </c>
      <c r="D36" s="1331" t="s">
        <v>2119</v>
      </c>
      <c r="E36" s="235" t="s">
        <v>2063</v>
      </c>
      <c r="F36" s="265">
        <f>'数据-取费表'!B45</f>
        <v>0.02</v>
      </c>
      <c r="G36" s="652"/>
      <c r="H36" s="943"/>
      <c r="I36" s="284" t="s">
        <v>2120</v>
      </c>
      <c r="J36" s="285"/>
      <c r="K36" s="947"/>
      <c r="L36" s="943"/>
      <c r="M36" s="943"/>
    </row>
    <row r="37" spans="1:18" ht="18" customHeight="1">
      <c r="A37" s="253" t="s">
        <v>2067</v>
      </c>
      <c r="B37" s="235" t="s">
        <v>2078</v>
      </c>
      <c r="C37" s="13">
        <f ca="1">ROUND(C13*F37,0)</f>
        <v>10596</v>
      </c>
      <c r="D37" s="1331" t="s">
        <v>2079</v>
      </c>
      <c r="E37" s="235" t="s">
        <v>2080</v>
      </c>
      <c r="F37" s="266">
        <f>'数据-取费表'!B46</f>
        <v>2E-3</v>
      </c>
      <c r="G37" s="652"/>
      <c r="H37" s="943"/>
      <c r="I37" s="132" t="s">
        <v>2121</v>
      </c>
      <c r="J37" s="286"/>
      <c r="K37" s="947"/>
      <c r="L37" s="943"/>
      <c r="M37" s="943"/>
    </row>
    <row r="38" spans="1:18" ht="18" customHeight="1" thickBot="1">
      <c r="A38" s="1102" t="s">
        <v>2072</v>
      </c>
      <c r="B38" s="1103" t="s">
        <v>2061</v>
      </c>
      <c r="C38" s="1104">
        <f ca="1">ROUND(C5*F38,0)</f>
        <v>0</v>
      </c>
      <c r="D38" s="1105" t="s">
        <v>2084</v>
      </c>
      <c r="E38" s="1103" t="s">
        <v>2080</v>
      </c>
      <c r="F38" s="1098">
        <f>'数据-取费表'!B47</f>
        <v>0.02</v>
      </c>
      <c r="G38" s="652"/>
      <c r="H38" s="943"/>
      <c r="I38" s="280" t="s">
        <v>2122</v>
      </c>
      <c r="J38" s="136">
        <f ca="1">ROUND(J34/C39,3)</f>
        <v>-2.145</v>
      </c>
      <c r="K38" s="948"/>
      <c r="L38" s="943"/>
      <c r="M38" s="943"/>
    </row>
    <row r="39" spans="1:18" ht="18" customHeight="1" thickTop="1">
      <c r="A39" s="1092" t="s">
        <v>22</v>
      </c>
      <c r="B39" s="1107" t="s">
        <v>2123</v>
      </c>
      <c r="C39" s="243">
        <f ca="1">C5-C30</f>
        <v>-148205</v>
      </c>
      <c r="D39" s="1108" t="s">
        <v>2124</v>
      </c>
      <c r="E39" s="1109"/>
      <c r="F39" s="1110"/>
      <c r="G39" s="652"/>
      <c r="H39" s="943"/>
      <c r="I39" s="280" t="s">
        <v>2125</v>
      </c>
      <c r="J39" s="136">
        <f ca="1">1-J38</f>
        <v>3.145</v>
      </c>
      <c r="K39" s="948"/>
      <c r="L39" s="943"/>
      <c r="M39" s="943"/>
    </row>
    <row r="40" spans="1:18" s="652" customFormat="1" ht="18" customHeight="1">
      <c r="A40" s="232" t="s">
        <v>23</v>
      </c>
      <c r="B40" s="233" t="s">
        <v>2126</v>
      </c>
      <c r="C40" s="234">
        <f ca="1">ROUND(C39*(1-((1+F42)/(1+F40))^F41)/(F40-F42),0)</f>
        <v>-2958786</v>
      </c>
      <c r="D40" s="261" t="s">
        <v>2094</v>
      </c>
      <c r="E40" s="235" t="s">
        <v>2095</v>
      </c>
      <c r="F40" s="245">
        <f>'数据-取费表'!B16</f>
        <v>0.05</v>
      </c>
      <c r="H40" s="949"/>
      <c r="I40" s="132" t="s">
        <v>2127</v>
      </c>
      <c r="J40" s="133"/>
      <c r="K40" s="948"/>
      <c r="L40" s="949"/>
      <c r="M40" s="949"/>
      <c r="Q40" s="656"/>
    </row>
    <row r="41" spans="1:18" s="652" customFormat="1" ht="18" customHeight="1">
      <c r="A41" s="237"/>
      <c r="B41" s="238"/>
      <c r="C41" s="239"/>
      <c r="D41" s="269" t="s">
        <v>2128</v>
      </c>
      <c r="E41" s="1303" t="s">
        <v>2706</v>
      </c>
      <c r="F41" s="270">
        <f>IF('数据-取费表'!B29="租赁期内按合同租金",'数据-取费表'!B35,IF(E41="收益年期(n)",'数据-取费表'!B34,'数据-取费表'!B13))</f>
        <v>26.5</v>
      </c>
      <c r="H41" s="950"/>
      <c r="I41" s="135" t="s">
        <v>2000</v>
      </c>
      <c r="J41" s="136">
        <f ca="1">ROUND(C13/C40,3)</f>
        <v>-1.7909999999999999</v>
      </c>
      <c r="K41" s="947"/>
      <c r="L41" s="950"/>
      <c r="M41" s="950"/>
      <c r="Q41" s="656"/>
    </row>
    <row r="42" spans="1:18" s="652" customFormat="1" ht="18" customHeight="1">
      <c r="A42" s="241"/>
      <c r="B42" s="242"/>
      <c r="C42" s="243"/>
      <c r="D42" s="264"/>
      <c r="E42" s="235" t="s">
        <v>2104</v>
      </c>
      <c r="F42" s="245">
        <f>'数据-取费表'!B32</f>
        <v>0.03</v>
      </c>
      <c r="H42" s="950"/>
      <c r="I42" s="135" t="s">
        <v>2001</v>
      </c>
      <c r="J42" s="137">
        <f ca="1">1-J41</f>
        <v>2.7909999999999999</v>
      </c>
      <c r="K42" s="947"/>
      <c r="L42" s="950"/>
      <c r="M42" s="950"/>
      <c r="Q42" s="656"/>
    </row>
    <row r="43" spans="1:18" s="652" customFormat="1" ht="18" customHeight="1" thickBot="1">
      <c r="A43" s="271" t="s">
        <v>24</v>
      </c>
      <c r="B43" s="272" t="s">
        <v>2129</v>
      </c>
      <c r="C43" s="273">
        <f ca="1">ROUND(C40/F43,0)</f>
        <v>-2718</v>
      </c>
      <c r="D43" s="274" t="s">
        <v>2130</v>
      </c>
      <c r="E43" s="275" t="s">
        <v>2131</v>
      </c>
      <c r="F43" s="276">
        <f>IF(D1="仅计算典型户型",'数据-取费表'!E5,'数据-取费表'!B5)</f>
        <v>1088.48</v>
      </c>
      <c r="G43" s="654"/>
      <c r="H43" s="950"/>
      <c r="I43" s="950"/>
      <c r="J43" s="950"/>
      <c r="K43" s="947"/>
      <c r="L43" s="950"/>
      <c r="M43" s="950"/>
      <c r="O43" s="1041" t="s">
        <v>2132</v>
      </c>
      <c r="P43" s="1042"/>
      <c r="Q43" s="1038"/>
      <c r="R43" s="1042"/>
    </row>
    <row r="44" spans="1:18" s="652" customFormat="1" ht="18" customHeight="1" thickBot="1">
      <c r="A44" s="649"/>
      <c r="B44" s="649"/>
      <c r="C44" s="651"/>
      <c r="D44" s="649"/>
      <c r="E44" s="649"/>
      <c r="F44" s="649"/>
      <c r="G44" s="654"/>
      <c r="K44" s="653"/>
      <c r="O44" s="1043" t="s">
        <v>2133</v>
      </c>
      <c r="P44" s="1044" t="s">
        <v>2134</v>
      </c>
      <c r="Q44" s="1045" t="s">
        <v>2135</v>
      </c>
      <c r="R44" s="1046" t="s">
        <v>2136</v>
      </c>
    </row>
    <row r="45" spans="1:18" s="652" customFormat="1" ht="18" customHeight="1" thickBot="1">
      <c r="A45" s="649"/>
      <c r="B45" s="649"/>
      <c r="C45" s="651"/>
      <c r="D45" s="649"/>
      <c r="E45" s="649"/>
      <c r="F45" s="649"/>
      <c r="G45" s="655"/>
      <c r="I45" s="652">
        <f>16303008-230750</f>
        <v>16072258</v>
      </c>
      <c r="K45" s="653">
        <f>J58/60</f>
        <v>0.32500000000000001</v>
      </c>
      <c r="O45" s="1047" t="s">
        <v>949</v>
      </c>
      <c r="P45" s="1048" t="s">
        <v>2137</v>
      </c>
      <c r="Q45" s="1049">
        <f ca="1">C40+J29</f>
        <v>-2958786</v>
      </c>
      <c r="R45" s="1050" t="s">
        <v>2138</v>
      </c>
    </row>
    <row r="46" spans="1:18" s="652" customFormat="1" ht="18" customHeight="1" thickBot="1">
      <c r="A46" s="649"/>
      <c r="D46" s="649"/>
      <c r="E46" s="649"/>
      <c r="F46" s="649"/>
      <c r="K46" s="653">
        <f>3936834*40%/((1+5.5%)^ 35.87)</f>
        <v>230749.81793946069</v>
      </c>
      <c r="O46" s="1047" t="s">
        <v>950</v>
      </c>
      <c r="P46" s="1048" t="s">
        <v>2139</v>
      </c>
      <c r="Q46" s="1049">
        <f ca="1">J61</f>
        <v>666020</v>
      </c>
      <c r="R46" s="1050" t="s">
        <v>2140</v>
      </c>
    </row>
    <row r="47" spans="1:18" s="652" customFormat="1" ht="21.75" thickBot="1">
      <c r="A47" s="1527" t="s">
        <v>2141</v>
      </c>
      <c r="C47" s="992">
        <f ca="1">IF(C2="元",C69-C40,ROUND((C69-C40)/10000,0))</f>
        <v>-7578393</v>
      </c>
      <c r="D47" s="1528" t="str">
        <f>C2</f>
        <v>元</v>
      </c>
      <c r="E47" s="649"/>
      <c r="F47" s="649"/>
      <c r="I47" s="1529" t="s">
        <v>2142</v>
      </c>
      <c r="J47" s="1023"/>
      <c r="K47" s="1024"/>
      <c r="L47" s="1037">
        <f ca="1">IF(M48="住宅",0,IF(L49&gt;J52,L61,J61))</f>
        <v>666020</v>
      </c>
      <c r="O47" s="1051" t="s">
        <v>951</v>
      </c>
      <c r="P47" s="1048" t="s">
        <v>2143</v>
      </c>
      <c r="Q47" s="1049">
        <f ca="1">C29</f>
        <v>6880459</v>
      </c>
      <c r="R47" s="1050" t="s">
        <v>2138</v>
      </c>
    </row>
    <row r="48" spans="1:18" s="652" customFormat="1" ht="15.75" thickBot="1">
      <c r="A48" s="228" t="s">
        <v>2144</v>
      </c>
      <c r="B48" s="229" t="s">
        <v>2145</v>
      </c>
      <c r="C48" s="229" t="s">
        <v>2146</v>
      </c>
      <c r="D48" s="229" t="s">
        <v>2147</v>
      </c>
      <c r="E48" s="986" t="s">
        <v>2148</v>
      </c>
      <c r="F48" s="987"/>
      <c r="I48" s="1530" t="s">
        <v>2149</v>
      </c>
      <c r="J48" s="1531" t="s">
        <v>2892</v>
      </c>
      <c r="K48" s="1532" t="s">
        <v>2150</v>
      </c>
      <c r="L48" s="1025">
        <f>'数据-取费表'!B11</f>
        <v>50</v>
      </c>
      <c r="M48" s="1038" t="str">
        <f>IF('数据-取费表'!B10="住宅","住宅","非住宅")</f>
        <v>非住宅</v>
      </c>
      <c r="O48" s="1051" t="s">
        <v>952</v>
      </c>
      <c r="P48" s="1048" t="s">
        <v>2151</v>
      </c>
      <c r="Q48" s="1052">
        <f>J59</f>
        <v>0.4</v>
      </c>
      <c r="R48" s="1050"/>
    </row>
    <row r="49" spans="1:18" s="652" customFormat="1" ht="15.75" thickBot="1">
      <c r="A49" s="1127" t="s">
        <v>1019</v>
      </c>
      <c r="B49" s="233" t="s">
        <v>2152</v>
      </c>
      <c r="C49" s="1128">
        <f ca="1">C50+C54+C56</f>
        <v>0</v>
      </c>
      <c r="D49" s="1129"/>
      <c r="E49" s="44"/>
      <c r="F49" s="15"/>
      <c r="I49" s="1533" t="s">
        <v>2153</v>
      </c>
      <c r="J49" s="1534" t="s">
        <v>2893</v>
      </c>
      <c r="K49" s="1535" t="s">
        <v>2154</v>
      </c>
      <c r="L49" s="863">
        <f>'数据-取费表'!B13</f>
        <v>26.5</v>
      </c>
      <c r="O49" s="1051" t="s">
        <v>953</v>
      </c>
      <c r="P49" s="1048" t="s">
        <v>2155</v>
      </c>
      <c r="Q49" s="1052">
        <f>J53</f>
        <v>5.5E-2</v>
      </c>
      <c r="R49" s="1050"/>
    </row>
    <row r="50" spans="1:18" s="652" customFormat="1" ht="15.75" thickBot="1">
      <c r="A50" s="260" t="s">
        <v>2012</v>
      </c>
      <c r="B50" s="1442" t="s">
        <v>2156</v>
      </c>
      <c r="C50" s="234">
        <f>ROUND(F50*F52*F51*(1-F53),0)</f>
        <v>0</v>
      </c>
      <c r="D50" s="42" t="s">
        <v>2698</v>
      </c>
      <c r="E50" s="1536" t="s">
        <v>2157</v>
      </c>
      <c r="F50" s="988"/>
      <c r="I50" s="1533" t="s">
        <v>2158</v>
      </c>
      <c r="J50" s="863">
        <f>'数据-取费表'!B27</f>
        <v>2002</v>
      </c>
      <c r="K50" s="1537" t="s">
        <v>2159</v>
      </c>
      <c r="L50" s="1026"/>
      <c r="O50" s="1051" t="s">
        <v>954</v>
      </c>
      <c r="P50" s="1048" t="s">
        <v>2160</v>
      </c>
      <c r="Q50" s="1049">
        <f>J54</f>
        <v>26.5</v>
      </c>
      <c r="R50" s="1050" t="s">
        <v>2161</v>
      </c>
    </row>
    <row r="51" spans="1:18" s="652" customFormat="1" ht="15.75" thickBot="1">
      <c r="A51" s="237"/>
      <c r="B51" s="238"/>
      <c r="C51" s="239"/>
      <c r="D51" s="240"/>
      <c r="E51" s="255" t="s">
        <v>2015</v>
      </c>
      <c r="F51" s="985">
        <f>F7</f>
        <v>1</v>
      </c>
      <c r="I51" s="1533" t="s">
        <v>2162</v>
      </c>
      <c r="J51" s="1027">
        <f>SUMPRODUCT((I64:I66=J48)*(J63:L63=J49)*(J64:L66))</f>
        <v>60</v>
      </c>
      <c r="K51" s="1537" t="s">
        <v>2163</v>
      </c>
      <c r="L51" s="1026"/>
      <c r="O51" s="1047" t="s">
        <v>955</v>
      </c>
      <c r="P51" s="1048" t="str">
        <f>IF(C2="元","收益价值(元)","收益价值(万元)")</f>
        <v>收益价值(元)</v>
      </c>
      <c r="Q51" s="1049">
        <f ca="1">ROUND(IF(C2="元",Q45+Q46,(Q45+Q46)/10000),0)</f>
        <v>-2292766</v>
      </c>
      <c r="R51" s="1050" t="s">
        <v>956</v>
      </c>
    </row>
    <row r="52" spans="1:18" s="652" customFormat="1" ht="16.5" thickBot="1">
      <c r="A52" s="237"/>
      <c r="B52" s="238"/>
      <c r="C52" s="239"/>
      <c r="D52" s="240"/>
      <c r="E52" s="235" t="s">
        <v>2017</v>
      </c>
      <c r="F52" s="236">
        <f>F8</f>
        <v>365</v>
      </c>
      <c r="I52" s="1538" t="s">
        <v>2164</v>
      </c>
      <c r="J52" s="1028">
        <f>IF(J50="",J51,J50+J51-YEAR('数据-取费表'!B2))</f>
        <v>46</v>
      </c>
      <c r="K52" s="1539" t="s">
        <v>2165</v>
      </c>
      <c r="L52" s="1029">
        <f ca="1">ROUND(-PV('数据-取费表'!B15,J52,(C40-C13*J35)),0)</f>
        <v>-63201494</v>
      </c>
      <c r="O52" s="1041" t="s">
        <v>2166</v>
      </c>
      <c r="P52" s="1042"/>
      <c r="Q52" s="1038"/>
      <c r="R52" s="1042"/>
    </row>
    <row r="53" spans="1:18" s="652" customFormat="1" ht="15.75" thickBot="1">
      <c r="A53" s="241"/>
      <c r="B53" s="242"/>
      <c r="C53" s="243"/>
      <c r="D53" s="244"/>
      <c r="E53" s="235" t="s">
        <v>2018</v>
      </c>
      <c r="F53" s="1036"/>
      <c r="I53" s="1540" t="s">
        <v>2167</v>
      </c>
      <c r="J53" s="1030">
        <v>5.5E-2</v>
      </c>
      <c r="K53" s="1540" t="s">
        <v>2168</v>
      </c>
      <c r="L53" s="1030"/>
      <c r="O53" s="1043" t="s">
        <v>2133</v>
      </c>
      <c r="P53" s="1044" t="s">
        <v>2134</v>
      </c>
      <c r="Q53" s="1045" t="s">
        <v>2135</v>
      </c>
      <c r="R53" s="1046" t="s">
        <v>2136</v>
      </c>
    </row>
    <row r="54" spans="1:18" s="652" customFormat="1" ht="29.25" customHeight="1" thickBot="1">
      <c r="A54" s="1057" t="s">
        <v>2019</v>
      </c>
      <c r="B54" s="1521" t="s">
        <v>2020</v>
      </c>
      <c r="C54" s="1058">
        <f ca="1">ROUND(IF(F54="押一",C50/12*F11,IF(F54="押二",C50/12*2*F11,IF(F54="押三",C50/12*3*F11,C55*F11))),0)</f>
        <v>0</v>
      </c>
      <c r="D54" s="1522" t="s">
        <v>2704</v>
      </c>
      <c r="E54" s="246" t="s">
        <v>2021</v>
      </c>
      <c r="F54" s="1523"/>
      <c r="I54" s="1628" t="s">
        <v>2707</v>
      </c>
      <c r="J54" s="1031">
        <f>IF(M48="住宅",IF(E1="——",MAX(J52,L49),MAX(J52,L49-'数据-取费表'!B26)),IF(E1="——",MIN(J52,L49),MIN(J52,L49-'数据-取费表'!B26)))</f>
        <v>26.5</v>
      </c>
      <c r="K54" s="4453" t="s">
        <v>2696</v>
      </c>
      <c r="L54" s="4454"/>
      <c r="O54" s="1047" t="s">
        <v>949</v>
      </c>
      <c r="P54" s="1048" t="s">
        <v>2137</v>
      </c>
      <c r="Q54" s="1049">
        <f ca="1">C40+J29</f>
        <v>-2958786</v>
      </c>
      <c r="R54" s="1050" t="s">
        <v>2138</v>
      </c>
    </row>
    <row r="55" spans="1:18" s="652" customFormat="1" ht="20.25" thickBot="1">
      <c r="A55" s="1057"/>
      <c r="B55" s="1541" t="s">
        <v>2025</v>
      </c>
      <c r="C55" s="1091"/>
      <c r="D55" s="42"/>
      <c r="E55" s="154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43"/>
      <c r="K55" s="1543"/>
      <c r="L55" s="1543"/>
      <c r="O55" s="1047" t="s">
        <v>950</v>
      </c>
      <c r="P55" s="1048" t="s">
        <v>2169</v>
      </c>
      <c r="Q55" s="1049">
        <f>L61</f>
        <v>0</v>
      </c>
      <c r="R55" s="1050" t="s">
        <v>2170</v>
      </c>
    </row>
    <row r="56" spans="1:18" s="652" customFormat="1" ht="20.25" thickBot="1">
      <c r="A56" s="1096" t="s">
        <v>2026</v>
      </c>
      <c r="B56" s="1525" t="s">
        <v>2027</v>
      </c>
      <c r="C56" s="1097"/>
      <c r="D56" s="1113"/>
      <c r="E56" s="1544"/>
      <c r="F56" s="1152"/>
      <c r="I56" s="1545" t="s">
        <v>2171</v>
      </c>
      <c r="J56" s="1320">
        <f>ROUND(IF(J48="钢混",J58/J51,1-(1-2%)*(J51-J58)/J51),3)</f>
        <v>0.32500000000000001</v>
      </c>
      <c r="K56" s="1546" t="s">
        <v>2172</v>
      </c>
      <c r="L56" s="1032"/>
      <c r="O56" s="1051" t="s">
        <v>951</v>
      </c>
      <c r="P56" s="1048" t="s">
        <v>2173</v>
      </c>
      <c r="Q56" s="1049">
        <f>IF(L56="比较法",L50,IF(L56="基准地价",L51,0))</f>
        <v>0</v>
      </c>
      <c r="R56" s="1050" t="s">
        <v>2138</v>
      </c>
    </row>
    <row r="57" spans="1:18" s="652" customFormat="1" ht="44.25" thickTop="1" thickBot="1">
      <c r="A57" s="1092">
        <v>2</v>
      </c>
      <c r="B57" s="1093" t="s">
        <v>2028</v>
      </c>
      <c r="C57" s="1151">
        <f ca="1">C13</f>
        <v>5297953</v>
      </c>
      <c r="D57" s="983"/>
      <c r="E57" s="984"/>
      <c r="F57" s="991"/>
      <c r="I57" s="1547" t="s">
        <v>2174</v>
      </c>
      <c r="J57" s="1035" t="s">
        <v>2919</v>
      </c>
      <c r="K57" s="1533" t="s">
        <v>2175</v>
      </c>
      <c r="L57" s="863" t="str">
        <f>IF(L49&lt;J52,"——",L49-J52)</f>
        <v>——</v>
      </c>
      <c r="O57" s="1051" t="s">
        <v>952</v>
      </c>
      <c r="P57" s="1048" t="s">
        <v>2176</v>
      </c>
      <c r="Q57" s="1052">
        <f>L53</f>
        <v>0</v>
      </c>
      <c r="R57" s="1050"/>
    </row>
    <row r="58" spans="1:18" s="652" customFormat="1" ht="29.25" thickBot="1">
      <c r="A58" s="990"/>
      <c r="B58" s="235" t="s">
        <v>2106</v>
      </c>
      <c r="C58" s="104">
        <f ca="1">C29</f>
        <v>6880459</v>
      </c>
      <c r="D58" s="983"/>
      <c r="E58" s="984"/>
      <c r="F58" s="991"/>
      <c r="I58" s="1548" t="s">
        <v>2177</v>
      </c>
      <c r="J58" s="1034">
        <f>IF(OR(M48="住宅",J52&lt;L49,J57="是"),"——",J52-L49)</f>
        <v>19.5</v>
      </c>
      <c r="K58" s="1533" t="s">
        <v>2178</v>
      </c>
      <c r="L58" s="863" t="str">
        <f>IF(L49&lt;J52,"——",IF(L56="比较法",L50,IF(L56="基准地价",L51,L52)))</f>
        <v>——</v>
      </c>
      <c r="O58" s="1051" t="s">
        <v>953</v>
      </c>
      <c r="P58" s="1048" t="s">
        <v>2179</v>
      </c>
      <c r="Q58" s="1049" t="e">
        <f>L59</f>
        <v>#DIV/0!</v>
      </c>
      <c r="R58" s="1050" t="s">
        <v>2180</v>
      </c>
    </row>
    <row r="59" spans="1:18" s="652" customFormat="1" ht="29.25" thickBot="1">
      <c r="A59" s="248" t="s">
        <v>14</v>
      </c>
      <c r="B59" s="249" t="s">
        <v>2109</v>
      </c>
      <c r="C59" s="250">
        <f ca="1">ROUND(C60+C65+C66+C67,0)</f>
        <v>726164</v>
      </c>
      <c r="D59" s="12" t="s">
        <v>2110</v>
      </c>
      <c r="E59" s="1333"/>
      <c r="F59" s="15"/>
      <c r="I59" s="1548" t="s">
        <v>2181</v>
      </c>
      <c r="J59" s="1319">
        <f>IF(J56&lt;0.4,0.4,J56)</f>
        <v>0.4</v>
      </c>
      <c r="K59" s="1539" t="s">
        <v>2182</v>
      </c>
      <c r="L59" s="863" t="e">
        <f>ROUND(POWER(1+L53,L48-L49)*(POWER(1+L53,L49)-1)/(POWER(1+L53,L48)-1),4)</f>
        <v>#DIV/0!</v>
      </c>
      <c r="O59" s="1051" t="s">
        <v>954</v>
      </c>
      <c r="P59" s="1048" t="str">
        <f>K60</f>
        <v>建筑物剩余耐用年限下的土地年期修正系数Kn</v>
      </c>
      <c r="Q59" s="1049" t="e">
        <f>L60</f>
        <v>#DIV/0!</v>
      </c>
      <c r="R59" s="1050" t="s">
        <v>2183</v>
      </c>
    </row>
    <row r="60" spans="1:18" s="652" customFormat="1" ht="29.25" thickBot="1">
      <c r="A60" s="253" t="s">
        <v>15</v>
      </c>
      <c r="B60" s="235" t="s">
        <v>2050</v>
      </c>
      <c r="C60" s="2825">
        <f ca="1">ROUND(IF(AND(项目基本情况!B7="自然人",项目基本情况!B6="北京市"),C50*F60/(1+'数据-取费表'!F30),C61+C62+C63),0)</f>
        <v>577959</v>
      </c>
      <c r="D60" s="1328" t="s">
        <v>2111</v>
      </c>
      <c r="E60" s="1331" t="s">
        <v>2112</v>
      </c>
      <c r="F60" s="2824" t="str">
        <f>IF(项目基本情况!B7="企业","——",IF('数据-取费表'!B10="住宅",IF(F50*F51*F52/12/(1+'数据-取费表'!F30)&gt;100000,4%,2.5%),IF(F50*F51*F52/12/(1+'数据-取费表'!F30)&gt;100000,12%,7%)))</f>
        <v>——</v>
      </c>
      <c r="I60" s="1548" t="s">
        <v>2184</v>
      </c>
      <c r="J60" s="1034">
        <f ca="1">IF(OR(M48="住宅",J52&lt;L49,J57="是"),"——",ROUND(C29*J59,0))</f>
        <v>2752184</v>
      </c>
      <c r="K60" s="153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-2958786</v>
      </c>
      <c r="R60" s="1050" t="s">
        <v>956</v>
      </c>
    </row>
    <row r="61" spans="1:18" s="652" customFormat="1" ht="16.5" thickBot="1">
      <c r="A61" s="253" t="s">
        <v>16</v>
      </c>
      <c r="B61" s="235" t="s">
        <v>2113</v>
      </c>
      <c r="C61" s="13">
        <f ca="1">IF(项目基本情况!B7="自然人","——",ROUND(C49*F61/(1+'数据-取费表'!F30),0))</f>
        <v>0</v>
      </c>
      <c r="D61" s="1331" t="s">
        <v>2114</v>
      </c>
      <c r="E61" s="235" t="s">
        <v>2063</v>
      </c>
      <c r="F61" s="267">
        <f t="shared" ref="F61:F67" si="0">F32</f>
        <v>5.6000000000000001E-2</v>
      </c>
      <c r="I61" s="1549" t="s">
        <v>2185</v>
      </c>
      <c r="J61" s="1033">
        <f ca="1">IF(OR(M48="住宅",J52&lt;L49,J57="是"),"0",ROUND(J60/(1+J53)^J54,0))</f>
        <v>666020</v>
      </c>
      <c r="K61" s="1550" t="s">
        <v>2186</v>
      </c>
      <c r="L61" s="1033">
        <f>IF(OR(M48="住宅",L49&lt;J52),0,ROUND(L58*(L59/L60-1),0))</f>
        <v>0</v>
      </c>
      <c r="O61" s="1041" t="s">
        <v>2187</v>
      </c>
      <c r="P61" s="1042"/>
      <c r="Q61" s="1038"/>
      <c r="R61" s="1042"/>
    </row>
    <row r="62" spans="1:18" s="652" customFormat="1" ht="15.75" thickBot="1">
      <c r="A62" s="253" t="s">
        <v>17</v>
      </c>
      <c r="B62" s="235" t="s">
        <v>2188</v>
      </c>
      <c r="C62" s="13">
        <f ca="1">IF(项目基本情况!B7="自然人","——",IF(D62="按租金收入计税",ROUND(C50*F62/(1+'数据-取费表'!F30),0),IF(D62="按房产原值计税",ROUND(C58*F62*0.7,0),'数据-取费表'!B44)))</f>
        <v>577959</v>
      </c>
      <c r="D62" s="1436" t="s">
        <v>2060</v>
      </c>
      <c r="E62" s="235" t="s">
        <v>2063</v>
      </c>
      <c r="F62" s="258">
        <f t="shared" si="0"/>
        <v>0.12</v>
      </c>
      <c r="O62" s="1043" t="s">
        <v>2133</v>
      </c>
      <c r="P62" s="1044" t="s">
        <v>2134</v>
      </c>
      <c r="Q62" s="1045" t="s">
        <v>2135</v>
      </c>
      <c r="R62" s="1046" t="s">
        <v>2136</v>
      </c>
    </row>
    <row r="63" spans="1:18" s="652" customFormat="1" ht="15.75" thickBot="1">
      <c r="A63" s="260" t="s">
        <v>18</v>
      </c>
      <c r="B63" s="36" t="s">
        <v>2189</v>
      </c>
      <c r="C63" s="14">
        <f>IF(项目基本情况!B7="自然人","——",ROUND(F63*F64,0))</f>
        <v>0</v>
      </c>
      <c r="D63" s="261" t="s">
        <v>2190</v>
      </c>
      <c r="E63" s="235" t="s">
        <v>2191</v>
      </c>
      <c r="F63" s="262">
        <f t="shared" si="0"/>
        <v>3</v>
      </c>
      <c r="I63" s="1551" t="s">
        <v>2192</v>
      </c>
      <c r="J63" s="1323" t="s">
        <v>2193</v>
      </c>
      <c r="K63" s="1323" t="s">
        <v>2194</v>
      </c>
      <c r="L63" s="1323" t="s">
        <v>2195</v>
      </c>
      <c r="M63" s="1322" t="s">
        <v>2196</v>
      </c>
      <c r="O63" s="1047" t="s">
        <v>949</v>
      </c>
      <c r="P63" s="1048" t="s">
        <v>2137</v>
      </c>
      <c r="Q63" s="1049">
        <f ca="1">C40+J29</f>
        <v>-2958786</v>
      </c>
      <c r="R63" s="1050" t="s">
        <v>2138</v>
      </c>
    </row>
    <row r="64" spans="1:18" s="652" customFormat="1" ht="20.25" thickBot="1">
      <c r="A64" s="263"/>
      <c r="B64" s="244"/>
      <c r="C64" s="17"/>
      <c r="D64" s="264"/>
      <c r="E64" s="235" t="s">
        <v>2197</v>
      </c>
      <c r="F64" s="236">
        <f t="shared" si="0"/>
        <v>0</v>
      </c>
      <c r="I64" s="1551" t="s">
        <v>2198</v>
      </c>
      <c r="J64" s="1323">
        <v>70</v>
      </c>
      <c r="K64" s="1323">
        <v>50</v>
      </c>
      <c r="L64" s="1323">
        <v>80</v>
      </c>
      <c r="M64" s="1321">
        <v>0.02</v>
      </c>
      <c r="O64" s="1047" t="s">
        <v>950</v>
      </c>
      <c r="P64" s="1048" t="s">
        <v>2169</v>
      </c>
      <c r="Q64" s="1049">
        <f>L61</f>
        <v>0</v>
      </c>
      <c r="R64" s="1050" t="s">
        <v>2170</v>
      </c>
    </row>
    <row r="65" spans="1:18" s="652" customFormat="1" ht="23.25" thickBot="1">
      <c r="A65" s="253" t="s">
        <v>19</v>
      </c>
      <c r="B65" s="235" t="s">
        <v>2118</v>
      </c>
      <c r="C65" s="13">
        <f ca="1">ROUND(C58*F65,0)</f>
        <v>137609</v>
      </c>
      <c r="D65" s="1331" t="s">
        <v>2119</v>
      </c>
      <c r="E65" s="235" t="s">
        <v>2063</v>
      </c>
      <c r="F65" s="265">
        <f t="shared" si="0"/>
        <v>0.02</v>
      </c>
      <c r="I65" s="1551" t="s">
        <v>2199</v>
      </c>
      <c r="J65" s="1323">
        <v>50</v>
      </c>
      <c r="K65" s="1323">
        <v>35</v>
      </c>
      <c r="L65" s="1323">
        <v>60</v>
      </c>
      <c r="M65" s="1322">
        <v>0</v>
      </c>
      <c r="O65" s="1051" t="s">
        <v>951</v>
      </c>
      <c r="P65" s="1048" t="s">
        <v>2173</v>
      </c>
      <c r="Q65" s="1053">
        <f ca="1">L52</f>
        <v>-63201494</v>
      </c>
      <c r="R65" s="1054" t="s">
        <v>2200</v>
      </c>
    </row>
    <row r="66" spans="1:18" s="652" customFormat="1" ht="20.25" thickBot="1">
      <c r="A66" s="253" t="s">
        <v>20</v>
      </c>
      <c r="B66" s="235" t="s">
        <v>2078</v>
      </c>
      <c r="C66" s="13">
        <f ca="1">ROUND(C57*F66,0)</f>
        <v>10596</v>
      </c>
      <c r="D66" s="1331" t="s">
        <v>2079</v>
      </c>
      <c r="E66" s="235" t="s">
        <v>2080</v>
      </c>
      <c r="F66" s="266">
        <f t="shared" si="0"/>
        <v>2E-3</v>
      </c>
      <c r="I66" s="1551" t="s">
        <v>2201</v>
      </c>
      <c r="J66" s="1323">
        <v>40</v>
      </c>
      <c r="K66" s="1323">
        <v>30</v>
      </c>
      <c r="L66" s="1323">
        <v>50</v>
      </c>
      <c r="M66" s="1321">
        <v>0.02</v>
      </c>
      <c r="O66" s="1051" t="s">
        <v>952</v>
      </c>
      <c r="P66" s="1055" t="s">
        <v>2202</v>
      </c>
      <c r="Q66" s="1049">
        <f ca="1">ROUND(Q67-Q68*Q69,0)</f>
        <v>-466082</v>
      </c>
      <c r="R66" s="1050"/>
    </row>
    <row r="67" spans="1:18" s="652" customFormat="1" ht="15.75" thickBot="1">
      <c r="A67" s="253" t="s">
        <v>21</v>
      </c>
      <c r="B67" s="235" t="s">
        <v>2061</v>
      </c>
      <c r="C67" s="13">
        <f ca="1">ROUND(C49*F67,0)</f>
        <v>0</v>
      </c>
      <c r="D67" s="1331" t="s">
        <v>2084</v>
      </c>
      <c r="E67" s="235" t="s">
        <v>2080</v>
      </c>
      <c r="F67" s="245">
        <f t="shared" si="0"/>
        <v>0.02</v>
      </c>
      <c r="O67" s="1051" t="s">
        <v>957</v>
      </c>
      <c r="P67" s="1055" t="s">
        <v>2203</v>
      </c>
      <c r="Q67" s="1049">
        <f ca="1">C39</f>
        <v>-148205</v>
      </c>
      <c r="R67" s="1050" t="s">
        <v>2138</v>
      </c>
    </row>
    <row r="68" spans="1:18" ht="15.75" thickBot="1">
      <c r="A68" s="248" t="s">
        <v>22</v>
      </c>
      <c r="B68" s="41" t="s">
        <v>2088</v>
      </c>
      <c r="C68" s="250">
        <f ca="1">C49-C59</f>
        <v>-726164</v>
      </c>
      <c r="D68" s="1328" t="s">
        <v>2089</v>
      </c>
      <c r="E68" s="1330"/>
      <c r="F68" s="268"/>
      <c r="H68" s="652"/>
      <c r="I68" s="652"/>
      <c r="J68" s="652"/>
      <c r="K68" s="652"/>
      <c r="L68" s="652"/>
      <c r="M68" s="652"/>
      <c r="O68" s="1051" t="s">
        <v>958</v>
      </c>
      <c r="P68" s="1055" t="s">
        <v>2204</v>
      </c>
      <c r="Q68" s="1049">
        <f ca="1">C13</f>
        <v>5297953</v>
      </c>
      <c r="R68" s="1050" t="s">
        <v>2138</v>
      </c>
    </row>
    <row r="69" spans="1:18" ht="15.75" thickBot="1">
      <c r="A69" s="232" t="s">
        <v>23</v>
      </c>
      <c r="B69" s="233" t="s">
        <v>2126</v>
      </c>
      <c r="C69" s="234">
        <f ca="1">ROUND(C68*(1-((1+F71)/(1+F69))^F70)/(F69-F71),0)</f>
        <v>-10537179</v>
      </c>
      <c r="D69" s="261" t="s">
        <v>2094</v>
      </c>
      <c r="E69" s="235" t="s">
        <v>2095</v>
      </c>
      <c r="F69" s="245">
        <f>F40</f>
        <v>0.05</v>
      </c>
      <c r="H69" s="652"/>
      <c r="I69" s="652"/>
      <c r="J69" s="652"/>
      <c r="K69" s="652"/>
      <c r="L69" s="652"/>
      <c r="M69" s="652"/>
      <c r="O69" s="1051" t="s">
        <v>959</v>
      </c>
      <c r="P69" s="1055" t="s">
        <v>2205</v>
      </c>
      <c r="Q69" s="1052">
        <f>J35</f>
        <v>0.06</v>
      </c>
      <c r="R69" s="1050"/>
    </row>
    <row r="70" spans="1:18" ht="15.75" thickBot="1">
      <c r="A70" s="237"/>
      <c r="B70" s="238"/>
      <c r="C70" s="239"/>
      <c r="D70" s="269" t="s">
        <v>2128</v>
      </c>
      <c r="E70" s="235" t="s">
        <v>2100</v>
      </c>
      <c r="F70" s="270">
        <f>F41</f>
        <v>26.5</v>
      </c>
      <c r="H70" s="652"/>
      <c r="I70" s="652"/>
      <c r="J70" s="652"/>
      <c r="K70" s="652"/>
      <c r="L70" s="652"/>
      <c r="M70" s="652"/>
      <c r="O70" s="1051" t="s">
        <v>953</v>
      </c>
      <c r="P70" s="1048" t="s">
        <v>2176</v>
      </c>
      <c r="Q70" s="1052">
        <f>L53</f>
        <v>0</v>
      </c>
      <c r="R70" s="1050"/>
    </row>
    <row r="71" spans="1:18" ht="20.25" thickBot="1">
      <c r="A71" s="241"/>
      <c r="B71" s="242"/>
      <c r="C71" s="243"/>
      <c r="D71" s="264"/>
      <c r="E71" s="235" t="s">
        <v>2104</v>
      </c>
      <c r="F71" s="1036"/>
      <c r="H71" s="652"/>
      <c r="M71" s="652"/>
      <c r="O71" s="1051" t="s">
        <v>954</v>
      </c>
      <c r="P71" s="1048" t="s">
        <v>2179</v>
      </c>
      <c r="Q71" s="1049" t="e">
        <f>L59</f>
        <v>#DIV/0!</v>
      </c>
      <c r="R71" s="1050" t="s">
        <v>2180</v>
      </c>
    </row>
    <row r="72" spans="1:18" ht="15.75" thickBot="1">
      <c r="A72" s="271" t="s">
        <v>24</v>
      </c>
      <c r="B72" s="272" t="s">
        <v>2129</v>
      </c>
      <c r="C72" s="273">
        <f ca="1">ROUND(C69/F72,0)</f>
        <v>-9681</v>
      </c>
      <c r="D72" s="274" t="s">
        <v>2130</v>
      </c>
      <c r="E72" s="275" t="s">
        <v>2131</v>
      </c>
      <c r="F72" s="276">
        <f>F43</f>
        <v>1088.48</v>
      </c>
      <c r="O72" s="1051" t="s">
        <v>960</v>
      </c>
      <c r="P72" s="1048" t="str">
        <f>K60</f>
        <v>建筑物剩余耐用年限下的土地年期修正系数Kn</v>
      </c>
      <c r="Q72" s="1049" t="e">
        <f>L60</f>
        <v>#DIV/0!</v>
      </c>
      <c r="R72" s="1050" t="s">
        <v>2183</v>
      </c>
    </row>
    <row r="73" spans="1:18" ht="15.75" thickBot="1">
      <c r="A73" s="652"/>
      <c r="B73" s="656"/>
      <c r="C73" s="656"/>
      <c r="D73" s="652"/>
      <c r="E73" s="652"/>
      <c r="F73" s="652"/>
      <c r="O73" s="1047" t="s">
        <v>955</v>
      </c>
      <c r="P73" s="1048" t="str">
        <f>IF(C2="元","收益价值(元)","收益价值(万元)")</f>
        <v>收益价值(元)</v>
      </c>
      <c r="Q73" s="1049">
        <f ca="1">ROUND(IF(C2="元",Q63+Q64,(Q63+Q64)/10000),0)</f>
        <v>-2958786</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5" type="noConversion"/>
  <conditionalFormatting sqref="K56">
    <cfRule type="expression" dxfId="225" priority="6">
      <formula>$L$49&gt;$J$52</formula>
    </cfRule>
  </conditionalFormatting>
  <conditionalFormatting sqref="I56">
    <cfRule type="expression" dxfId="224" priority="7">
      <formula>$J$52&gt;$L$49</formula>
    </cfRule>
  </conditionalFormatting>
  <conditionalFormatting sqref="I61">
    <cfRule type="expression" dxfId="223" priority="5">
      <formula>$J$52&gt;$L$49</formula>
    </cfRule>
  </conditionalFormatting>
  <conditionalFormatting sqref="K61">
    <cfRule type="expression" dxfId="222" priority="4">
      <formula>$L$49&gt;$J$52</formula>
    </cfRule>
  </conditionalFormatting>
  <conditionalFormatting sqref="C11">
    <cfRule type="expression" dxfId="221" priority="3">
      <formula>$F$10="自定义"</formula>
    </cfRule>
  </conditionalFormatting>
  <conditionalFormatting sqref="J11">
    <cfRule type="expression" dxfId="220" priority="2">
      <formula>$M$10="自定义"</formula>
    </cfRule>
  </conditionalFormatting>
  <conditionalFormatting sqref="C55">
    <cfRule type="expression" dxfId="219" priority="1">
      <formula>$F$54="自定义"</formula>
    </cfRule>
  </conditionalFormatting>
  <dataValidations count="10">
    <dataValidation type="list" allowBlank="1" showInputMessage="1" showErrorMessage="1" sqref="K19" xr:uid="{00000000-0002-0000-1000-000000000000}">
      <formula1>"按租金收入计税,按房产原值计税"</formula1>
    </dataValidation>
    <dataValidation type="list" allowBlank="1" showInputMessage="1" showErrorMessage="1" sqref="D33 D62" xr:uid="{00000000-0002-0000-1000-000001000000}">
      <formula1>"按租金收入计税,按房产原值计税,按票据"</formula1>
    </dataValidation>
    <dataValidation type="list" allowBlank="1" showInputMessage="1" showErrorMessage="1" sqref="D1" xr:uid="{00000000-0002-0000-1000-000002000000}">
      <formula1>"估价对象,仅计算典型户型"</formula1>
    </dataValidation>
    <dataValidation type="list" allowBlank="1" showInputMessage="1" showErrorMessage="1" sqref="J57" xr:uid="{00000000-0002-0000-1000-000003000000}">
      <formula1>判定</formula1>
    </dataValidation>
    <dataValidation type="list" allowBlank="1" showInputMessage="1" showErrorMessage="1" sqref="J49" xr:uid="{00000000-0002-0000-1000-000004000000}">
      <formula1>"非生产用房,生产用房,受腐蚀的生产用房"</formula1>
    </dataValidation>
    <dataValidation type="list" allowBlank="1" showInputMessage="1" showErrorMessage="1" sqref="J48" xr:uid="{00000000-0002-0000-1000-000005000000}">
      <formula1>"钢,钢混,砖混"</formula1>
    </dataValidation>
    <dataValidation type="list" allowBlank="1" showInputMessage="1" showErrorMessage="1" sqref="L56" xr:uid="{00000000-0002-0000-1000-000006000000}">
      <formula1>"比较法,基准地价,收益还原"</formula1>
    </dataValidation>
    <dataValidation type="list" allowBlank="1" showInputMessage="1" showErrorMessage="1" sqref="F10 M10 F54" xr:uid="{00000000-0002-0000-1000-000007000000}">
      <formula1>"押一,押二,押三,自定义"</formula1>
    </dataValidation>
    <dataValidation type="list" allowBlank="1" showInputMessage="1" showErrorMessage="1" sqref="E41" xr:uid="{00000000-0002-0000-1000-000008000000}">
      <formula1>"收益年期(n),设定收益年期(n)"</formula1>
    </dataValidation>
    <dataValidation type="list" allowBlank="1" showInputMessage="1" showErrorMessage="1" sqref="E1" xr:uid="{00000000-0002-0000-1000-000009000000}">
      <formula1>"在建（套用方法）,土地（套用方法）,——"</formula1>
    </dataValidation>
  </dataValidations>
  <pageMargins left="0.7" right="0.7" top="0.75" bottom="0.75" header="0.3" footer="0.3"/>
  <pageSetup paperSize="9" scale="72" fitToHeight="0" orientation="portrait" r:id="rId1"/>
  <colBreaks count="2" manualBreakCount="2">
    <brk id="6" max="1048575" man="1"/>
    <brk id="13" max="1048575" man="1"/>
  </col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1">
    <tabColor rgb="FF92D050"/>
  </sheetPr>
  <dimension ref="A1:I38"/>
  <sheetViews>
    <sheetView view="pageBreakPreview" zoomScale="80" zoomScaleSheetLayoutView="80" workbookViewId="0">
      <selection activeCell="P39" sqref="P39"/>
    </sheetView>
  </sheetViews>
  <sheetFormatPr defaultColWidth="8.875" defaultRowHeight="14.25"/>
  <cols>
    <col min="1" max="1" width="10.5" customWidth="1"/>
    <col min="2" max="2" width="12.875" customWidth="1"/>
    <col min="3" max="3" width="8.625" customWidth="1"/>
    <col min="4" max="4" width="9" bestFit="1" customWidth="1"/>
    <col min="5" max="5" width="9.875" bestFit="1" customWidth="1"/>
    <col min="8" max="9" width="9" bestFit="1" customWidth="1"/>
  </cols>
  <sheetData>
    <row r="1" spans="1:9">
      <c r="A1" s="4471" t="s">
        <v>1013</v>
      </c>
      <c r="B1" s="4472"/>
      <c r="C1" s="4473"/>
      <c r="D1" s="4474">
        <f>SUM(I10,I15,I20,I21,I23)</f>
        <v>0</v>
      </c>
      <c r="E1" s="4474"/>
      <c r="F1" s="4474"/>
      <c r="G1" s="4474"/>
      <c r="H1" s="4474"/>
      <c r="I1" s="4475"/>
    </row>
    <row r="2" spans="1:9">
      <c r="A2" s="4461" t="s">
        <v>1014</v>
      </c>
      <c r="B2" s="4462" t="s">
        <v>963</v>
      </c>
      <c r="C2" s="4462"/>
      <c r="D2" s="1062" t="s">
        <v>964</v>
      </c>
      <c r="E2" s="1062" t="s">
        <v>965</v>
      </c>
      <c r="F2" s="1062" t="s">
        <v>966</v>
      </c>
      <c r="G2" s="1062" t="s">
        <v>967</v>
      </c>
      <c r="H2" s="1062" t="s">
        <v>968</v>
      </c>
      <c r="I2" s="1063" t="s">
        <v>969</v>
      </c>
    </row>
    <row r="3" spans="1:9">
      <c r="A3" s="4461"/>
      <c r="B3" s="4462" t="s">
        <v>970</v>
      </c>
      <c r="C3" s="4462"/>
      <c r="D3" s="1064"/>
      <c r="E3" s="1062"/>
      <c r="F3" s="1065"/>
      <c r="G3" s="1065"/>
      <c r="H3" s="1066"/>
      <c r="I3" s="1067">
        <f>ROUND(D3*E3*F3*G3*H3/10000,0)</f>
        <v>0</v>
      </c>
    </row>
    <row r="4" spans="1:9">
      <c r="A4" s="4461"/>
      <c r="B4" s="4462" t="s">
        <v>971</v>
      </c>
      <c r="C4" s="4462"/>
      <c r="D4" s="1064"/>
      <c r="E4" s="1062"/>
      <c r="F4" s="1065"/>
      <c r="G4" s="1065"/>
      <c r="H4" s="1066"/>
      <c r="I4" s="1067">
        <f t="shared" ref="I4:I9" si="0">ROUND(D4*E4*F4*G4*H4/10000,0)</f>
        <v>0</v>
      </c>
    </row>
    <row r="5" spans="1:9">
      <c r="A5" s="4461"/>
      <c r="B5" s="4462" t="s">
        <v>972</v>
      </c>
      <c r="C5" s="4462"/>
      <c r="D5" s="1064"/>
      <c r="E5" s="1062"/>
      <c r="F5" s="1065"/>
      <c r="G5" s="1065"/>
      <c r="H5" s="1066"/>
      <c r="I5" s="1067">
        <f t="shared" si="0"/>
        <v>0</v>
      </c>
    </row>
    <row r="6" spans="1:9">
      <c r="A6" s="4461"/>
      <c r="B6" s="4462" t="s">
        <v>973</v>
      </c>
      <c r="C6" s="4462"/>
      <c r="D6" s="1064"/>
      <c r="E6" s="1062"/>
      <c r="F6" s="1065"/>
      <c r="G6" s="1065"/>
      <c r="H6" s="1066"/>
      <c r="I6" s="1067">
        <f t="shared" si="0"/>
        <v>0</v>
      </c>
    </row>
    <row r="7" spans="1:9">
      <c r="A7" s="4461"/>
      <c r="B7" s="4462" t="s">
        <v>974</v>
      </c>
      <c r="C7" s="4462"/>
      <c r="D7" s="1064"/>
      <c r="E7" s="1062"/>
      <c r="F7" s="1065"/>
      <c r="G7" s="1065"/>
      <c r="H7" s="1066"/>
      <c r="I7" s="1067">
        <f t="shared" si="0"/>
        <v>0</v>
      </c>
    </row>
    <row r="8" spans="1:9">
      <c r="A8" s="4461"/>
      <c r="B8" s="4462" t="s">
        <v>975</v>
      </c>
      <c r="C8" s="4462"/>
      <c r="D8" s="1064"/>
      <c r="E8" s="1062"/>
      <c r="F8" s="1065"/>
      <c r="G8" s="1065"/>
      <c r="H8" s="1066"/>
      <c r="I8" s="1067">
        <f t="shared" si="0"/>
        <v>0</v>
      </c>
    </row>
    <row r="9" spans="1:9">
      <c r="A9" s="4461"/>
      <c r="B9" s="4462" t="s">
        <v>976</v>
      </c>
      <c r="C9" s="4462"/>
      <c r="D9" s="1064"/>
      <c r="E9" s="1062"/>
      <c r="F9" s="1065"/>
      <c r="G9" s="1065"/>
      <c r="H9" s="1066"/>
      <c r="I9" s="1067">
        <f t="shared" si="0"/>
        <v>0</v>
      </c>
    </row>
    <row r="10" spans="1:9">
      <c r="A10" s="4461"/>
      <c r="B10" s="4463" t="s">
        <v>977</v>
      </c>
      <c r="C10" s="4463"/>
      <c r="D10" s="1068">
        <v>527</v>
      </c>
      <c r="E10" s="1068" t="e">
        <f>ROUND(D1*10000/D10/H9,0)</f>
        <v>#DIV/0!</v>
      </c>
      <c r="F10" s="1069"/>
      <c r="G10" s="1069"/>
      <c r="H10" s="1070"/>
      <c r="I10" s="1071">
        <f>SUM(I3:I9)</f>
        <v>0</v>
      </c>
    </row>
    <row r="11" spans="1:9">
      <c r="A11" s="4461" t="s">
        <v>1015</v>
      </c>
      <c r="B11" s="4462" t="s">
        <v>978</v>
      </c>
      <c r="C11" s="4462"/>
      <c r="D11" s="1064" t="s">
        <v>979</v>
      </c>
      <c r="E11" s="1064" t="s">
        <v>980</v>
      </c>
      <c r="F11" s="1065" t="s">
        <v>981</v>
      </c>
      <c r="G11" s="1065" t="s">
        <v>968</v>
      </c>
      <c r="H11" s="1072" t="s">
        <v>982</v>
      </c>
      <c r="I11" s="1063" t="s">
        <v>969</v>
      </c>
    </row>
    <row r="12" spans="1:9">
      <c r="A12" s="4461"/>
      <c r="B12" s="4462" t="s">
        <v>983</v>
      </c>
      <c r="C12" s="4462"/>
      <c r="D12" s="1064"/>
      <c r="E12" s="1064"/>
      <c r="F12" s="1065"/>
      <c r="G12" s="1066"/>
      <c r="H12" s="1073"/>
      <c r="I12" s="1063">
        <f>ROUND(D12*E12*F12*G12/10000,0)</f>
        <v>0</v>
      </c>
    </row>
    <row r="13" spans="1:9">
      <c r="A13" s="4461"/>
      <c r="B13" s="4462" t="s">
        <v>984</v>
      </c>
      <c r="C13" s="4462"/>
      <c r="D13" s="1064"/>
      <c r="E13" s="1064"/>
      <c r="F13" s="1065"/>
      <c r="G13" s="1066"/>
      <c r="H13" s="1073"/>
      <c r="I13" s="1063">
        <f>ROUND(D13*E13*F13*G13/10000,0)</f>
        <v>0</v>
      </c>
    </row>
    <row r="14" spans="1:9">
      <c r="A14" s="4461"/>
      <c r="B14" s="4462" t="s">
        <v>985</v>
      </c>
      <c r="C14" s="4462"/>
      <c r="D14" s="1064"/>
      <c r="E14" s="1064"/>
      <c r="F14" s="1065"/>
      <c r="G14" s="1066"/>
      <c r="H14" s="1073"/>
      <c r="I14" s="1063">
        <f>ROUND(D14*E14*F14*G14/10000,0)</f>
        <v>0</v>
      </c>
    </row>
    <row r="15" spans="1:9">
      <c r="A15" s="4461"/>
      <c r="B15" s="4463" t="s">
        <v>977</v>
      </c>
      <c r="C15" s="4463"/>
      <c r="D15" s="1068"/>
      <c r="E15" s="1068">
        <f>SUM(E12:E14)</f>
        <v>0</v>
      </c>
      <c r="F15" s="1069"/>
      <c r="G15" s="1066"/>
      <c r="H15" s="1073"/>
      <c r="I15" s="1074">
        <f>SUM(I12:I14)</f>
        <v>0</v>
      </c>
    </row>
    <row r="16" spans="1:9" ht="24">
      <c r="A16" s="4461" t="s">
        <v>1016</v>
      </c>
      <c r="B16" s="4462" t="s">
        <v>986</v>
      </c>
      <c r="C16" s="4462"/>
      <c r="D16" s="1064" t="s">
        <v>964</v>
      </c>
      <c r="E16" s="1075" t="s">
        <v>987</v>
      </c>
      <c r="F16" s="1065" t="s">
        <v>988</v>
      </c>
      <c r="G16" s="1066" t="s">
        <v>968</v>
      </c>
      <c r="H16" s="1072" t="s">
        <v>982</v>
      </c>
      <c r="I16" s="1063" t="s">
        <v>969</v>
      </c>
    </row>
    <row r="17" spans="1:9">
      <c r="A17" s="4461"/>
      <c r="B17" s="4462" t="s">
        <v>989</v>
      </c>
      <c r="C17" s="4462"/>
      <c r="D17" s="1064"/>
      <c r="E17" s="1064"/>
      <c r="F17" s="1065"/>
      <c r="G17" s="1066"/>
      <c r="H17" s="1076"/>
      <c r="I17" s="1077">
        <f>ROUND(D17*E17*F17*G17/10000,0)</f>
        <v>0</v>
      </c>
    </row>
    <row r="18" spans="1:9">
      <c r="A18" s="4461"/>
      <c r="B18" s="4462" t="s">
        <v>990</v>
      </c>
      <c r="C18" s="4462"/>
      <c r="D18" s="1064"/>
      <c r="E18" s="1064"/>
      <c r="F18" s="1065"/>
      <c r="G18" s="1066"/>
      <c r="H18" s="1076"/>
      <c r="I18" s="1077">
        <f>ROUND(D18*E18*F18*G18/10000,0)</f>
        <v>0</v>
      </c>
    </row>
    <row r="19" spans="1:9">
      <c r="A19" s="4461"/>
      <c r="B19" s="4462" t="s">
        <v>991</v>
      </c>
      <c r="C19" s="4462"/>
      <c r="D19" s="1064"/>
      <c r="E19" s="1064"/>
      <c r="F19" s="1065"/>
      <c r="G19" s="1066"/>
      <c r="H19" s="1076"/>
      <c r="I19" s="1077">
        <f>ROUND(D19*E19*F19*G19/10000,0)</f>
        <v>0</v>
      </c>
    </row>
    <row r="20" spans="1:9">
      <c r="A20" s="4461"/>
      <c r="B20" s="4463" t="s">
        <v>977</v>
      </c>
      <c r="C20" s="4463"/>
      <c r="D20" s="1068">
        <f>SUM(D17:D19)</f>
        <v>0</v>
      </c>
      <c r="E20" s="1068"/>
      <c r="F20" s="1069"/>
      <c r="G20" s="1066"/>
      <c r="H20" s="1073"/>
      <c r="I20" s="1074">
        <f>SUM(I17:I19)</f>
        <v>0</v>
      </c>
    </row>
    <row r="21" spans="1:9">
      <c r="A21" s="4461" t="s">
        <v>1017</v>
      </c>
      <c r="B21" s="4464"/>
      <c r="C21" s="4464"/>
      <c r="D21" s="4464"/>
      <c r="E21" s="4464"/>
      <c r="F21" s="4464"/>
      <c r="G21" s="4464"/>
      <c r="H21" s="1078">
        <v>0.1</v>
      </c>
      <c r="I21" s="1071">
        <f>ROUND(I10*H21,0)</f>
        <v>0</v>
      </c>
    </row>
    <row r="22" spans="1:9">
      <c r="A22" s="4465" t="s">
        <v>1018</v>
      </c>
      <c r="B22" s="4466"/>
      <c r="C22" s="4467"/>
      <c r="D22" s="1079" t="s">
        <v>992</v>
      </c>
      <c r="E22" s="1079" t="s">
        <v>993</v>
      </c>
      <c r="F22" s="1080" t="s">
        <v>968</v>
      </c>
      <c r="G22" s="1080" t="s">
        <v>994</v>
      </c>
      <c r="H22" s="1072" t="s">
        <v>982</v>
      </c>
      <c r="I22" s="1063" t="s">
        <v>969</v>
      </c>
    </row>
    <row r="23" spans="1:9" ht="15" thickBot="1">
      <c r="A23" s="4468"/>
      <c r="B23" s="4469"/>
      <c r="C23" s="4470"/>
      <c r="D23" s="1081"/>
      <c r="E23" s="1081"/>
      <c r="F23" s="1081"/>
      <c r="G23" s="1082"/>
      <c r="H23" s="1083"/>
      <c r="I23" s="1084">
        <f>ROUND(E23*D23*F23*(1-G23)/10000,0)</f>
        <v>0</v>
      </c>
    </row>
    <row r="26" spans="1:9">
      <c r="A26" s="1085" t="s">
        <v>995</v>
      </c>
      <c r="B26" s="1085"/>
      <c r="C26" s="1085"/>
      <c r="D26" s="1085"/>
      <c r="E26" s="4458">
        <f>C27-C30-C31-C32</f>
        <v>0</v>
      </c>
      <c r="F26" s="4458"/>
      <c r="G26" s="4458"/>
      <c r="H26" s="1304" t="s">
        <v>1206</v>
      </c>
    </row>
    <row r="27" spans="1:9">
      <c r="A27" s="1086">
        <v>1</v>
      </c>
      <c r="B27" s="1087" t="s">
        <v>996</v>
      </c>
      <c r="C27" s="1087">
        <f>C28+C29</f>
        <v>0</v>
      </c>
      <c r="D27" s="1087"/>
      <c r="E27" s="4459"/>
      <c r="F27" s="4459"/>
      <c r="G27" s="4459"/>
    </row>
    <row r="28" spans="1:9">
      <c r="A28" s="1088" t="s">
        <v>997</v>
      </c>
      <c r="B28" s="1087" t="s">
        <v>998</v>
      </c>
      <c r="C28" s="1087"/>
      <c r="D28" s="1087"/>
      <c r="E28" s="4459"/>
      <c r="F28" s="4459"/>
      <c r="G28" s="4459"/>
    </row>
    <row r="29" spans="1:9">
      <c r="A29" s="1088" t="s">
        <v>999</v>
      </c>
      <c r="B29" s="1087" t="s">
        <v>1000</v>
      </c>
      <c r="C29" s="1087"/>
      <c r="D29" s="1087"/>
      <c r="E29" s="1087" t="s">
        <v>1001</v>
      </c>
      <c r="F29" s="1087"/>
      <c r="G29" s="1087"/>
    </row>
    <row r="30" spans="1:9">
      <c r="A30" s="1086">
        <v>2</v>
      </c>
      <c r="B30" s="1087" t="s">
        <v>1002</v>
      </c>
      <c r="C30" s="1087">
        <f>C27*D30</f>
        <v>0</v>
      </c>
      <c r="D30" s="1089">
        <v>0.2</v>
      </c>
      <c r="E30" s="1087" t="s">
        <v>1003</v>
      </c>
      <c r="F30" s="1087"/>
      <c r="G30" s="1087"/>
    </row>
    <row r="31" spans="1:9">
      <c r="A31" s="1086">
        <v>3</v>
      </c>
      <c r="B31" s="1087" t="s">
        <v>1004</v>
      </c>
      <c r="C31" s="1087">
        <f>C27*D31</f>
        <v>0</v>
      </c>
      <c r="D31" s="1089">
        <v>0.15</v>
      </c>
      <c r="E31" s="1087" t="s">
        <v>1005</v>
      </c>
      <c r="F31" s="1087"/>
      <c r="G31" s="1087"/>
    </row>
    <row r="32" spans="1:9">
      <c r="A32" s="1086">
        <v>4</v>
      </c>
      <c r="B32" s="1087" t="s">
        <v>1006</v>
      </c>
      <c r="C32" s="1087">
        <f>C27*D32</f>
        <v>0</v>
      </c>
      <c r="D32" s="1089">
        <v>0.05</v>
      </c>
      <c r="E32" s="4460"/>
      <c r="F32" s="4460"/>
      <c r="G32" s="4460"/>
    </row>
    <row r="33" spans="1:7" hidden="1">
      <c r="A33" s="4455" t="s">
        <v>1007</v>
      </c>
      <c r="B33" s="4456"/>
      <c r="C33" s="4456"/>
      <c r="D33" s="4457"/>
      <c r="E33" s="4458"/>
      <c r="F33" s="4458"/>
      <c r="G33" s="4458"/>
    </row>
    <row r="34" spans="1:7" hidden="1">
      <c r="A34" s="1090">
        <v>1</v>
      </c>
      <c r="B34" s="1087" t="s">
        <v>1008</v>
      </c>
      <c r="C34" s="1087"/>
      <c r="D34" s="1087"/>
      <c r="E34" s="4459"/>
      <c r="F34" s="4459"/>
      <c r="G34" s="4459"/>
    </row>
    <row r="35" spans="1:7" hidden="1">
      <c r="A35" s="1090">
        <v>2</v>
      </c>
      <c r="B35" s="1087" t="s">
        <v>1009</v>
      </c>
      <c r="C35" s="1087"/>
      <c r="D35" s="1087"/>
      <c r="E35" s="4459"/>
      <c r="F35" s="4459"/>
      <c r="G35" s="4459"/>
    </row>
    <row r="36" spans="1:7" hidden="1">
      <c r="A36" s="1090">
        <v>3</v>
      </c>
      <c r="B36" s="1087" t="s">
        <v>1010</v>
      </c>
      <c r="C36" s="1087"/>
      <c r="D36" s="1087"/>
      <c r="E36" s="4459"/>
      <c r="F36" s="4459"/>
      <c r="G36" s="4459"/>
    </row>
    <row r="37" spans="1:7" hidden="1">
      <c r="A37" s="1090">
        <v>4</v>
      </c>
      <c r="B37" s="1087" t="s">
        <v>1011</v>
      </c>
      <c r="C37" s="1087"/>
      <c r="D37" s="1087"/>
      <c r="E37" s="4459"/>
      <c r="F37" s="4459"/>
      <c r="G37" s="4459"/>
    </row>
    <row r="38" spans="1:7" hidden="1">
      <c r="A38" s="4455" t="s">
        <v>1012</v>
      </c>
      <c r="B38" s="4456"/>
      <c r="C38" s="4456"/>
      <c r="D38" s="4457"/>
      <c r="E38" s="4458"/>
      <c r="F38" s="4458"/>
      <c r="G38" s="445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7"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1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2206</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2207</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2208</v>
      </c>
      <c r="B3" s="250" t="e">
        <f>B24</f>
        <v>#DIV/0!</v>
      </c>
      <c r="C3" s="902" t="s">
        <v>2209</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2210</v>
      </c>
      <c r="C4" s="4479" t="s">
        <v>2211</v>
      </c>
      <c r="D4" s="4480"/>
      <c r="E4" s="4480"/>
      <c r="F4" s="4480"/>
      <c r="G4" s="4480"/>
      <c r="H4" s="4480"/>
      <c r="I4" s="4480"/>
      <c r="J4" s="4480"/>
      <c r="K4" s="4480"/>
      <c r="L4" s="4480"/>
      <c r="M4" s="4480"/>
      <c r="N4" s="4480"/>
      <c r="O4" s="4480"/>
      <c r="P4" s="4480"/>
      <c r="Q4" s="4480"/>
      <c r="R4" s="4480"/>
      <c r="S4" s="4481"/>
      <c r="T4" s="575" t="s">
        <v>2212</v>
      </c>
      <c r="U4" s="999"/>
      <c r="V4" s="999"/>
      <c r="X4" s="999"/>
      <c r="Y4" s="999"/>
    </row>
    <row r="5" spans="1:44" s="587" customFormat="1">
      <c r="A5" s="1003"/>
      <c r="B5" s="583" t="s">
        <v>2213</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2214</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2215</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2216</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2217</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2218</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2219</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2" t="s">
        <v>2220</v>
      </c>
      <c r="B20" s="1553" t="s">
        <v>2221</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54" t="s">
        <v>2222</v>
      </c>
      <c r="G22" s="1324"/>
      <c r="H22" s="1324"/>
      <c r="I22" s="1324"/>
      <c r="J22" s="1325"/>
      <c r="K22" s="37"/>
      <c r="L22" s="37"/>
      <c r="M22" s="37"/>
      <c r="N22" s="37"/>
      <c r="O22" s="37"/>
      <c r="P22" s="37"/>
      <c r="Q22" s="37"/>
      <c r="R22" s="645"/>
      <c r="S22" s="31"/>
      <c r="T22" s="31"/>
      <c r="U22" s="999"/>
      <c r="V22" s="1000"/>
      <c r="W22" s="662"/>
      <c r="X22" s="662"/>
      <c r="Y22" s="662"/>
      <c r="Z22" s="662"/>
    </row>
    <row r="23" spans="1:45" ht="16.5" thickBot="1">
      <c r="A23" s="81" t="s">
        <v>2223</v>
      </c>
      <c r="B23" s="224">
        <f>IF(F23="——",IF(C23="万元",T25,S25),IF(C23="万元",T25-H23,S25-H23))</f>
        <v>0</v>
      </c>
      <c r="C23" s="1555" t="str">
        <f>'数据-取费表'!B3</f>
        <v>元</v>
      </c>
      <c r="D23" s="37"/>
      <c r="E23" s="37"/>
      <c r="F23" s="1556" t="s">
        <v>1240</v>
      </c>
      <c r="G23" s="1326"/>
      <c r="H23" s="575" t="e">
        <f ca="1">SUMIF(INDIRECT("'"&amp;J23&amp;"'"&amp;"!A:A"),"承租人权益价值",INDIRECT("'"&amp;J23&amp;"'"&amp;"!c:c"))</f>
        <v>#REF!</v>
      </c>
      <c r="I23" s="575" t="str">
        <f>C2</f>
        <v>元</v>
      </c>
      <c r="J23" s="1557"/>
      <c r="K23" s="37"/>
      <c r="L23" s="37"/>
      <c r="M23" s="37"/>
      <c r="N23" s="37"/>
      <c r="O23" s="37"/>
      <c r="P23" s="37"/>
      <c r="Q23" s="37"/>
      <c r="R23" s="645"/>
      <c r="S23" s="31"/>
      <c r="T23" s="31"/>
      <c r="U23" s="999"/>
      <c r="V23" s="1000"/>
      <c r="W23" s="662"/>
      <c r="X23" s="662"/>
      <c r="Y23" s="662"/>
      <c r="Z23" s="662"/>
    </row>
    <row r="24" spans="1:45" ht="15.75">
      <c r="A24" s="1555" t="s">
        <v>2224</v>
      </c>
      <c r="B24" s="224" t="e">
        <f>ROUND(B23*10000/B25,0)</f>
        <v>#DIV/0!</v>
      </c>
      <c r="C24" s="864"/>
      <c r="D24" s="37"/>
      <c r="E24" s="37"/>
      <c r="F24" s="37"/>
      <c r="G24" s="37"/>
      <c r="H24" s="37"/>
      <c r="I24" s="37"/>
      <c r="J24" s="37"/>
      <c r="K24" s="37"/>
      <c r="L24" s="37"/>
      <c r="M24" s="37"/>
      <c r="N24" s="37"/>
      <c r="O24" s="37"/>
      <c r="P24" s="37"/>
      <c r="Q24" s="37"/>
      <c r="R24" s="645"/>
      <c r="S24" s="13" t="s">
        <v>2225</v>
      </c>
      <c r="T24" s="1332" t="s">
        <v>2226</v>
      </c>
      <c r="U24" s="2244" t="s">
        <v>2227</v>
      </c>
      <c r="V24" s="2986"/>
      <c r="W24" s="2987" t="s">
        <v>2228</v>
      </c>
      <c r="X24" s="2244" t="s">
        <v>2229</v>
      </c>
      <c r="Y24" s="2986"/>
      <c r="Z24" s="2988" t="s">
        <v>2228</v>
      </c>
    </row>
    <row r="25" spans="1:45">
      <c r="A25" s="250" t="s">
        <v>2230</v>
      </c>
      <c r="B25" s="13">
        <f>SUM(B27:B10000)</f>
        <v>0</v>
      </c>
      <c r="C25" s="4476" t="s">
        <v>45</v>
      </c>
      <c r="D25" s="4477"/>
      <c r="E25" s="4477"/>
      <c r="F25" s="4477"/>
      <c r="G25" s="4477"/>
      <c r="H25" s="4477"/>
      <c r="I25" s="4477"/>
      <c r="J25" s="4477"/>
      <c r="K25" s="4477"/>
      <c r="L25" s="4477"/>
      <c r="M25" s="4477"/>
      <c r="N25" s="4477"/>
      <c r="O25" s="4477"/>
      <c r="P25" s="4477"/>
      <c r="Q25" s="4478"/>
      <c r="R25" s="597" t="e">
        <f>IF(C23="万元",ROUND(T25*10000/B25,0),ROUND(S25/B25,0))</f>
        <v>#DIV/0!</v>
      </c>
      <c r="S25" s="13">
        <f>SUM(S27:S10000)</f>
        <v>0</v>
      </c>
      <c r="T25" s="13">
        <f>SUM(T27:T10000)</f>
        <v>0</v>
      </c>
      <c r="U25" s="17">
        <f>SUM(U27:U10000)</f>
        <v>0</v>
      </c>
      <c r="V25" s="17">
        <f>SUM(V27:V10000)</f>
        <v>0</v>
      </c>
      <c r="W25" s="2990"/>
      <c r="X25" s="17">
        <f>SUM(X27:X10000)</f>
        <v>0</v>
      </c>
      <c r="Y25" s="17">
        <f>SUM(Y27:Y10000)</f>
        <v>0</v>
      </c>
      <c r="Z25" s="1558"/>
    </row>
    <row r="26" spans="1:45" s="11" customFormat="1" ht="24">
      <c r="A26" s="10" t="s">
        <v>2231</v>
      </c>
      <c r="B26" s="10" t="s">
        <v>2232</v>
      </c>
      <c r="C26" s="10" t="s">
        <v>2233</v>
      </c>
      <c r="D26" s="10" t="str">
        <f>B8</f>
        <v>修正项2</v>
      </c>
      <c r="E26" s="10" t="s">
        <v>2233</v>
      </c>
      <c r="F26" s="10" t="str">
        <f>B10</f>
        <v>修正项3</v>
      </c>
      <c r="G26" s="10" t="s">
        <v>2233</v>
      </c>
      <c r="H26" s="10" t="str">
        <f>B12</f>
        <v>修正项4</v>
      </c>
      <c r="I26" s="10" t="s">
        <v>2233</v>
      </c>
      <c r="J26" s="10" t="str">
        <f>B14</f>
        <v>修正项5</v>
      </c>
      <c r="K26" s="10" t="s">
        <v>2233</v>
      </c>
      <c r="L26" s="10" t="str">
        <f>B16</f>
        <v>修正项6</v>
      </c>
      <c r="M26" s="10" t="s">
        <v>2233</v>
      </c>
      <c r="N26" s="10" t="str">
        <f>B18</f>
        <v>修正项7</v>
      </c>
      <c r="O26" s="10" t="s">
        <v>2233</v>
      </c>
      <c r="P26" s="10" t="str">
        <f>B20</f>
        <v>楼层</v>
      </c>
      <c r="Q26" s="10" t="s">
        <v>2233</v>
      </c>
      <c r="R26" s="598" t="s">
        <v>2234</v>
      </c>
      <c r="S26" s="10" t="s">
        <v>2235</v>
      </c>
      <c r="T26" s="10" t="s">
        <v>2235</v>
      </c>
      <c r="U26" s="684" t="s">
        <v>2236</v>
      </c>
      <c r="V26" s="684" t="s">
        <v>2237</v>
      </c>
      <c r="W26" s="10" t="s">
        <v>2238</v>
      </c>
      <c r="X26" s="684" t="s">
        <v>2236</v>
      </c>
      <c r="Y26" s="684" t="s">
        <v>2237</v>
      </c>
      <c r="Z26" s="10" t="s">
        <v>2238</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2239</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89">
        <f>ROUND(W27*B27,0)</f>
        <v>0</v>
      </c>
      <c r="V27" s="2989">
        <f>ROUND(W27*B27/10000,0)</f>
        <v>0</v>
      </c>
      <c r="W27" s="997"/>
      <c r="X27" s="2989">
        <f>ROUND(Z27*B27,0)</f>
        <v>0</v>
      </c>
      <c r="Y27" s="2989">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89">
        <f t="shared" ref="U28:U91" si="22">ROUND(W28*B28,0)</f>
        <v>0</v>
      </c>
      <c r="V28" s="2989">
        <f t="shared" ref="V28:V91" si="23">ROUND(W28*B28/10000,0)</f>
        <v>0</v>
      </c>
      <c r="W28" s="998"/>
      <c r="X28" s="2989">
        <f t="shared" ref="X28:X91" si="24">ROUND(Z28*B28,0)</f>
        <v>0</v>
      </c>
      <c r="Y28" s="2989">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89">
        <f t="shared" si="22"/>
        <v>0</v>
      </c>
      <c r="V29" s="2989">
        <f t="shared" si="23"/>
        <v>0</v>
      </c>
      <c r="W29" s="998"/>
      <c r="X29" s="2989">
        <f t="shared" si="24"/>
        <v>0</v>
      </c>
      <c r="Y29" s="2989">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89">
        <f t="shared" si="22"/>
        <v>0</v>
      </c>
      <c r="V30" s="2989">
        <f t="shared" si="23"/>
        <v>0</v>
      </c>
      <c r="W30" s="998"/>
      <c r="X30" s="2989">
        <f t="shared" si="24"/>
        <v>0</v>
      </c>
      <c r="Y30" s="2989">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89">
        <f t="shared" si="22"/>
        <v>0</v>
      </c>
      <c r="V31" s="2989">
        <f t="shared" si="23"/>
        <v>0</v>
      </c>
      <c r="W31" s="998"/>
      <c r="X31" s="2989">
        <f t="shared" si="24"/>
        <v>0</v>
      </c>
      <c r="Y31" s="2989">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89">
        <f t="shared" si="22"/>
        <v>0</v>
      </c>
      <c r="V32" s="2989">
        <f t="shared" si="23"/>
        <v>0</v>
      </c>
      <c r="W32" s="998"/>
      <c r="X32" s="2989">
        <f t="shared" si="24"/>
        <v>0</v>
      </c>
      <c r="Y32" s="2989">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89">
        <f t="shared" si="22"/>
        <v>0</v>
      </c>
      <c r="V33" s="2989">
        <f t="shared" si="23"/>
        <v>0</v>
      </c>
      <c r="W33" s="998"/>
      <c r="X33" s="2989">
        <f t="shared" si="24"/>
        <v>0</v>
      </c>
      <c r="Y33" s="2989">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89">
        <f t="shared" si="22"/>
        <v>0</v>
      </c>
      <c r="V34" s="2989">
        <f t="shared" si="23"/>
        <v>0</v>
      </c>
      <c r="W34" s="998"/>
      <c r="X34" s="2989">
        <f t="shared" si="24"/>
        <v>0</v>
      </c>
      <c r="Y34" s="2989">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89">
        <f t="shared" si="22"/>
        <v>0</v>
      </c>
      <c r="V35" s="2989">
        <f t="shared" si="23"/>
        <v>0</v>
      </c>
      <c r="W35" s="998"/>
      <c r="X35" s="2989">
        <f t="shared" si="24"/>
        <v>0</v>
      </c>
      <c r="Y35" s="2989">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89">
        <f t="shared" si="22"/>
        <v>0</v>
      </c>
      <c r="V36" s="2989">
        <f t="shared" si="23"/>
        <v>0</v>
      </c>
      <c r="W36" s="998"/>
      <c r="X36" s="2989">
        <f t="shared" si="24"/>
        <v>0</v>
      </c>
      <c r="Y36" s="2989">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89">
        <f t="shared" si="22"/>
        <v>0</v>
      </c>
      <c r="V37" s="2989">
        <f t="shared" si="23"/>
        <v>0</v>
      </c>
      <c r="W37" s="998"/>
      <c r="X37" s="2989">
        <f t="shared" si="24"/>
        <v>0</v>
      </c>
      <c r="Y37" s="2989">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89">
        <f t="shared" si="22"/>
        <v>0</v>
      </c>
      <c r="V38" s="2989">
        <f t="shared" si="23"/>
        <v>0</v>
      </c>
      <c r="W38" s="998"/>
      <c r="X38" s="2989">
        <f t="shared" si="24"/>
        <v>0</v>
      </c>
      <c r="Y38" s="2989">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89">
        <f t="shared" si="22"/>
        <v>0</v>
      </c>
      <c r="V39" s="2989">
        <f t="shared" si="23"/>
        <v>0</v>
      </c>
      <c r="W39" s="998"/>
      <c r="X39" s="2989">
        <f t="shared" si="24"/>
        <v>0</v>
      </c>
      <c r="Y39" s="2989">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89">
        <f t="shared" si="22"/>
        <v>0</v>
      </c>
      <c r="V40" s="2989">
        <f t="shared" si="23"/>
        <v>0</v>
      </c>
      <c r="W40" s="998"/>
      <c r="X40" s="2989">
        <f t="shared" si="24"/>
        <v>0</v>
      </c>
      <c r="Y40" s="2989">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89">
        <f t="shared" si="22"/>
        <v>0</v>
      </c>
      <c r="V41" s="2989">
        <f t="shared" si="23"/>
        <v>0</v>
      </c>
      <c r="W41" s="998"/>
      <c r="X41" s="2989">
        <f t="shared" si="24"/>
        <v>0</v>
      </c>
      <c r="Y41" s="2989">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89">
        <f t="shared" si="22"/>
        <v>0</v>
      </c>
      <c r="V42" s="2989">
        <f t="shared" si="23"/>
        <v>0</v>
      </c>
      <c r="W42" s="998"/>
      <c r="X42" s="2989">
        <f t="shared" si="24"/>
        <v>0</v>
      </c>
      <c r="Y42" s="2989">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89">
        <f t="shared" si="22"/>
        <v>0</v>
      </c>
      <c r="V43" s="2989">
        <f t="shared" si="23"/>
        <v>0</v>
      </c>
      <c r="W43" s="998"/>
      <c r="X43" s="2989">
        <f t="shared" si="24"/>
        <v>0</v>
      </c>
      <c r="Y43" s="2989">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89">
        <f t="shared" si="22"/>
        <v>0</v>
      </c>
      <c r="V44" s="2989">
        <f t="shared" si="23"/>
        <v>0</v>
      </c>
      <c r="W44" s="998"/>
      <c r="X44" s="2989">
        <f t="shared" si="24"/>
        <v>0</v>
      </c>
      <c r="Y44" s="2989">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89">
        <f t="shared" si="22"/>
        <v>0</v>
      </c>
      <c r="V45" s="2989">
        <f t="shared" si="23"/>
        <v>0</v>
      </c>
      <c r="W45" s="998"/>
      <c r="X45" s="2989">
        <f t="shared" si="24"/>
        <v>0</v>
      </c>
      <c r="Y45" s="2989">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89">
        <f t="shared" si="22"/>
        <v>0</v>
      </c>
      <c r="V46" s="2989">
        <f t="shared" si="23"/>
        <v>0</v>
      </c>
      <c r="W46" s="998"/>
      <c r="X46" s="2989">
        <f t="shared" si="24"/>
        <v>0</v>
      </c>
      <c r="Y46" s="2989">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89">
        <f t="shared" si="22"/>
        <v>0</v>
      </c>
      <c r="V47" s="2989">
        <f t="shared" si="23"/>
        <v>0</v>
      </c>
      <c r="W47" s="998"/>
      <c r="X47" s="2989">
        <f t="shared" si="24"/>
        <v>0</v>
      </c>
      <c r="Y47" s="2989">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89">
        <f t="shared" si="22"/>
        <v>0</v>
      </c>
      <c r="V48" s="2989">
        <f t="shared" si="23"/>
        <v>0</v>
      </c>
      <c r="W48" s="998"/>
      <c r="X48" s="2989">
        <f t="shared" si="24"/>
        <v>0</v>
      </c>
      <c r="Y48" s="2989">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89">
        <f t="shared" si="22"/>
        <v>0</v>
      </c>
      <c r="V49" s="2989">
        <f t="shared" si="23"/>
        <v>0</v>
      </c>
      <c r="W49" s="998"/>
      <c r="X49" s="2989">
        <f t="shared" si="24"/>
        <v>0</v>
      </c>
      <c r="Y49" s="2989">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89">
        <f t="shared" si="22"/>
        <v>0</v>
      </c>
      <c r="V50" s="2989">
        <f t="shared" si="23"/>
        <v>0</v>
      </c>
      <c r="W50" s="998"/>
      <c r="X50" s="2989">
        <f t="shared" si="24"/>
        <v>0</v>
      </c>
      <c r="Y50" s="2989">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89">
        <f t="shared" si="22"/>
        <v>0</v>
      </c>
      <c r="V51" s="2989">
        <f t="shared" si="23"/>
        <v>0</v>
      </c>
      <c r="W51" s="998"/>
      <c r="X51" s="2989">
        <f t="shared" si="24"/>
        <v>0</v>
      </c>
      <c r="Y51" s="2989">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89">
        <f t="shared" si="22"/>
        <v>0</v>
      </c>
      <c r="V52" s="2989">
        <f t="shared" si="23"/>
        <v>0</v>
      </c>
      <c r="W52" s="998"/>
      <c r="X52" s="2989">
        <f t="shared" si="24"/>
        <v>0</v>
      </c>
      <c r="Y52" s="2989">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89">
        <f t="shared" si="22"/>
        <v>0</v>
      </c>
      <c r="V53" s="2989">
        <f t="shared" si="23"/>
        <v>0</v>
      </c>
      <c r="W53" s="998"/>
      <c r="X53" s="2989">
        <f t="shared" si="24"/>
        <v>0</v>
      </c>
      <c r="Y53" s="2989">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89">
        <f t="shared" si="22"/>
        <v>0</v>
      </c>
      <c r="V54" s="2989">
        <f t="shared" si="23"/>
        <v>0</v>
      </c>
      <c r="W54" s="998"/>
      <c r="X54" s="2989">
        <f t="shared" si="24"/>
        <v>0</v>
      </c>
      <c r="Y54" s="2989">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89">
        <f t="shared" si="22"/>
        <v>0</v>
      </c>
      <c r="V55" s="2989">
        <f t="shared" si="23"/>
        <v>0</v>
      </c>
      <c r="W55" s="998"/>
      <c r="X55" s="2989">
        <f t="shared" si="24"/>
        <v>0</v>
      </c>
      <c r="Y55" s="2989">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89">
        <f t="shared" si="22"/>
        <v>0</v>
      </c>
      <c r="V56" s="2989">
        <f t="shared" si="23"/>
        <v>0</v>
      </c>
      <c r="W56" s="998"/>
      <c r="X56" s="2989">
        <f t="shared" si="24"/>
        <v>0</v>
      </c>
      <c r="Y56" s="2989">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89">
        <f t="shared" si="22"/>
        <v>0</v>
      </c>
      <c r="V57" s="2989">
        <f t="shared" si="23"/>
        <v>0</v>
      </c>
      <c r="W57" s="998"/>
      <c r="X57" s="2989">
        <f t="shared" si="24"/>
        <v>0</v>
      </c>
      <c r="Y57" s="2989">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89">
        <f t="shared" si="22"/>
        <v>0</v>
      </c>
      <c r="V58" s="2989">
        <f t="shared" si="23"/>
        <v>0</v>
      </c>
      <c r="W58" s="998"/>
      <c r="X58" s="2989">
        <f t="shared" si="24"/>
        <v>0</v>
      </c>
      <c r="Y58" s="2989">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89">
        <f t="shared" si="22"/>
        <v>0</v>
      </c>
      <c r="V59" s="2989">
        <f t="shared" si="23"/>
        <v>0</v>
      </c>
      <c r="W59" s="998"/>
      <c r="X59" s="2989">
        <f t="shared" si="24"/>
        <v>0</v>
      </c>
      <c r="Y59" s="2989">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89">
        <f t="shared" si="22"/>
        <v>0</v>
      </c>
      <c r="V60" s="2989">
        <f t="shared" si="23"/>
        <v>0</v>
      </c>
      <c r="W60" s="998"/>
      <c r="X60" s="2989">
        <f t="shared" si="24"/>
        <v>0</v>
      </c>
      <c r="Y60" s="2989">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89">
        <f t="shared" si="22"/>
        <v>0</v>
      </c>
      <c r="V61" s="2989">
        <f t="shared" si="23"/>
        <v>0</v>
      </c>
      <c r="W61" s="998"/>
      <c r="X61" s="2989">
        <f t="shared" si="24"/>
        <v>0</v>
      </c>
      <c r="Y61" s="2989">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89">
        <f t="shared" si="22"/>
        <v>0</v>
      </c>
      <c r="V62" s="2989">
        <f t="shared" si="23"/>
        <v>0</v>
      </c>
      <c r="W62" s="998"/>
      <c r="X62" s="2989">
        <f t="shared" si="24"/>
        <v>0</v>
      </c>
      <c r="Y62" s="2989">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89">
        <f t="shared" si="22"/>
        <v>0</v>
      </c>
      <c r="V63" s="2989">
        <f t="shared" si="23"/>
        <v>0</v>
      </c>
      <c r="W63" s="998"/>
      <c r="X63" s="2989">
        <f t="shared" si="24"/>
        <v>0</v>
      </c>
      <c r="Y63" s="2989">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89">
        <f t="shared" si="22"/>
        <v>0</v>
      </c>
      <c r="V64" s="2989">
        <f t="shared" si="23"/>
        <v>0</v>
      </c>
      <c r="W64" s="998"/>
      <c r="X64" s="2989">
        <f t="shared" si="24"/>
        <v>0</v>
      </c>
      <c r="Y64" s="2989">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89">
        <f t="shared" si="22"/>
        <v>0</v>
      </c>
      <c r="V65" s="2989">
        <f t="shared" si="23"/>
        <v>0</v>
      </c>
      <c r="W65" s="998"/>
      <c r="X65" s="2989">
        <f t="shared" si="24"/>
        <v>0</v>
      </c>
      <c r="Y65" s="2989">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89">
        <f t="shared" si="22"/>
        <v>0</v>
      </c>
      <c r="V66" s="2989">
        <f t="shared" si="23"/>
        <v>0</v>
      </c>
      <c r="W66" s="998"/>
      <c r="X66" s="2989">
        <f t="shared" si="24"/>
        <v>0</v>
      </c>
      <c r="Y66" s="2989">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89">
        <f t="shared" si="22"/>
        <v>0</v>
      </c>
      <c r="V67" s="2989">
        <f t="shared" si="23"/>
        <v>0</v>
      </c>
      <c r="W67" s="998"/>
      <c r="X67" s="2989">
        <f t="shared" si="24"/>
        <v>0</v>
      </c>
      <c r="Y67" s="2989">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89">
        <f t="shared" si="22"/>
        <v>0</v>
      </c>
      <c r="V68" s="2989">
        <f t="shared" si="23"/>
        <v>0</v>
      </c>
      <c r="W68" s="998"/>
      <c r="X68" s="2989">
        <f t="shared" si="24"/>
        <v>0</v>
      </c>
      <c r="Y68" s="2989">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89">
        <f t="shared" si="22"/>
        <v>0</v>
      </c>
      <c r="V69" s="2989">
        <f t="shared" si="23"/>
        <v>0</v>
      </c>
      <c r="W69" s="998"/>
      <c r="X69" s="2989">
        <f t="shared" si="24"/>
        <v>0</v>
      </c>
      <c r="Y69" s="2989">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89">
        <f t="shared" si="22"/>
        <v>0</v>
      </c>
      <c r="V70" s="2989">
        <f t="shared" si="23"/>
        <v>0</v>
      </c>
      <c r="W70" s="998"/>
      <c r="X70" s="2989">
        <f t="shared" si="24"/>
        <v>0</v>
      </c>
      <c r="Y70" s="2989">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89">
        <f t="shared" si="22"/>
        <v>0</v>
      </c>
      <c r="V71" s="2989">
        <f t="shared" si="23"/>
        <v>0</v>
      </c>
      <c r="W71" s="998"/>
      <c r="X71" s="2989">
        <f t="shared" si="24"/>
        <v>0</v>
      </c>
      <c r="Y71" s="2989">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89">
        <f t="shared" si="22"/>
        <v>0</v>
      </c>
      <c r="V72" s="2989">
        <f t="shared" si="23"/>
        <v>0</v>
      </c>
      <c r="W72" s="998"/>
      <c r="X72" s="2989">
        <f t="shared" si="24"/>
        <v>0</v>
      </c>
      <c r="Y72" s="2989">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89">
        <f t="shared" si="22"/>
        <v>0</v>
      </c>
      <c r="V73" s="2989">
        <f t="shared" si="23"/>
        <v>0</v>
      </c>
      <c r="W73" s="998"/>
      <c r="X73" s="2989">
        <f t="shared" si="24"/>
        <v>0</v>
      </c>
      <c r="Y73" s="2989">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89">
        <f t="shared" si="22"/>
        <v>0</v>
      </c>
      <c r="V74" s="2989">
        <f t="shared" si="23"/>
        <v>0</v>
      </c>
      <c r="W74" s="998"/>
      <c r="X74" s="2989">
        <f t="shared" si="24"/>
        <v>0</v>
      </c>
      <c r="Y74" s="2989">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89">
        <f t="shared" si="22"/>
        <v>0</v>
      </c>
      <c r="V75" s="2989">
        <f t="shared" si="23"/>
        <v>0</v>
      </c>
      <c r="W75" s="998"/>
      <c r="X75" s="2989">
        <f t="shared" si="24"/>
        <v>0</v>
      </c>
      <c r="Y75" s="2989">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89">
        <f t="shared" si="22"/>
        <v>0</v>
      </c>
      <c r="V76" s="2989">
        <f t="shared" si="23"/>
        <v>0</v>
      </c>
      <c r="W76" s="998"/>
      <c r="X76" s="2989">
        <f t="shared" si="24"/>
        <v>0</v>
      </c>
      <c r="Y76" s="2989">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89">
        <f t="shared" si="22"/>
        <v>0</v>
      </c>
      <c r="V77" s="2989">
        <f t="shared" si="23"/>
        <v>0</v>
      </c>
      <c r="W77" s="998"/>
      <c r="X77" s="2989">
        <f t="shared" si="24"/>
        <v>0</v>
      </c>
      <c r="Y77" s="2989">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89">
        <f t="shared" si="22"/>
        <v>0</v>
      </c>
      <c r="V78" s="2989">
        <f t="shared" si="23"/>
        <v>0</v>
      </c>
      <c r="W78" s="998"/>
      <c r="X78" s="2989">
        <f t="shared" si="24"/>
        <v>0</v>
      </c>
      <c r="Y78" s="2989">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89">
        <f t="shared" si="22"/>
        <v>0</v>
      </c>
      <c r="V79" s="2989">
        <f t="shared" si="23"/>
        <v>0</v>
      </c>
      <c r="W79" s="998"/>
      <c r="X79" s="2989">
        <f t="shared" si="24"/>
        <v>0</v>
      </c>
      <c r="Y79" s="2989">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89">
        <f t="shared" si="22"/>
        <v>0</v>
      </c>
      <c r="V80" s="2989">
        <f t="shared" si="23"/>
        <v>0</v>
      </c>
      <c r="W80" s="998"/>
      <c r="X80" s="2989">
        <f t="shared" si="24"/>
        <v>0</v>
      </c>
      <c r="Y80" s="2989">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89">
        <f t="shared" si="22"/>
        <v>0</v>
      </c>
      <c r="V81" s="2989">
        <f t="shared" si="23"/>
        <v>0</v>
      </c>
      <c r="W81" s="998"/>
      <c r="X81" s="2989">
        <f t="shared" si="24"/>
        <v>0</v>
      </c>
      <c r="Y81" s="2989">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89">
        <f t="shared" si="22"/>
        <v>0</v>
      </c>
      <c r="V82" s="2989">
        <f t="shared" si="23"/>
        <v>0</v>
      </c>
      <c r="W82" s="998"/>
      <c r="X82" s="2989">
        <f t="shared" si="24"/>
        <v>0</v>
      </c>
      <c r="Y82" s="2989">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89">
        <f t="shared" si="22"/>
        <v>0</v>
      </c>
      <c r="V83" s="2989">
        <f t="shared" si="23"/>
        <v>0</v>
      </c>
      <c r="W83" s="998"/>
      <c r="X83" s="2989">
        <f t="shared" si="24"/>
        <v>0</v>
      </c>
      <c r="Y83" s="2989">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89">
        <f t="shared" si="22"/>
        <v>0</v>
      </c>
      <c r="V84" s="2989">
        <f t="shared" si="23"/>
        <v>0</v>
      </c>
      <c r="W84" s="998"/>
      <c r="X84" s="2989">
        <f t="shared" si="24"/>
        <v>0</v>
      </c>
      <c r="Y84" s="2989">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89">
        <f t="shared" si="22"/>
        <v>0</v>
      </c>
      <c r="V85" s="2989">
        <f t="shared" si="23"/>
        <v>0</v>
      </c>
      <c r="W85" s="998"/>
      <c r="X85" s="2989">
        <f t="shared" si="24"/>
        <v>0</v>
      </c>
      <c r="Y85" s="2989">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89">
        <f t="shared" si="22"/>
        <v>0</v>
      </c>
      <c r="V86" s="2989">
        <f t="shared" si="23"/>
        <v>0</v>
      </c>
      <c r="W86" s="998"/>
      <c r="X86" s="2989">
        <f t="shared" si="24"/>
        <v>0</v>
      </c>
      <c r="Y86" s="2989">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89">
        <f t="shared" si="22"/>
        <v>0</v>
      </c>
      <c r="V87" s="2989">
        <f t="shared" si="23"/>
        <v>0</v>
      </c>
      <c r="W87" s="998"/>
      <c r="X87" s="2989">
        <f t="shared" si="24"/>
        <v>0</v>
      </c>
      <c r="Y87" s="2989">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89">
        <f t="shared" si="22"/>
        <v>0</v>
      </c>
      <c r="V88" s="2989">
        <f t="shared" si="23"/>
        <v>0</v>
      </c>
      <c r="W88" s="998"/>
      <c r="X88" s="2989">
        <f t="shared" si="24"/>
        <v>0</v>
      </c>
      <c r="Y88" s="2989">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89">
        <f t="shared" si="22"/>
        <v>0</v>
      </c>
      <c r="V89" s="2989">
        <f t="shared" si="23"/>
        <v>0</v>
      </c>
      <c r="W89" s="998"/>
      <c r="X89" s="2989">
        <f t="shared" si="24"/>
        <v>0</v>
      </c>
      <c r="Y89" s="2989">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89">
        <f t="shared" si="22"/>
        <v>0</v>
      </c>
      <c r="V90" s="2989">
        <f t="shared" si="23"/>
        <v>0</v>
      </c>
      <c r="W90" s="998"/>
      <c r="X90" s="2989">
        <f t="shared" si="24"/>
        <v>0</v>
      </c>
      <c r="Y90" s="2989">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89">
        <f t="shared" si="22"/>
        <v>0</v>
      </c>
      <c r="V91" s="2989">
        <f t="shared" si="23"/>
        <v>0</v>
      </c>
      <c r="W91" s="998"/>
      <c r="X91" s="2989">
        <f t="shared" si="24"/>
        <v>0</v>
      </c>
      <c r="Y91" s="2989">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89">
        <f t="shared" ref="U92:U155" si="37">ROUND(W92*B92,0)</f>
        <v>0</v>
      </c>
      <c r="V92" s="2989">
        <f t="shared" ref="V92:V155" si="38">ROUND(W92*B92/10000,0)</f>
        <v>0</v>
      </c>
      <c r="W92" s="998"/>
      <c r="X92" s="2989">
        <f t="shared" ref="X92:X155" si="39">ROUND(Z92*B92,0)</f>
        <v>0</v>
      </c>
      <c r="Y92" s="2989">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89">
        <f t="shared" si="37"/>
        <v>0</v>
      </c>
      <c r="V93" s="2989">
        <f t="shared" si="38"/>
        <v>0</v>
      </c>
      <c r="W93" s="998"/>
      <c r="X93" s="2989">
        <f t="shared" si="39"/>
        <v>0</v>
      </c>
      <c r="Y93" s="2989">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89">
        <f t="shared" si="37"/>
        <v>0</v>
      </c>
      <c r="V94" s="2989">
        <f t="shared" si="38"/>
        <v>0</v>
      </c>
      <c r="W94" s="998"/>
      <c r="X94" s="2989">
        <f t="shared" si="39"/>
        <v>0</v>
      </c>
      <c r="Y94" s="2989">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89">
        <f t="shared" si="37"/>
        <v>0</v>
      </c>
      <c r="V95" s="2989">
        <f t="shared" si="38"/>
        <v>0</v>
      </c>
      <c r="W95" s="998"/>
      <c r="X95" s="2989">
        <f t="shared" si="39"/>
        <v>0</v>
      </c>
      <c r="Y95" s="2989">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89">
        <f t="shared" si="37"/>
        <v>0</v>
      </c>
      <c r="V96" s="2989">
        <f t="shared" si="38"/>
        <v>0</v>
      </c>
      <c r="W96" s="998"/>
      <c r="X96" s="2989">
        <f t="shared" si="39"/>
        <v>0</v>
      </c>
      <c r="Y96" s="2989">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89">
        <f t="shared" si="37"/>
        <v>0</v>
      </c>
      <c r="V97" s="2989">
        <f t="shared" si="38"/>
        <v>0</v>
      </c>
      <c r="W97" s="998"/>
      <c r="X97" s="2989">
        <f t="shared" si="39"/>
        <v>0</v>
      </c>
      <c r="Y97" s="2989">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89">
        <f t="shared" si="37"/>
        <v>0</v>
      </c>
      <c r="V98" s="2989">
        <f t="shared" si="38"/>
        <v>0</v>
      </c>
      <c r="W98" s="998"/>
      <c r="X98" s="2989">
        <f t="shared" si="39"/>
        <v>0</v>
      </c>
      <c r="Y98" s="2989">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89">
        <f t="shared" si="37"/>
        <v>0</v>
      </c>
      <c r="V99" s="2989">
        <f t="shared" si="38"/>
        <v>0</v>
      </c>
      <c r="W99" s="998"/>
      <c r="X99" s="2989">
        <f t="shared" si="39"/>
        <v>0</v>
      </c>
      <c r="Y99" s="2989">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89">
        <f t="shared" si="37"/>
        <v>0</v>
      </c>
      <c r="V100" s="2989">
        <f t="shared" si="38"/>
        <v>0</v>
      </c>
      <c r="W100" s="998"/>
      <c r="X100" s="2989">
        <f t="shared" si="39"/>
        <v>0</v>
      </c>
      <c r="Y100" s="2989">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89">
        <f t="shared" si="37"/>
        <v>0</v>
      </c>
      <c r="V101" s="2989">
        <f t="shared" si="38"/>
        <v>0</v>
      </c>
      <c r="W101" s="998"/>
      <c r="X101" s="2989">
        <f t="shared" si="39"/>
        <v>0</v>
      </c>
      <c r="Y101" s="2989">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89">
        <f t="shared" si="37"/>
        <v>0</v>
      </c>
      <c r="V102" s="2989">
        <f t="shared" si="38"/>
        <v>0</v>
      </c>
      <c r="W102" s="998"/>
      <c r="X102" s="2989">
        <f t="shared" si="39"/>
        <v>0</v>
      </c>
      <c r="Y102" s="2989">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89">
        <f t="shared" si="37"/>
        <v>0</v>
      </c>
      <c r="V103" s="2989">
        <f t="shared" si="38"/>
        <v>0</v>
      </c>
      <c r="W103" s="998"/>
      <c r="X103" s="2989">
        <f t="shared" si="39"/>
        <v>0</v>
      </c>
      <c r="Y103" s="2989">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89">
        <f t="shared" si="37"/>
        <v>0</v>
      </c>
      <c r="V104" s="2989">
        <f t="shared" si="38"/>
        <v>0</v>
      </c>
      <c r="W104" s="998"/>
      <c r="X104" s="2989">
        <f t="shared" si="39"/>
        <v>0</v>
      </c>
      <c r="Y104" s="2989">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89">
        <f t="shared" si="37"/>
        <v>0</v>
      </c>
      <c r="V105" s="2989">
        <f t="shared" si="38"/>
        <v>0</v>
      </c>
      <c r="W105" s="998"/>
      <c r="X105" s="2989">
        <f t="shared" si="39"/>
        <v>0</v>
      </c>
      <c r="Y105" s="2989">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89">
        <f t="shared" si="37"/>
        <v>0</v>
      </c>
      <c r="V106" s="2989">
        <f t="shared" si="38"/>
        <v>0</v>
      </c>
      <c r="W106" s="998"/>
      <c r="X106" s="2989">
        <f t="shared" si="39"/>
        <v>0</v>
      </c>
      <c r="Y106" s="2989">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89">
        <f t="shared" si="37"/>
        <v>0</v>
      </c>
      <c r="V107" s="2989">
        <f t="shared" si="38"/>
        <v>0</v>
      </c>
      <c r="W107" s="998"/>
      <c r="X107" s="2989">
        <f t="shared" si="39"/>
        <v>0</v>
      </c>
      <c r="Y107" s="2989">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89">
        <f t="shared" si="37"/>
        <v>0</v>
      </c>
      <c r="V108" s="2989">
        <f t="shared" si="38"/>
        <v>0</v>
      </c>
      <c r="W108" s="998"/>
      <c r="X108" s="2989">
        <f t="shared" si="39"/>
        <v>0</v>
      </c>
      <c r="Y108" s="2989">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89">
        <f t="shared" si="37"/>
        <v>0</v>
      </c>
      <c r="V109" s="2989">
        <f t="shared" si="38"/>
        <v>0</v>
      </c>
      <c r="W109" s="998"/>
      <c r="X109" s="2989">
        <f t="shared" si="39"/>
        <v>0</v>
      </c>
      <c r="Y109" s="2989">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89">
        <f t="shared" si="37"/>
        <v>0</v>
      </c>
      <c r="V110" s="2989">
        <f t="shared" si="38"/>
        <v>0</v>
      </c>
      <c r="W110" s="998"/>
      <c r="X110" s="2989">
        <f t="shared" si="39"/>
        <v>0</v>
      </c>
      <c r="Y110" s="2989">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89">
        <f t="shared" si="37"/>
        <v>0</v>
      </c>
      <c r="V111" s="2989">
        <f t="shared" si="38"/>
        <v>0</v>
      </c>
      <c r="W111" s="998"/>
      <c r="X111" s="2989">
        <f t="shared" si="39"/>
        <v>0</v>
      </c>
      <c r="Y111" s="2989">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89">
        <f t="shared" si="37"/>
        <v>0</v>
      </c>
      <c r="V112" s="2989">
        <f t="shared" si="38"/>
        <v>0</v>
      </c>
      <c r="W112" s="998"/>
      <c r="X112" s="2989">
        <f t="shared" si="39"/>
        <v>0</v>
      </c>
      <c r="Y112" s="2989">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89">
        <f t="shared" si="37"/>
        <v>0</v>
      </c>
      <c r="V113" s="2989">
        <f t="shared" si="38"/>
        <v>0</v>
      </c>
      <c r="W113" s="998"/>
      <c r="X113" s="2989">
        <f t="shared" si="39"/>
        <v>0</v>
      </c>
      <c r="Y113" s="2989">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89">
        <f t="shared" si="37"/>
        <v>0</v>
      </c>
      <c r="V114" s="2989">
        <f t="shared" si="38"/>
        <v>0</v>
      </c>
      <c r="W114" s="998"/>
      <c r="X114" s="2989">
        <f t="shared" si="39"/>
        <v>0</v>
      </c>
      <c r="Y114" s="2989">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89">
        <f t="shared" si="37"/>
        <v>0</v>
      </c>
      <c r="V115" s="2989">
        <f t="shared" si="38"/>
        <v>0</v>
      </c>
      <c r="W115" s="998"/>
      <c r="X115" s="2989">
        <f t="shared" si="39"/>
        <v>0</v>
      </c>
      <c r="Y115" s="2989">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89">
        <f t="shared" si="37"/>
        <v>0</v>
      </c>
      <c r="V116" s="2989">
        <f t="shared" si="38"/>
        <v>0</v>
      </c>
      <c r="W116" s="998"/>
      <c r="X116" s="2989">
        <f t="shared" si="39"/>
        <v>0</v>
      </c>
      <c r="Y116" s="2989">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89">
        <f t="shared" si="37"/>
        <v>0</v>
      </c>
      <c r="V117" s="2989">
        <f t="shared" si="38"/>
        <v>0</v>
      </c>
      <c r="W117" s="998"/>
      <c r="X117" s="2989">
        <f t="shared" si="39"/>
        <v>0</v>
      </c>
      <c r="Y117" s="2989">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89">
        <f t="shared" si="37"/>
        <v>0</v>
      </c>
      <c r="V118" s="2989">
        <f t="shared" si="38"/>
        <v>0</v>
      </c>
      <c r="W118" s="998"/>
      <c r="X118" s="2989">
        <f t="shared" si="39"/>
        <v>0</v>
      </c>
      <c r="Y118" s="2989">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89">
        <f t="shared" si="37"/>
        <v>0</v>
      </c>
      <c r="V119" s="2989">
        <f t="shared" si="38"/>
        <v>0</v>
      </c>
      <c r="W119" s="998"/>
      <c r="X119" s="2989">
        <f t="shared" si="39"/>
        <v>0</v>
      </c>
      <c r="Y119" s="2989">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89">
        <f t="shared" si="37"/>
        <v>0</v>
      </c>
      <c r="V120" s="2989">
        <f t="shared" si="38"/>
        <v>0</v>
      </c>
      <c r="W120" s="998"/>
      <c r="X120" s="2989">
        <f t="shared" si="39"/>
        <v>0</v>
      </c>
      <c r="Y120" s="2989">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89">
        <f t="shared" si="37"/>
        <v>0</v>
      </c>
      <c r="V121" s="2989">
        <f t="shared" si="38"/>
        <v>0</v>
      </c>
      <c r="W121" s="998"/>
      <c r="X121" s="2989">
        <f t="shared" si="39"/>
        <v>0</v>
      </c>
      <c r="Y121" s="2989">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89">
        <f t="shared" si="37"/>
        <v>0</v>
      </c>
      <c r="V122" s="2989">
        <f t="shared" si="38"/>
        <v>0</v>
      </c>
      <c r="W122" s="998"/>
      <c r="X122" s="2989">
        <f t="shared" si="39"/>
        <v>0</v>
      </c>
      <c r="Y122" s="2989">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89">
        <f t="shared" si="37"/>
        <v>0</v>
      </c>
      <c r="V123" s="2989">
        <f t="shared" si="38"/>
        <v>0</v>
      </c>
      <c r="W123" s="998"/>
      <c r="X123" s="2989">
        <f t="shared" si="39"/>
        <v>0</v>
      </c>
      <c r="Y123" s="2989">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89">
        <f t="shared" si="37"/>
        <v>0</v>
      </c>
      <c r="V124" s="2989">
        <f t="shared" si="38"/>
        <v>0</v>
      </c>
      <c r="W124" s="998"/>
      <c r="X124" s="2989">
        <f t="shared" si="39"/>
        <v>0</v>
      </c>
      <c r="Y124" s="2989">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89">
        <f t="shared" si="37"/>
        <v>0</v>
      </c>
      <c r="V125" s="2989">
        <f t="shared" si="38"/>
        <v>0</v>
      </c>
      <c r="W125" s="998"/>
      <c r="X125" s="2989">
        <f t="shared" si="39"/>
        <v>0</v>
      </c>
      <c r="Y125" s="2989">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89">
        <f t="shared" si="37"/>
        <v>0</v>
      </c>
      <c r="V126" s="2989">
        <f t="shared" si="38"/>
        <v>0</v>
      </c>
      <c r="W126" s="998"/>
      <c r="X126" s="2989">
        <f t="shared" si="39"/>
        <v>0</v>
      </c>
      <c r="Y126" s="2989">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89">
        <f t="shared" si="37"/>
        <v>0</v>
      </c>
      <c r="V127" s="2989">
        <f t="shared" si="38"/>
        <v>0</v>
      </c>
      <c r="W127" s="998"/>
      <c r="X127" s="2989">
        <f t="shared" si="39"/>
        <v>0</v>
      </c>
      <c r="Y127" s="2989">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89">
        <f t="shared" si="37"/>
        <v>0</v>
      </c>
      <c r="V128" s="2989">
        <f t="shared" si="38"/>
        <v>0</v>
      </c>
      <c r="W128" s="998"/>
      <c r="X128" s="2989">
        <f t="shared" si="39"/>
        <v>0</v>
      </c>
      <c r="Y128" s="2989">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89">
        <f t="shared" si="37"/>
        <v>0</v>
      </c>
      <c r="V129" s="2989">
        <f t="shared" si="38"/>
        <v>0</v>
      </c>
      <c r="W129" s="998"/>
      <c r="X129" s="2989">
        <f t="shared" si="39"/>
        <v>0</v>
      </c>
      <c r="Y129" s="2989">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89">
        <f t="shared" si="37"/>
        <v>0</v>
      </c>
      <c r="V130" s="2989">
        <f t="shared" si="38"/>
        <v>0</v>
      </c>
      <c r="W130" s="998"/>
      <c r="X130" s="2989">
        <f t="shared" si="39"/>
        <v>0</v>
      </c>
      <c r="Y130" s="2989">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89">
        <f t="shared" si="37"/>
        <v>0</v>
      </c>
      <c r="V131" s="2989">
        <f t="shared" si="38"/>
        <v>0</v>
      </c>
      <c r="W131" s="998"/>
      <c r="X131" s="2989">
        <f t="shared" si="39"/>
        <v>0</v>
      </c>
      <c r="Y131" s="2989">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89">
        <f t="shared" si="37"/>
        <v>0</v>
      </c>
      <c r="V132" s="2989">
        <f t="shared" si="38"/>
        <v>0</v>
      </c>
      <c r="W132" s="998"/>
      <c r="X132" s="2989">
        <f t="shared" si="39"/>
        <v>0</v>
      </c>
      <c r="Y132" s="2989">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89">
        <f t="shared" si="37"/>
        <v>0</v>
      </c>
      <c r="V133" s="2989">
        <f t="shared" si="38"/>
        <v>0</v>
      </c>
      <c r="W133" s="998"/>
      <c r="X133" s="2989">
        <f t="shared" si="39"/>
        <v>0</v>
      </c>
      <c r="Y133" s="2989">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89">
        <f t="shared" si="37"/>
        <v>0</v>
      </c>
      <c r="V134" s="2989">
        <f t="shared" si="38"/>
        <v>0</v>
      </c>
      <c r="W134" s="998"/>
      <c r="X134" s="2989">
        <f t="shared" si="39"/>
        <v>0</v>
      </c>
      <c r="Y134" s="2989">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89">
        <f t="shared" si="37"/>
        <v>0</v>
      </c>
      <c r="V135" s="2989">
        <f t="shared" si="38"/>
        <v>0</v>
      </c>
      <c r="W135" s="998"/>
      <c r="X135" s="2989">
        <f t="shared" si="39"/>
        <v>0</v>
      </c>
      <c r="Y135" s="2989">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89">
        <f t="shared" si="37"/>
        <v>0</v>
      </c>
      <c r="V136" s="2989">
        <f t="shared" si="38"/>
        <v>0</v>
      </c>
      <c r="W136" s="998"/>
      <c r="X136" s="2989">
        <f t="shared" si="39"/>
        <v>0</v>
      </c>
      <c r="Y136" s="2989">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89">
        <f t="shared" si="37"/>
        <v>0</v>
      </c>
      <c r="V137" s="2989">
        <f t="shared" si="38"/>
        <v>0</v>
      </c>
      <c r="W137" s="998"/>
      <c r="X137" s="2989">
        <f t="shared" si="39"/>
        <v>0</v>
      </c>
      <c r="Y137" s="2989">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89">
        <f t="shared" si="37"/>
        <v>0</v>
      </c>
      <c r="V138" s="2989">
        <f t="shared" si="38"/>
        <v>0</v>
      </c>
      <c r="W138" s="998"/>
      <c r="X138" s="2989">
        <f t="shared" si="39"/>
        <v>0</v>
      </c>
      <c r="Y138" s="2989">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89">
        <f t="shared" si="37"/>
        <v>0</v>
      </c>
      <c r="V139" s="2989">
        <f t="shared" si="38"/>
        <v>0</v>
      </c>
      <c r="W139" s="998"/>
      <c r="X139" s="2989">
        <f t="shared" si="39"/>
        <v>0</v>
      </c>
      <c r="Y139" s="2989">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89">
        <f t="shared" si="37"/>
        <v>0</v>
      </c>
      <c r="V140" s="2989">
        <f t="shared" si="38"/>
        <v>0</v>
      </c>
      <c r="W140" s="998"/>
      <c r="X140" s="2989">
        <f t="shared" si="39"/>
        <v>0</v>
      </c>
      <c r="Y140" s="2989">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89">
        <f t="shared" si="37"/>
        <v>0</v>
      </c>
      <c r="V141" s="2989">
        <f t="shared" si="38"/>
        <v>0</v>
      </c>
      <c r="W141" s="998"/>
      <c r="X141" s="2989">
        <f t="shared" si="39"/>
        <v>0</v>
      </c>
      <c r="Y141" s="2989">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89">
        <f t="shared" si="37"/>
        <v>0</v>
      </c>
      <c r="V142" s="2989">
        <f t="shared" si="38"/>
        <v>0</v>
      </c>
      <c r="W142" s="998"/>
      <c r="X142" s="2989">
        <f t="shared" si="39"/>
        <v>0</v>
      </c>
      <c r="Y142" s="2989">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89">
        <f t="shared" si="37"/>
        <v>0</v>
      </c>
      <c r="V143" s="2989">
        <f t="shared" si="38"/>
        <v>0</v>
      </c>
      <c r="W143" s="998"/>
      <c r="X143" s="2989">
        <f t="shared" si="39"/>
        <v>0</v>
      </c>
      <c r="Y143" s="2989">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89">
        <f t="shared" si="37"/>
        <v>0</v>
      </c>
      <c r="V144" s="2989">
        <f t="shared" si="38"/>
        <v>0</v>
      </c>
      <c r="W144" s="998"/>
      <c r="X144" s="2989">
        <f t="shared" si="39"/>
        <v>0</v>
      </c>
      <c r="Y144" s="2989">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89">
        <f t="shared" si="37"/>
        <v>0</v>
      </c>
      <c r="V145" s="2989">
        <f t="shared" si="38"/>
        <v>0</v>
      </c>
      <c r="W145" s="998"/>
      <c r="X145" s="2989">
        <f t="shared" si="39"/>
        <v>0</v>
      </c>
      <c r="Y145" s="2989">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89">
        <f t="shared" si="37"/>
        <v>0</v>
      </c>
      <c r="V146" s="2989">
        <f t="shared" si="38"/>
        <v>0</v>
      </c>
      <c r="W146" s="998"/>
      <c r="X146" s="2989">
        <f t="shared" si="39"/>
        <v>0</v>
      </c>
      <c r="Y146" s="2989">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89">
        <f t="shared" si="37"/>
        <v>0</v>
      </c>
      <c r="V147" s="2989">
        <f t="shared" si="38"/>
        <v>0</v>
      </c>
      <c r="W147" s="998"/>
      <c r="X147" s="2989">
        <f t="shared" si="39"/>
        <v>0</v>
      </c>
      <c r="Y147" s="2989">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89">
        <f t="shared" si="37"/>
        <v>0</v>
      </c>
      <c r="V148" s="2989">
        <f t="shared" si="38"/>
        <v>0</v>
      </c>
      <c r="W148" s="998"/>
      <c r="X148" s="2989">
        <f t="shared" si="39"/>
        <v>0</v>
      </c>
      <c r="Y148" s="2989">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89">
        <f t="shared" si="37"/>
        <v>0</v>
      </c>
      <c r="V149" s="2989">
        <f t="shared" si="38"/>
        <v>0</v>
      </c>
      <c r="W149" s="998"/>
      <c r="X149" s="2989">
        <f t="shared" si="39"/>
        <v>0</v>
      </c>
      <c r="Y149" s="2989">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89">
        <f t="shared" si="37"/>
        <v>0</v>
      </c>
      <c r="V150" s="2989">
        <f t="shared" si="38"/>
        <v>0</v>
      </c>
      <c r="W150" s="998"/>
      <c r="X150" s="2989">
        <f t="shared" si="39"/>
        <v>0</v>
      </c>
      <c r="Y150" s="2989">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89">
        <f t="shared" si="37"/>
        <v>0</v>
      </c>
      <c r="V151" s="2989">
        <f t="shared" si="38"/>
        <v>0</v>
      </c>
      <c r="W151" s="998"/>
      <c r="X151" s="2989">
        <f t="shared" si="39"/>
        <v>0</v>
      </c>
      <c r="Y151" s="2989">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89">
        <f t="shared" si="37"/>
        <v>0</v>
      </c>
      <c r="V152" s="2989">
        <f t="shared" si="38"/>
        <v>0</v>
      </c>
      <c r="W152" s="998"/>
      <c r="X152" s="2989">
        <f t="shared" si="39"/>
        <v>0</v>
      </c>
      <c r="Y152" s="2989">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89">
        <f t="shared" si="37"/>
        <v>0</v>
      </c>
      <c r="V153" s="2989">
        <f t="shared" si="38"/>
        <v>0</v>
      </c>
      <c r="W153" s="998"/>
      <c r="X153" s="2989">
        <f t="shared" si="39"/>
        <v>0</v>
      </c>
      <c r="Y153" s="2989">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89">
        <f t="shared" si="37"/>
        <v>0</v>
      </c>
      <c r="V154" s="2989">
        <f t="shared" si="38"/>
        <v>0</v>
      </c>
      <c r="W154" s="998"/>
      <c r="X154" s="2989">
        <f t="shared" si="39"/>
        <v>0</v>
      </c>
      <c r="Y154" s="2989">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89">
        <f t="shared" si="37"/>
        <v>0</v>
      </c>
      <c r="V155" s="2989">
        <f t="shared" si="38"/>
        <v>0</v>
      </c>
      <c r="W155" s="998"/>
      <c r="X155" s="2989">
        <f t="shared" si="39"/>
        <v>0</v>
      </c>
      <c r="Y155" s="2989">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89">
        <f t="shared" ref="U156:U219" si="52">ROUND(W156*B156,0)</f>
        <v>0</v>
      </c>
      <c r="V156" s="2989">
        <f t="shared" ref="V156:V219" si="53">ROUND(W156*B156/10000,0)</f>
        <v>0</v>
      </c>
      <c r="W156" s="998"/>
      <c r="X156" s="2989">
        <f t="shared" ref="X156:X219" si="54">ROUND(Z156*B156,0)</f>
        <v>0</v>
      </c>
      <c r="Y156" s="2989">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89">
        <f t="shared" si="52"/>
        <v>0</v>
      </c>
      <c r="V157" s="2989">
        <f t="shared" si="53"/>
        <v>0</v>
      </c>
      <c r="W157" s="998"/>
      <c r="X157" s="2989">
        <f t="shared" si="54"/>
        <v>0</v>
      </c>
      <c r="Y157" s="2989">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89">
        <f t="shared" si="52"/>
        <v>0</v>
      </c>
      <c r="V158" s="2989">
        <f t="shared" si="53"/>
        <v>0</v>
      </c>
      <c r="W158" s="998"/>
      <c r="X158" s="2989">
        <f t="shared" si="54"/>
        <v>0</v>
      </c>
      <c r="Y158" s="2989">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89">
        <f t="shared" si="52"/>
        <v>0</v>
      </c>
      <c r="V159" s="2989">
        <f t="shared" si="53"/>
        <v>0</v>
      </c>
      <c r="W159" s="998"/>
      <c r="X159" s="2989">
        <f t="shared" si="54"/>
        <v>0</v>
      </c>
      <c r="Y159" s="2989">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89">
        <f t="shared" si="52"/>
        <v>0</v>
      </c>
      <c r="V160" s="2989">
        <f t="shared" si="53"/>
        <v>0</v>
      </c>
      <c r="W160" s="998"/>
      <c r="X160" s="2989">
        <f t="shared" si="54"/>
        <v>0</v>
      </c>
      <c r="Y160" s="2989">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89">
        <f t="shared" si="52"/>
        <v>0</v>
      </c>
      <c r="V161" s="2989">
        <f t="shared" si="53"/>
        <v>0</v>
      </c>
      <c r="W161" s="998"/>
      <c r="X161" s="2989">
        <f t="shared" si="54"/>
        <v>0</v>
      </c>
      <c r="Y161" s="2989">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89">
        <f t="shared" si="52"/>
        <v>0</v>
      </c>
      <c r="V162" s="2989">
        <f t="shared" si="53"/>
        <v>0</v>
      </c>
      <c r="W162" s="998"/>
      <c r="X162" s="2989">
        <f t="shared" si="54"/>
        <v>0</v>
      </c>
      <c r="Y162" s="2989">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89">
        <f t="shared" si="52"/>
        <v>0</v>
      </c>
      <c r="V163" s="2989">
        <f t="shared" si="53"/>
        <v>0</v>
      </c>
      <c r="W163" s="998"/>
      <c r="X163" s="2989">
        <f t="shared" si="54"/>
        <v>0</v>
      </c>
      <c r="Y163" s="2989">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89">
        <f t="shared" si="52"/>
        <v>0</v>
      </c>
      <c r="V164" s="2989">
        <f t="shared" si="53"/>
        <v>0</v>
      </c>
      <c r="W164" s="998"/>
      <c r="X164" s="2989">
        <f t="shared" si="54"/>
        <v>0</v>
      </c>
      <c r="Y164" s="2989">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89">
        <f t="shared" si="52"/>
        <v>0</v>
      </c>
      <c r="V165" s="2989">
        <f t="shared" si="53"/>
        <v>0</v>
      </c>
      <c r="W165" s="998"/>
      <c r="X165" s="2989">
        <f t="shared" si="54"/>
        <v>0</v>
      </c>
      <c r="Y165" s="2989">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89">
        <f t="shared" si="52"/>
        <v>0</v>
      </c>
      <c r="V166" s="2989">
        <f t="shared" si="53"/>
        <v>0</v>
      </c>
      <c r="W166" s="998"/>
      <c r="X166" s="2989">
        <f t="shared" si="54"/>
        <v>0</v>
      </c>
      <c r="Y166" s="2989">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89">
        <f t="shared" si="52"/>
        <v>0</v>
      </c>
      <c r="V167" s="2989">
        <f t="shared" si="53"/>
        <v>0</v>
      </c>
      <c r="W167" s="998"/>
      <c r="X167" s="2989">
        <f t="shared" si="54"/>
        <v>0</v>
      </c>
      <c r="Y167" s="2989">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89">
        <f t="shared" si="52"/>
        <v>0</v>
      </c>
      <c r="V168" s="2989">
        <f t="shared" si="53"/>
        <v>0</v>
      </c>
      <c r="W168" s="998"/>
      <c r="X168" s="2989">
        <f t="shared" si="54"/>
        <v>0</v>
      </c>
      <c r="Y168" s="2989">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89">
        <f t="shared" si="52"/>
        <v>0</v>
      </c>
      <c r="V169" s="2989">
        <f t="shared" si="53"/>
        <v>0</v>
      </c>
      <c r="W169" s="998"/>
      <c r="X169" s="2989">
        <f t="shared" si="54"/>
        <v>0</v>
      </c>
      <c r="Y169" s="2989">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89">
        <f t="shared" si="52"/>
        <v>0</v>
      </c>
      <c r="V170" s="2989">
        <f t="shared" si="53"/>
        <v>0</v>
      </c>
      <c r="W170" s="998"/>
      <c r="X170" s="2989">
        <f t="shared" si="54"/>
        <v>0</v>
      </c>
      <c r="Y170" s="2989">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89">
        <f t="shared" si="52"/>
        <v>0</v>
      </c>
      <c r="V171" s="2989">
        <f t="shared" si="53"/>
        <v>0</v>
      </c>
      <c r="W171" s="998"/>
      <c r="X171" s="2989">
        <f t="shared" si="54"/>
        <v>0</v>
      </c>
      <c r="Y171" s="2989">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89">
        <f t="shared" si="52"/>
        <v>0</v>
      </c>
      <c r="V172" s="2989">
        <f t="shared" si="53"/>
        <v>0</v>
      </c>
      <c r="W172" s="998"/>
      <c r="X172" s="2989">
        <f t="shared" si="54"/>
        <v>0</v>
      </c>
      <c r="Y172" s="2989">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89">
        <f t="shared" si="52"/>
        <v>0</v>
      </c>
      <c r="V173" s="2989">
        <f t="shared" si="53"/>
        <v>0</v>
      </c>
      <c r="W173" s="998"/>
      <c r="X173" s="2989">
        <f t="shared" si="54"/>
        <v>0</v>
      </c>
      <c r="Y173" s="2989">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89">
        <f t="shared" si="52"/>
        <v>0</v>
      </c>
      <c r="V174" s="2989">
        <f t="shared" si="53"/>
        <v>0</v>
      </c>
      <c r="W174" s="998"/>
      <c r="X174" s="2989">
        <f t="shared" si="54"/>
        <v>0</v>
      </c>
      <c r="Y174" s="2989">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89">
        <f t="shared" si="52"/>
        <v>0</v>
      </c>
      <c r="V175" s="2989">
        <f t="shared" si="53"/>
        <v>0</v>
      </c>
      <c r="W175" s="998"/>
      <c r="X175" s="2989">
        <f t="shared" si="54"/>
        <v>0</v>
      </c>
      <c r="Y175" s="2989">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89">
        <f t="shared" si="52"/>
        <v>0</v>
      </c>
      <c r="V176" s="2989">
        <f t="shared" si="53"/>
        <v>0</v>
      </c>
      <c r="W176" s="998"/>
      <c r="X176" s="2989">
        <f t="shared" si="54"/>
        <v>0</v>
      </c>
      <c r="Y176" s="2989">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89">
        <f t="shared" si="52"/>
        <v>0</v>
      </c>
      <c r="V177" s="2989">
        <f t="shared" si="53"/>
        <v>0</v>
      </c>
      <c r="W177" s="998"/>
      <c r="X177" s="2989">
        <f t="shared" si="54"/>
        <v>0</v>
      </c>
      <c r="Y177" s="2989">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89">
        <f t="shared" si="52"/>
        <v>0</v>
      </c>
      <c r="V178" s="2989">
        <f t="shared" si="53"/>
        <v>0</v>
      </c>
      <c r="W178" s="998"/>
      <c r="X178" s="2989">
        <f t="shared" si="54"/>
        <v>0</v>
      </c>
      <c r="Y178" s="2989">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89">
        <f t="shared" si="52"/>
        <v>0</v>
      </c>
      <c r="V179" s="2989">
        <f t="shared" si="53"/>
        <v>0</v>
      </c>
      <c r="W179" s="998"/>
      <c r="X179" s="2989">
        <f t="shared" si="54"/>
        <v>0</v>
      </c>
      <c r="Y179" s="2989">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89">
        <f t="shared" si="52"/>
        <v>0</v>
      </c>
      <c r="V180" s="2989">
        <f t="shared" si="53"/>
        <v>0</v>
      </c>
      <c r="W180" s="998"/>
      <c r="X180" s="2989">
        <f t="shared" si="54"/>
        <v>0</v>
      </c>
      <c r="Y180" s="2989">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89">
        <f t="shared" si="52"/>
        <v>0</v>
      </c>
      <c r="V181" s="2989">
        <f t="shared" si="53"/>
        <v>0</v>
      </c>
      <c r="W181" s="998"/>
      <c r="X181" s="2989">
        <f t="shared" si="54"/>
        <v>0</v>
      </c>
      <c r="Y181" s="2989">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89">
        <f t="shared" si="52"/>
        <v>0</v>
      </c>
      <c r="V182" s="2989">
        <f t="shared" si="53"/>
        <v>0</v>
      </c>
      <c r="W182" s="998"/>
      <c r="X182" s="2989">
        <f t="shared" si="54"/>
        <v>0</v>
      </c>
      <c r="Y182" s="2989">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89">
        <f t="shared" si="52"/>
        <v>0</v>
      </c>
      <c r="V183" s="2989">
        <f t="shared" si="53"/>
        <v>0</v>
      </c>
      <c r="W183" s="998"/>
      <c r="X183" s="2989">
        <f t="shared" si="54"/>
        <v>0</v>
      </c>
      <c r="Y183" s="2989">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89">
        <f t="shared" si="52"/>
        <v>0</v>
      </c>
      <c r="V184" s="2989">
        <f t="shared" si="53"/>
        <v>0</v>
      </c>
      <c r="W184" s="998"/>
      <c r="X184" s="2989">
        <f t="shared" si="54"/>
        <v>0</v>
      </c>
      <c r="Y184" s="2989">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89">
        <f t="shared" si="52"/>
        <v>0</v>
      </c>
      <c r="V185" s="2989">
        <f t="shared" si="53"/>
        <v>0</v>
      </c>
      <c r="W185" s="998"/>
      <c r="X185" s="2989">
        <f t="shared" si="54"/>
        <v>0</v>
      </c>
      <c r="Y185" s="2989">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89">
        <f t="shared" si="52"/>
        <v>0</v>
      </c>
      <c r="V186" s="2989">
        <f t="shared" si="53"/>
        <v>0</v>
      </c>
      <c r="W186" s="998"/>
      <c r="X186" s="2989">
        <f t="shared" si="54"/>
        <v>0</v>
      </c>
      <c r="Y186" s="2989">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89">
        <f t="shared" si="52"/>
        <v>0</v>
      </c>
      <c r="V187" s="2989">
        <f t="shared" si="53"/>
        <v>0</v>
      </c>
      <c r="W187" s="998"/>
      <c r="X187" s="2989">
        <f t="shared" si="54"/>
        <v>0</v>
      </c>
      <c r="Y187" s="2989">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89">
        <f t="shared" si="52"/>
        <v>0</v>
      </c>
      <c r="V188" s="2989">
        <f t="shared" si="53"/>
        <v>0</v>
      </c>
      <c r="W188" s="998"/>
      <c r="X188" s="2989">
        <f t="shared" si="54"/>
        <v>0</v>
      </c>
      <c r="Y188" s="2989">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89">
        <f t="shared" si="52"/>
        <v>0</v>
      </c>
      <c r="V189" s="2989">
        <f t="shared" si="53"/>
        <v>0</v>
      </c>
      <c r="W189" s="998"/>
      <c r="X189" s="2989">
        <f t="shared" si="54"/>
        <v>0</v>
      </c>
      <c r="Y189" s="2989">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89">
        <f t="shared" si="52"/>
        <v>0</v>
      </c>
      <c r="V190" s="2989">
        <f t="shared" si="53"/>
        <v>0</v>
      </c>
      <c r="W190" s="998"/>
      <c r="X190" s="2989">
        <f t="shared" si="54"/>
        <v>0</v>
      </c>
      <c r="Y190" s="2989">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89">
        <f t="shared" si="52"/>
        <v>0</v>
      </c>
      <c r="V191" s="2989">
        <f t="shared" si="53"/>
        <v>0</v>
      </c>
      <c r="W191" s="998"/>
      <c r="X191" s="2989">
        <f t="shared" si="54"/>
        <v>0</v>
      </c>
      <c r="Y191" s="2989">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89">
        <f t="shared" si="52"/>
        <v>0</v>
      </c>
      <c r="V192" s="2989">
        <f t="shared" si="53"/>
        <v>0</v>
      </c>
      <c r="W192" s="998"/>
      <c r="X192" s="2989">
        <f t="shared" si="54"/>
        <v>0</v>
      </c>
      <c r="Y192" s="2989">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89">
        <f t="shared" si="52"/>
        <v>0</v>
      </c>
      <c r="V193" s="2989">
        <f t="shared" si="53"/>
        <v>0</v>
      </c>
      <c r="W193" s="998"/>
      <c r="X193" s="2989">
        <f t="shared" si="54"/>
        <v>0</v>
      </c>
      <c r="Y193" s="2989">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89">
        <f t="shared" si="52"/>
        <v>0</v>
      </c>
      <c r="V194" s="2989">
        <f t="shared" si="53"/>
        <v>0</v>
      </c>
      <c r="W194" s="998"/>
      <c r="X194" s="2989">
        <f t="shared" si="54"/>
        <v>0</v>
      </c>
      <c r="Y194" s="2989">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89">
        <f t="shared" si="52"/>
        <v>0</v>
      </c>
      <c r="V195" s="2989">
        <f t="shared" si="53"/>
        <v>0</v>
      </c>
      <c r="W195" s="998"/>
      <c r="X195" s="2989">
        <f t="shared" si="54"/>
        <v>0</v>
      </c>
      <c r="Y195" s="2989">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89">
        <f t="shared" si="52"/>
        <v>0</v>
      </c>
      <c r="V196" s="2989">
        <f t="shared" si="53"/>
        <v>0</v>
      </c>
      <c r="W196" s="998"/>
      <c r="X196" s="2989">
        <f t="shared" si="54"/>
        <v>0</v>
      </c>
      <c r="Y196" s="2989">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89">
        <f t="shared" si="52"/>
        <v>0</v>
      </c>
      <c r="V197" s="2989">
        <f t="shared" si="53"/>
        <v>0</v>
      </c>
      <c r="W197" s="998"/>
      <c r="X197" s="2989">
        <f t="shared" si="54"/>
        <v>0</v>
      </c>
      <c r="Y197" s="2989">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89">
        <f t="shared" si="52"/>
        <v>0</v>
      </c>
      <c r="V198" s="2989">
        <f t="shared" si="53"/>
        <v>0</v>
      </c>
      <c r="W198" s="998"/>
      <c r="X198" s="2989">
        <f t="shared" si="54"/>
        <v>0</v>
      </c>
      <c r="Y198" s="2989">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89">
        <f t="shared" si="52"/>
        <v>0</v>
      </c>
      <c r="V199" s="2989">
        <f t="shared" si="53"/>
        <v>0</v>
      </c>
      <c r="W199" s="998"/>
      <c r="X199" s="2989">
        <f t="shared" si="54"/>
        <v>0</v>
      </c>
      <c r="Y199" s="2989">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89">
        <f t="shared" si="52"/>
        <v>0</v>
      </c>
      <c r="V200" s="2989">
        <f t="shared" si="53"/>
        <v>0</v>
      </c>
      <c r="W200" s="998"/>
      <c r="X200" s="2989">
        <f t="shared" si="54"/>
        <v>0</v>
      </c>
      <c r="Y200" s="2989">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89">
        <f t="shared" si="52"/>
        <v>0</v>
      </c>
      <c r="V201" s="2989">
        <f t="shared" si="53"/>
        <v>0</v>
      </c>
      <c r="W201" s="998"/>
      <c r="X201" s="2989">
        <f t="shared" si="54"/>
        <v>0</v>
      </c>
      <c r="Y201" s="2989">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89">
        <f t="shared" si="52"/>
        <v>0</v>
      </c>
      <c r="V202" s="2989">
        <f t="shared" si="53"/>
        <v>0</v>
      </c>
      <c r="W202" s="998"/>
      <c r="X202" s="2989">
        <f t="shared" si="54"/>
        <v>0</v>
      </c>
      <c r="Y202" s="2989">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89">
        <f t="shared" si="52"/>
        <v>0</v>
      </c>
      <c r="V203" s="2989">
        <f t="shared" si="53"/>
        <v>0</v>
      </c>
      <c r="W203" s="998"/>
      <c r="X203" s="2989">
        <f t="shared" si="54"/>
        <v>0</v>
      </c>
      <c r="Y203" s="2989">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89">
        <f t="shared" si="52"/>
        <v>0</v>
      </c>
      <c r="V204" s="2989">
        <f t="shared" si="53"/>
        <v>0</v>
      </c>
      <c r="W204" s="998"/>
      <c r="X204" s="2989">
        <f t="shared" si="54"/>
        <v>0</v>
      </c>
      <c r="Y204" s="2989">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89">
        <f t="shared" si="52"/>
        <v>0</v>
      </c>
      <c r="V205" s="2989">
        <f t="shared" si="53"/>
        <v>0</v>
      </c>
      <c r="W205" s="998"/>
      <c r="X205" s="2989">
        <f t="shared" si="54"/>
        <v>0</v>
      </c>
      <c r="Y205" s="2989">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89">
        <f t="shared" si="52"/>
        <v>0</v>
      </c>
      <c r="V206" s="2989">
        <f t="shared" si="53"/>
        <v>0</v>
      </c>
      <c r="W206" s="998"/>
      <c r="X206" s="2989">
        <f t="shared" si="54"/>
        <v>0</v>
      </c>
      <c r="Y206" s="2989">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89">
        <f t="shared" si="52"/>
        <v>0</v>
      </c>
      <c r="V207" s="2989">
        <f t="shared" si="53"/>
        <v>0</v>
      </c>
      <c r="W207" s="998"/>
      <c r="X207" s="2989">
        <f t="shared" si="54"/>
        <v>0</v>
      </c>
      <c r="Y207" s="2989">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89">
        <f t="shared" si="52"/>
        <v>0</v>
      </c>
      <c r="V208" s="2989">
        <f t="shared" si="53"/>
        <v>0</v>
      </c>
      <c r="W208" s="998"/>
      <c r="X208" s="2989">
        <f t="shared" si="54"/>
        <v>0</v>
      </c>
      <c r="Y208" s="2989">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89">
        <f t="shared" si="52"/>
        <v>0</v>
      </c>
      <c r="V209" s="2989">
        <f t="shared" si="53"/>
        <v>0</v>
      </c>
      <c r="W209" s="998"/>
      <c r="X209" s="2989">
        <f t="shared" si="54"/>
        <v>0</v>
      </c>
      <c r="Y209" s="2989">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89">
        <f t="shared" si="52"/>
        <v>0</v>
      </c>
      <c r="V210" s="2989">
        <f t="shared" si="53"/>
        <v>0</v>
      </c>
      <c r="W210" s="998"/>
      <c r="X210" s="2989">
        <f t="shared" si="54"/>
        <v>0</v>
      </c>
      <c r="Y210" s="2989">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89">
        <f t="shared" si="52"/>
        <v>0</v>
      </c>
      <c r="V211" s="2989">
        <f t="shared" si="53"/>
        <v>0</v>
      </c>
      <c r="W211" s="998"/>
      <c r="X211" s="2989">
        <f t="shared" si="54"/>
        <v>0</v>
      </c>
      <c r="Y211" s="2989">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89">
        <f t="shared" si="52"/>
        <v>0</v>
      </c>
      <c r="V212" s="2989">
        <f t="shared" si="53"/>
        <v>0</v>
      </c>
      <c r="W212" s="998"/>
      <c r="X212" s="2989">
        <f t="shared" si="54"/>
        <v>0</v>
      </c>
      <c r="Y212" s="2989">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89">
        <f t="shared" si="52"/>
        <v>0</v>
      </c>
      <c r="V213" s="2989">
        <f t="shared" si="53"/>
        <v>0</v>
      </c>
      <c r="W213" s="998"/>
      <c r="X213" s="2989">
        <f t="shared" si="54"/>
        <v>0</v>
      </c>
      <c r="Y213" s="2989">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89">
        <f t="shared" si="52"/>
        <v>0</v>
      </c>
      <c r="V214" s="2989">
        <f t="shared" si="53"/>
        <v>0</v>
      </c>
      <c r="W214" s="998"/>
      <c r="X214" s="2989">
        <f t="shared" si="54"/>
        <v>0</v>
      </c>
      <c r="Y214" s="2989">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89">
        <f t="shared" si="52"/>
        <v>0</v>
      </c>
      <c r="V215" s="2989">
        <f t="shared" si="53"/>
        <v>0</v>
      </c>
      <c r="W215" s="998"/>
      <c r="X215" s="2989">
        <f t="shared" si="54"/>
        <v>0</v>
      </c>
      <c r="Y215" s="2989">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89">
        <f t="shared" si="52"/>
        <v>0</v>
      </c>
      <c r="V216" s="2989">
        <f t="shared" si="53"/>
        <v>0</v>
      </c>
      <c r="W216" s="998"/>
      <c r="X216" s="2989">
        <f t="shared" si="54"/>
        <v>0</v>
      </c>
      <c r="Y216" s="2989">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89">
        <f t="shared" si="52"/>
        <v>0</v>
      </c>
      <c r="V217" s="2989">
        <f t="shared" si="53"/>
        <v>0</v>
      </c>
      <c r="W217" s="998"/>
      <c r="X217" s="2989">
        <f t="shared" si="54"/>
        <v>0</v>
      </c>
      <c r="Y217" s="2989">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89">
        <f t="shared" si="52"/>
        <v>0</v>
      </c>
      <c r="V218" s="2989">
        <f t="shared" si="53"/>
        <v>0</v>
      </c>
      <c r="W218" s="998"/>
      <c r="X218" s="2989">
        <f t="shared" si="54"/>
        <v>0</v>
      </c>
      <c r="Y218" s="2989">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89">
        <f t="shared" si="52"/>
        <v>0</v>
      </c>
      <c r="V219" s="2989">
        <f t="shared" si="53"/>
        <v>0</v>
      </c>
      <c r="W219" s="998"/>
      <c r="X219" s="2989">
        <f t="shared" si="54"/>
        <v>0</v>
      </c>
      <c r="Y219" s="2989">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89">
        <f t="shared" ref="U220:U283" si="67">ROUND(W220*B220,0)</f>
        <v>0</v>
      </c>
      <c r="V220" s="2989">
        <f t="shared" ref="V220:V283" si="68">ROUND(W220*B220/10000,0)</f>
        <v>0</v>
      </c>
      <c r="W220" s="998"/>
      <c r="X220" s="2989">
        <f t="shared" ref="X220:X283" si="69">ROUND(Z220*B220,0)</f>
        <v>0</v>
      </c>
      <c r="Y220" s="2989">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89">
        <f t="shared" si="67"/>
        <v>0</v>
      </c>
      <c r="V221" s="2989">
        <f t="shared" si="68"/>
        <v>0</v>
      </c>
      <c r="W221" s="998"/>
      <c r="X221" s="2989">
        <f t="shared" si="69"/>
        <v>0</v>
      </c>
      <c r="Y221" s="2989">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89">
        <f t="shared" si="67"/>
        <v>0</v>
      </c>
      <c r="V222" s="2989">
        <f t="shared" si="68"/>
        <v>0</v>
      </c>
      <c r="W222" s="998"/>
      <c r="X222" s="2989">
        <f t="shared" si="69"/>
        <v>0</v>
      </c>
      <c r="Y222" s="2989">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89">
        <f t="shared" si="67"/>
        <v>0</v>
      </c>
      <c r="V223" s="2989">
        <f t="shared" si="68"/>
        <v>0</v>
      </c>
      <c r="W223" s="998"/>
      <c r="X223" s="2989">
        <f t="shared" si="69"/>
        <v>0</v>
      </c>
      <c r="Y223" s="2989">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89">
        <f t="shared" si="67"/>
        <v>0</v>
      </c>
      <c r="V224" s="2989">
        <f t="shared" si="68"/>
        <v>0</v>
      </c>
      <c r="W224" s="998"/>
      <c r="X224" s="2989">
        <f t="shared" si="69"/>
        <v>0</v>
      </c>
      <c r="Y224" s="2989">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89">
        <f t="shared" si="67"/>
        <v>0</v>
      </c>
      <c r="V225" s="2989">
        <f t="shared" si="68"/>
        <v>0</v>
      </c>
      <c r="W225" s="998"/>
      <c r="X225" s="2989">
        <f t="shared" si="69"/>
        <v>0</v>
      </c>
      <c r="Y225" s="2989">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89">
        <f t="shared" si="67"/>
        <v>0</v>
      </c>
      <c r="V226" s="2989">
        <f t="shared" si="68"/>
        <v>0</v>
      </c>
      <c r="W226" s="998"/>
      <c r="X226" s="2989">
        <f t="shared" si="69"/>
        <v>0</v>
      </c>
      <c r="Y226" s="2989">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89">
        <f t="shared" si="67"/>
        <v>0</v>
      </c>
      <c r="V227" s="2989">
        <f t="shared" si="68"/>
        <v>0</v>
      </c>
      <c r="W227" s="998"/>
      <c r="X227" s="2989">
        <f t="shared" si="69"/>
        <v>0</v>
      </c>
      <c r="Y227" s="2989">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89">
        <f t="shared" si="67"/>
        <v>0</v>
      </c>
      <c r="V228" s="2989">
        <f t="shared" si="68"/>
        <v>0</v>
      </c>
      <c r="W228" s="998"/>
      <c r="X228" s="2989">
        <f t="shared" si="69"/>
        <v>0</v>
      </c>
      <c r="Y228" s="2989">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89">
        <f t="shared" si="67"/>
        <v>0</v>
      </c>
      <c r="V229" s="2989">
        <f t="shared" si="68"/>
        <v>0</v>
      </c>
      <c r="W229" s="998"/>
      <c r="X229" s="2989">
        <f t="shared" si="69"/>
        <v>0</v>
      </c>
      <c r="Y229" s="2989">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89">
        <f t="shared" si="67"/>
        <v>0</v>
      </c>
      <c r="V230" s="2989">
        <f t="shared" si="68"/>
        <v>0</v>
      </c>
      <c r="W230" s="998"/>
      <c r="X230" s="2989">
        <f t="shared" si="69"/>
        <v>0</v>
      </c>
      <c r="Y230" s="2989">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89">
        <f t="shared" si="67"/>
        <v>0</v>
      </c>
      <c r="V231" s="2989">
        <f t="shared" si="68"/>
        <v>0</v>
      </c>
      <c r="W231" s="998"/>
      <c r="X231" s="2989">
        <f t="shared" si="69"/>
        <v>0</v>
      </c>
      <c r="Y231" s="2989">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89">
        <f t="shared" si="67"/>
        <v>0</v>
      </c>
      <c r="V232" s="2989">
        <f t="shared" si="68"/>
        <v>0</v>
      </c>
      <c r="W232" s="998"/>
      <c r="X232" s="2989">
        <f t="shared" si="69"/>
        <v>0</v>
      </c>
      <c r="Y232" s="2989">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89">
        <f t="shared" si="67"/>
        <v>0</v>
      </c>
      <c r="V233" s="2989">
        <f t="shared" si="68"/>
        <v>0</v>
      </c>
      <c r="W233" s="998"/>
      <c r="X233" s="2989">
        <f t="shared" si="69"/>
        <v>0</v>
      </c>
      <c r="Y233" s="2989">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89">
        <f t="shared" si="67"/>
        <v>0</v>
      </c>
      <c r="V234" s="2989">
        <f t="shared" si="68"/>
        <v>0</v>
      </c>
      <c r="W234" s="998"/>
      <c r="X234" s="2989">
        <f t="shared" si="69"/>
        <v>0</v>
      </c>
      <c r="Y234" s="2989">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89">
        <f t="shared" si="67"/>
        <v>0</v>
      </c>
      <c r="V235" s="2989">
        <f t="shared" si="68"/>
        <v>0</v>
      </c>
      <c r="W235" s="998"/>
      <c r="X235" s="2989">
        <f t="shared" si="69"/>
        <v>0</v>
      </c>
      <c r="Y235" s="2989">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89">
        <f t="shared" si="67"/>
        <v>0</v>
      </c>
      <c r="V236" s="2989">
        <f t="shared" si="68"/>
        <v>0</v>
      </c>
      <c r="W236" s="998"/>
      <c r="X236" s="2989">
        <f t="shared" si="69"/>
        <v>0</v>
      </c>
      <c r="Y236" s="2989">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89">
        <f t="shared" si="67"/>
        <v>0</v>
      </c>
      <c r="V237" s="2989">
        <f t="shared" si="68"/>
        <v>0</v>
      </c>
      <c r="W237" s="998"/>
      <c r="X237" s="2989">
        <f t="shared" si="69"/>
        <v>0</v>
      </c>
      <c r="Y237" s="2989">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89">
        <f t="shared" si="67"/>
        <v>0</v>
      </c>
      <c r="V238" s="2989">
        <f t="shared" si="68"/>
        <v>0</v>
      </c>
      <c r="W238" s="998"/>
      <c r="X238" s="2989">
        <f t="shared" si="69"/>
        <v>0</v>
      </c>
      <c r="Y238" s="2989">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89">
        <f t="shared" si="67"/>
        <v>0</v>
      </c>
      <c r="V239" s="2989">
        <f t="shared" si="68"/>
        <v>0</v>
      </c>
      <c r="W239" s="998"/>
      <c r="X239" s="2989">
        <f t="shared" si="69"/>
        <v>0</v>
      </c>
      <c r="Y239" s="2989">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89">
        <f t="shared" si="67"/>
        <v>0</v>
      </c>
      <c r="V240" s="2989">
        <f t="shared" si="68"/>
        <v>0</v>
      </c>
      <c r="W240" s="998"/>
      <c r="X240" s="2989">
        <f t="shared" si="69"/>
        <v>0</v>
      </c>
      <c r="Y240" s="2989">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89">
        <f t="shared" si="67"/>
        <v>0</v>
      </c>
      <c r="V241" s="2989">
        <f t="shared" si="68"/>
        <v>0</v>
      </c>
      <c r="W241" s="998"/>
      <c r="X241" s="2989">
        <f t="shared" si="69"/>
        <v>0</v>
      </c>
      <c r="Y241" s="2989">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89">
        <f t="shared" si="67"/>
        <v>0</v>
      </c>
      <c r="V242" s="2989">
        <f t="shared" si="68"/>
        <v>0</v>
      </c>
      <c r="W242" s="998"/>
      <c r="X242" s="2989">
        <f t="shared" si="69"/>
        <v>0</v>
      </c>
      <c r="Y242" s="2989">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89">
        <f t="shared" si="67"/>
        <v>0</v>
      </c>
      <c r="V243" s="2989">
        <f t="shared" si="68"/>
        <v>0</v>
      </c>
      <c r="W243" s="998"/>
      <c r="X243" s="2989">
        <f t="shared" si="69"/>
        <v>0</v>
      </c>
      <c r="Y243" s="2989">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89">
        <f t="shared" si="67"/>
        <v>0</v>
      </c>
      <c r="V244" s="2989">
        <f t="shared" si="68"/>
        <v>0</v>
      </c>
      <c r="W244" s="998"/>
      <c r="X244" s="2989">
        <f t="shared" si="69"/>
        <v>0</v>
      </c>
      <c r="Y244" s="2989">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89">
        <f t="shared" si="67"/>
        <v>0</v>
      </c>
      <c r="V245" s="2989">
        <f t="shared" si="68"/>
        <v>0</v>
      </c>
      <c r="W245" s="998"/>
      <c r="X245" s="2989">
        <f t="shared" si="69"/>
        <v>0</v>
      </c>
      <c r="Y245" s="2989">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89">
        <f t="shared" si="67"/>
        <v>0</v>
      </c>
      <c r="V246" s="2989">
        <f t="shared" si="68"/>
        <v>0</v>
      </c>
      <c r="W246" s="998"/>
      <c r="X246" s="2989">
        <f t="shared" si="69"/>
        <v>0</v>
      </c>
      <c r="Y246" s="2989">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89">
        <f t="shared" si="67"/>
        <v>0</v>
      </c>
      <c r="V247" s="2989">
        <f t="shared" si="68"/>
        <v>0</v>
      </c>
      <c r="W247" s="998"/>
      <c r="X247" s="2989">
        <f t="shared" si="69"/>
        <v>0</v>
      </c>
      <c r="Y247" s="2989">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89">
        <f t="shared" si="67"/>
        <v>0</v>
      </c>
      <c r="V248" s="2989">
        <f t="shared" si="68"/>
        <v>0</v>
      </c>
      <c r="W248" s="998"/>
      <c r="X248" s="2989">
        <f t="shared" si="69"/>
        <v>0</v>
      </c>
      <c r="Y248" s="2989">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89">
        <f t="shared" si="67"/>
        <v>0</v>
      </c>
      <c r="V249" s="2989">
        <f t="shared" si="68"/>
        <v>0</v>
      </c>
      <c r="W249" s="998"/>
      <c r="X249" s="2989">
        <f t="shared" si="69"/>
        <v>0</v>
      </c>
      <c r="Y249" s="2989">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89">
        <f t="shared" si="67"/>
        <v>0</v>
      </c>
      <c r="V250" s="2989">
        <f t="shared" si="68"/>
        <v>0</v>
      </c>
      <c r="W250" s="998"/>
      <c r="X250" s="2989">
        <f t="shared" si="69"/>
        <v>0</v>
      </c>
      <c r="Y250" s="2989">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89">
        <f t="shared" si="67"/>
        <v>0</v>
      </c>
      <c r="V251" s="2989">
        <f t="shared" si="68"/>
        <v>0</v>
      </c>
      <c r="W251" s="998"/>
      <c r="X251" s="2989">
        <f t="shared" si="69"/>
        <v>0</v>
      </c>
      <c r="Y251" s="2989">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89">
        <f t="shared" si="67"/>
        <v>0</v>
      </c>
      <c r="V252" s="2989">
        <f t="shared" si="68"/>
        <v>0</v>
      </c>
      <c r="W252" s="998"/>
      <c r="X252" s="2989">
        <f t="shared" si="69"/>
        <v>0</v>
      </c>
      <c r="Y252" s="2989">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89">
        <f t="shared" si="67"/>
        <v>0</v>
      </c>
      <c r="V253" s="2989">
        <f t="shared" si="68"/>
        <v>0</v>
      </c>
      <c r="W253" s="998"/>
      <c r="X253" s="2989">
        <f t="shared" si="69"/>
        <v>0</v>
      </c>
      <c r="Y253" s="2989">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89">
        <f t="shared" si="67"/>
        <v>0</v>
      </c>
      <c r="V254" s="2989">
        <f t="shared" si="68"/>
        <v>0</v>
      </c>
      <c r="W254" s="998"/>
      <c r="X254" s="2989">
        <f t="shared" si="69"/>
        <v>0</v>
      </c>
      <c r="Y254" s="2989">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89">
        <f t="shared" si="67"/>
        <v>0</v>
      </c>
      <c r="V255" s="2989">
        <f t="shared" si="68"/>
        <v>0</v>
      </c>
      <c r="W255" s="998"/>
      <c r="X255" s="2989">
        <f t="shared" si="69"/>
        <v>0</v>
      </c>
      <c r="Y255" s="2989">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89">
        <f t="shared" si="67"/>
        <v>0</v>
      </c>
      <c r="V256" s="2989">
        <f t="shared" si="68"/>
        <v>0</v>
      </c>
      <c r="W256" s="998"/>
      <c r="X256" s="2989">
        <f t="shared" si="69"/>
        <v>0</v>
      </c>
      <c r="Y256" s="2989">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89">
        <f t="shared" si="67"/>
        <v>0</v>
      </c>
      <c r="V257" s="2989">
        <f t="shared" si="68"/>
        <v>0</v>
      </c>
      <c r="W257" s="998"/>
      <c r="X257" s="2989">
        <f t="shared" si="69"/>
        <v>0</v>
      </c>
      <c r="Y257" s="2989">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89">
        <f t="shared" si="67"/>
        <v>0</v>
      </c>
      <c r="V258" s="2989">
        <f t="shared" si="68"/>
        <v>0</v>
      </c>
      <c r="W258" s="998"/>
      <c r="X258" s="2989">
        <f t="shared" si="69"/>
        <v>0</v>
      </c>
      <c r="Y258" s="2989">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89">
        <f t="shared" si="67"/>
        <v>0</v>
      </c>
      <c r="V259" s="2989">
        <f t="shared" si="68"/>
        <v>0</v>
      </c>
      <c r="W259" s="998"/>
      <c r="X259" s="2989">
        <f t="shared" si="69"/>
        <v>0</v>
      </c>
      <c r="Y259" s="2989">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89">
        <f t="shared" si="67"/>
        <v>0</v>
      </c>
      <c r="V260" s="2989">
        <f t="shared" si="68"/>
        <v>0</v>
      </c>
      <c r="W260" s="998"/>
      <c r="X260" s="2989">
        <f t="shared" si="69"/>
        <v>0</v>
      </c>
      <c r="Y260" s="2989">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89">
        <f t="shared" si="67"/>
        <v>0</v>
      </c>
      <c r="V261" s="2989">
        <f t="shared" si="68"/>
        <v>0</v>
      </c>
      <c r="W261" s="998"/>
      <c r="X261" s="2989">
        <f t="shared" si="69"/>
        <v>0</v>
      </c>
      <c r="Y261" s="2989">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89">
        <f t="shared" si="67"/>
        <v>0</v>
      </c>
      <c r="V262" s="2989">
        <f t="shared" si="68"/>
        <v>0</v>
      </c>
      <c r="W262" s="998"/>
      <c r="X262" s="2989">
        <f t="shared" si="69"/>
        <v>0</v>
      </c>
      <c r="Y262" s="2989">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89">
        <f t="shared" si="67"/>
        <v>0</v>
      </c>
      <c r="V263" s="2989">
        <f t="shared" si="68"/>
        <v>0</v>
      </c>
      <c r="W263" s="998"/>
      <c r="X263" s="2989">
        <f t="shared" si="69"/>
        <v>0</v>
      </c>
      <c r="Y263" s="2989">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89">
        <f t="shared" si="67"/>
        <v>0</v>
      </c>
      <c r="V264" s="2989">
        <f t="shared" si="68"/>
        <v>0</v>
      </c>
      <c r="W264" s="998"/>
      <c r="X264" s="2989">
        <f t="shared" si="69"/>
        <v>0</v>
      </c>
      <c r="Y264" s="2989">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89">
        <f t="shared" si="67"/>
        <v>0</v>
      </c>
      <c r="V265" s="2989">
        <f t="shared" si="68"/>
        <v>0</v>
      </c>
      <c r="W265" s="998"/>
      <c r="X265" s="2989">
        <f t="shared" si="69"/>
        <v>0</v>
      </c>
      <c r="Y265" s="2989">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89">
        <f t="shared" si="67"/>
        <v>0</v>
      </c>
      <c r="V266" s="2989">
        <f t="shared" si="68"/>
        <v>0</v>
      </c>
      <c r="W266" s="998"/>
      <c r="X266" s="2989">
        <f t="shared" si="69"/>
        <v>0</v>
      </c>
      <c r="Y266" s="2989">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89">
        <f t="shared" si="67"/>
        <v>0</v>
      </c>
      <c r="V267" s="2989">
        <f t="shared" si="68"/>
        <v>0</v>
      </c>
      <c r="W267" s="998"/>
      <c r="X267" s="2989">
        <f t="shared" si="69"/>
        <v>0</v>
      </c>
      <c r="Y267" s="2989">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89">
        <f t="shared" si="67"/>
        <v>0</v>
      </c>
      <c r="V268" s="2989">
        <f t="shared" si="68"/>
        <v>0</v>
      </c>
      <c r="W268" s="998"/>
      <c r="X268" s="2989">
        <f t="shared" si="69"/>
        <v>0</v>
      </c>
      <c r="Y268" s="2989">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89">
        <f t="shared" si="67"/>
        <v>0</v>
      </c>
      <c r="V269" s="2989">
        <f t="shared" si="68"/>
        <v>0</v>
      </c>
      <c r="W269" s="998"/>
      <c r="X269" s="2989">
        <f t="shared" si="69"/>
        <v>0</v>
      </c>
      <c r="Y269" s="2989">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89">
        <f t="shared" si="67"/>
        <v>0</v>
      </c>
      <c r="V270" s="2989">
        <f t="shared" si="68"/>
        <v>0</v>
      </c>
      <c r="W270" s="998"/>
      <c r="X270" s="2989">
        <f t="shared" si="69"/>
        <v>0</v>
      </c>
      <c r="Y270" s="2989">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89">
        <f t="shared" si="67"/>
        <v>0</v>
      </c>
      <c r="V271" s="2989">
        <f t="shared" si="68"/>
        <v>0</v>
      </c>
      <c r="W271" s="998"/>
      <c r="X271" s="2989">
        <f t="shared" si="69"/>
        <v>0</v>
      </c>
      <c r="Y271" s="2989">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89">
        <f t="shared" si="67"/>
        <v>0</v>
      </c>
      <c r="V272" s="2989">
        <f t="shared" si="68"/>
        <v>0</v>
      </c>
      <c r="W272" s="998"/>
      <c r="X272" s="2989">
        <f t="shared" si="69"/>
        <v>0</v>
      </c>
      <c r="Y272" s="2989">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89">
        <f t="shared" si="67"/>
        <v>0</v>
      </c>
      <c r="V273" s="2989">
        <f t="shared" si="68"/>
        <v>0</v>
      </c>
      <c r="W273" s="998"/>
      <c r="X273" s="2989">
        <f t="shared" si="69"/>
        <v>0</v>
      </c>
      <c r="Y273" s="2989">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89">
        <f t="shared" si="67"/>
        <v>0</v>
      </c>
      <c r="V274" s="2989">
        <f t="shared" si="68"/>
        <v>0</v>
      </c>
      <c r="W274" s="998"/>
      <c r="X274" s="2989">
        <f t="shared" si="69"/>
        <v>0</v>
      </c>
      <c r="Y274" s="2989">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89">
        <f t="shared" si="67"/>
        <v>0</v>
      </c>
      <c r="V275" s="2989">
        <f t="shared" si="68"/>
        <v>0</v>
      </c>
      <c r="W275" s="998"/>
      <c r="X275" s="2989">
        <f t="shared" si="69"/>
        <v>0</v>
      </c>
      <c r="Y275" s="2989">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89">
        <f t="shared" si="67"/>
        <v>0</v>
      </c>
      <c r="V276" s="2989">
        <f t="shared" si="68"/>
        <v>0</v>
      </c>
      <c r="W276" s="998"/>
      <c r="X276" s="2989">
        <f t="shared" si="69"/>
        <v>0</v>
      </c>
      <c r="Y276" s="2989">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89">
        <f t="shared" si="67"/>
        <v>0</v>
      </c>
      <c r="V277" s="2989">
        <f t="shared" si="68"/>
        <v>0</v>
      </c>
      <c r="W277" s="998"/>
      <c r="X277" s="2989">
        <f t="shared" si="69"/>
        <v>0</v>
      </c>
      <c r="Y277" s="2989">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89">
        <f t="shared" si="67"/>
        <v>0</v>
      </c>
      <c r="V278" s="2989">
        <f t="shared" si="68"/>
        <v>0</v>
      </c>
      <c r="W278" s="998"/>
      <c r="X278" s="2989">
        <f t="shared" si="69"/>
        <v>0</v>
      </c>
      <c r="Y278" s="2989">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89">
        <f t="shared" si="67"/>
        <v>0</v>
      </c>
      <c r="V279" s="2989">
        <f t="shared" si="68"/>
        <v>0</v>
      </c>
      <c r="W279" s="998"/>
      <c r="X279" s="2989">
        <f t="shared" si="69"/>
        <v>0</v>
      </c>
      <c r="Y279" s="2989">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89">
        <f t="shared" si="67"/>
        <v>0</v>
      </c>
      <c r="V280" s="2989">
        <f t="shared" si="68"/>
        <v>0</v>
      </c>
      <c r="W280" s="998"/>
      <c r="X280" s="2989">
        <f t="shared" si="69"/>
        <v>0</v>
      </c>
      <c r="Y280" s="2989">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89">
        <f t="shared" si="67"/>
        <v>0</v>
      </c>
      <c r="V281" s="2989">
        <f t="shared" si="68"/>
        <v>0</v>
      </c>
      <c r="W281" s="998"/>
      <c r="X281" s="2989">
        <f t="shared" si="69"/>
        <v>0</v>
      </c>
      <c r="Y281" s="2989">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89">
        <f t="shared" si="67"/>
        <v>0</v>
      </c>
      <c r="V282" s="2989">
        <f t="shared" si="68"/>
        <v>0</v>
      </c>
      <c r="W282" s="998"/>
      <c r="X282" s="2989">
        <f t="shared" si="69"/>
        <v>0</v>
      </c>
      <c r="Y282" s="2989">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89">
        <f t="shared" si="67"/>
        <v>0</v>
      </c>
      <c r="V283" s="2989">
        <f t="shared" si="68"/>
        <v>0</v>
      </c>
      <c r="W283" s="998"/>
      <c r="X283" s="2989">
        <f t="shared" si="69"/>
        <v>0</v>
      </c>
      <c r="Y283" s="2989">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89">
        <f t="shared" ref="U284:U347" si="82">ROUND(W284*B284,0)</f>
        <v>0</v>
      </c>
      <c r="V284" s="2989">
        <f t="shared" ref="V284:V347" si="83">ROUND(W284*B284/10000,0)</f>
        <v>0</v>
      </c>
      <c r="W284" s="998"/>
      <c r="X284" s="2989">
        <f t="shared" ref="X284:X347" si="84">ROUND(Z284*B284,0)</f>
        <v>0</v>
      </c>
      <c r="Y284" s="2989">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89">
        <f t="shared" si="82"/>
        <v>0</v>
      </c>
      <c r="V285" s="2989">
        <f t="shared" si="83"/>
        <v>0</v>
      </c>
      <c r="W285" s="998"/>
      <c r="X285" s="2989">
        <f t="shared" si="84"/>
        <v>0</v>
      </c>
      <c r="Y285" s="2989">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89">
        <f t="shared" si="82"/>
        <v>0</v>
      </c>
      <c r="V286" s="2989">
        <f t="shared" si="83"/>
        <v>0</v>
      </c>
      <c r="W286" s="998"/>
      <c r="X286" s="2989">
        <f t="shared" si="84"/>
        <v>0</v>
      </c>
      <c r="Y286" s="2989">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89">
        <f t="shared" si="82"/>
        <v>0</v>
      </c>
      <c r="V287" s="2989">
        <f t="shared" si="83"/>
        <v>0</v>
      </c>
      <c r="W287" s="998"/>
      <c r="X287" s="2989">
        <f t="shared" si="84"/>
        <v>0</v>
      </c>
      <c r="Y287" s="2989">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89">
        <f t="shared" si="82"/>
        <v>0</v>
      </c>
      <c r="V288" s="2989">
        <f t="shared" si="83"/>
        <v>0</v>
      </c>
      <c r="W288" s="998"/>
      <c r="X288" s="2989">
        <f t="shared" si="84"/>
        <v>0</v>
      </c>
      <c r="Y288" s="2989">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89">
        <f t="shared" si="82"/>
        <v>0</v>
      </c>
      <c r="V289" s="2989">
        <f t="shared" si="83"/>
        <v>0</v>
      </c>
      <c r="W289" s="998"/>
      <c r="X289" s="2989">
        <f t="shared" si="84"/>
        <v>0</v>
      </c>
      <c r="Y289" s="2989">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89">
        <f t="shared" si="82"/>
        <v>0</v>
      </c>
      <c r="V290" s="2989">
        <f t="shared" si="83"/>
        <v>0</v>
      </c>
      <c r="W290" s="998"/>
      <c r="X290" s="2989">
        <f t="shared" si="84"/>
        <v>0</v>
      </c>
      <c r="Y290" s="2989">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89">
        <f t="shared" si="82"/>
        <v>0</v>
      </c>
      <c r="V291" s="2989">
        <f t="shared" si="83"/>
        <v>0</v>
      </c>
      <c r="W291" s="998"/>
      <c r="X291" s="2989">
        <f t="shared" si="84"/>
        <v>0</v>
      </c>
      <c r="Y291" s="2989">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89">
        <f t="shared" si="82"/>
        <v>0</v>
      </c>
      <c r="V292" s="2989">
        <f t="shared" si="83"/>
        <v>0</v>
      </c>
      <c r="W292" s="998"/>
      <c r="X292" s="2989">
        <f t="shared" si="84"/>
        <v>0</v>
      </c>
      <c r="Y292" s="2989">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89">
        <f t="shared" si="82"/>
        <v>0</v>
      </c>
      <c r="V293" s="2989">
        <f t="shared" si="83"/>
        <v>0</v>
      </c>
      <c r="W293" s="998"/>
      <c r="X293" s="2989">
        <f t="shared" si="84"/>
        <v>0</v>
      </c>
      <c r="Y293" s="2989">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89">
        <f t="shared" si="82"/>
        <v>0</v>
      </c>
      <c r="V294" s="2989">
        <f t="shared" si="83"/>
        <v>0</v>
      </c>
      <c r="W294" s="998"/>
      <c r="X294" s="2989">
        <f t="shared" si="84"/>
        <v>0</v>
      </c>
      <c r="Y294" s="2989">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89">
        <f t="shared" si="82"/>
        <v>0</v>
      </c>
      <c r="V295" s="2989">
        <f t="shared" si="83"/>
        <v>0</v>
      </c>
      <c r="W295" s="998"/>
      <c r="X295" s="2989">
        <f t="shared" si="84"/>
        <v>0</v>
      </c>
      <c r="Y295" s="2989">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89">
        <f t="shared" si="82"/>
        <v>0</v>
      </c>
      <c r="V296" s="2989">
        <f t="shared" si="83"/>
        <v>0</v>
      </c>
      <c r="W296" s="998"/>
      <c r="X296" s="2989">
        <f t="shared" si="84"/>
        <v>0</v>
      </c>
      <c r="Y296" s="2989">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89">
        <f t="shared" si="82"/>
        <v>0</v>
      </c>
      <c r="V297" s="2989">
        <f t="shared" si="83"/>
        <v>0</v>
      </c>
      <c r="W297" s="998"/>
      <c r="X297" s="2989">
        <f t="shared" si="84"/>
        <v>0</v>
      </c>
      <c r="Y297" s="2989">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89">
        <f t="shared" si="82"/>
        <v>0</v>
      </c>
      <c r="V298" s="2989">
        <f t="shared" si="83"/>
        <v>0</v>
      </c>
      <c r="W298" s="998"/>
      <c r="X298" s="2989">
        <f t="shared" si="84"/>
        <v>0</v>
      </c>
      <c r="Y298" s="2989">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89">
        <f t="shared" si="82"/>
        <v>0</v>
      </c>
      <c r="V299" s="2989">
        <f t="shared" si="83"/>
        <v>0</v>
      </c>
      <c r="W299" s="998"/>
      <c r="X299" s="2989">
        <f t="shared" si="84"/>
        <v>0</v>
      </c>
      <c r="Y299" s="2989">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89">
        <f t="shared" si="82"/>
        <v>0</v>
      </c>
      <c r="V300" s="2989">
        <f t="shared" si="83"/>
        <v>0</v>
      </c>
      <c r="W300" s="998"/>
      <c r="X300" s="2989">
        <f t="shared" si="84"/>
        <v>0</v>
      </c>
      <c r="Y300" s="2989">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89">
        <f t="shared" si="82"/>
        <v>0</v>
      </c>
      <c r="V301" s="2989">
        <f t="shared" si="83"/>
        <v>0</v>
      </c>
      <c r="W301" s="998"/>
      <c r="X301" s="2989">
        <f t="shared" si="84"/>
        <v>0</v>
      </c>
      <c r="Y301" s="2989">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89">
        <f t="shared" si="82"/>
        <v>0</v>
      </c>
      <c r="V302" s="2989">
        <f t="shared" si="83"/>
        <v>0</v>
      </c>
      <c r="W302" s="998"/>
      <c r="X302" s="2989">
        <f t="shared" si="84"/>
        <v>0</v>
      </c>
      <c r="Y302" s="2989">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89">
        <f t="shared" si="82"/>
        <v>0</v>
      </c>
      <c r="V303" s="2989">
        <f t="shared" si="83"/>
        <v>0</v>
      </c>
      <c r="W303" s="998"/>
      <c r="X303" s="2989">
        <f t="shared" si="84"/>
        <v>0</v>
      </c>
      <c r="Y303" s="2989">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89">
        <f t="shared" si="82"/>
        <v>0</v>
      </c>
      <c r="V304" s="2989">
        <f t="shared" si="83"/>
        <v>0</v>
      </c>
      <c r="W304" s="998"/>
      <c r="X304" s="2989">
        <f t="shared" si="84"/>
        <v>0</v>
      </c>
      <c r="Y304" s="2989">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89">
        <f t="shared" si="82"/>
        <v>0</v>
      </c>
      <c r="V305" s="2989">
        <f t="shared" si="83"/>
        <v>0</v>
      </c>
      <c r="W305" s="998"/>
      <c r="X305" s="2989">
        <f t="shared" si="84"/>
        <v>0</v>
      </c>
      <c r="Y305" s="2989">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89">
        <f t="shared" si="82"/>
        <v>0</v>
      </c>
      <c r="V306" s="2989">
        <f t="shared" si="83"/>
        <v>0</v>
      </c>
      <c r="W306" s="998"/>
      <c r="X306" s="2989">
        <f t="shared" si="84"/>
        <v>0</v>
      </c>
      <c r="Y306" s="2989">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89">
        <f t="shared" si="82"/>
        <v>0</v>
      </c>
      <c r="V307" s="2989">
        <f t="shared" si="83"/>
        <v>0</v>
      </c>
      <c r="W307" s="998"/>
      <c r="X307" s="2989">
        <f t="shared" si="84"/>
        <v>0</v>
      </c>
      <c r="Y307" s="2989">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89">
        <f t="shared" si="82"/>
        <v>0</v>
      </c>
      <c r="V308" s="2989">
        <f t="shared" si="83"/>
        <v>0</v>
      </c>
      <c r="W308" s="998"/>
      <c r="X308" s="2989">
        <f t="shared" si="84"/>
        <v>0</v>
      </c>
      <c r="Y308" s="2989">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89">
        <f t="shared" si="82"/>
        <v>0</v>
      </c>
      <c r="V309" s="2989">
        <f t="shared" si="83"/>
        <v>0</v>
      </c>
      <c r="W309" s="998"/>
      <c r="X309" s="2989">
        <f t="shared" si="84"/>
        <v>0</v>
      </c>
      <c r="Y309" s="2989">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89">
        <f t="shared" si="82"/>
        <v>0</v>
      </c>
      <c r="V310" s="2989">
        <f t="shared" si="83"/>
        <v>0</v>
      </c>
      <c r="W310" s="998"/>
      <c r="X310" s="2989">
        <f t="shared" si="84"/>
        <v>0</v>
      </c>
      <c r="Y310" s="2989">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89">
        <f t="shared" si="82"/>
        <v>0</v>
      </c>
      <c r="V311" s="2989">
        <f t="shared" si="83"/>
        <v>0</v>
      </c>
      <c r="W311" s="998"/>
      <c r="X311" s="2989">
        <f t="shared" si="84"/>
        <v>0</v>
      </c>
      <c r="Y311" s="2989">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89">
        <f t="shared" si="82"/>
        <v>0</v>
      </c>
      <c r="V312" s="2989">
        <f t="shared" si="83"/>
        <v>0</v>
      </c>
      <c r="W312" s="998"/>
      <c r="X312" s="2989">
        <f t="shared" si="84"/>
        <v>0</v>
      </c>
      <c r="Y312" s="2989">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89">
        <f t="shared" si="82"/>
        <v>0</v>
      </c>
      <c r="V313" s="2989">
        <f t="shared" si="83"/>
        <v>0</v>
      </c>
      <c r="W313" s="998"/>
      <c r="X313" s="2989">
        <f t="shared" si="84"/>
        <v>0</v>
      </c>
      <c r="Y313" s="2989">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89">
        <f t="shared" si="82"/>
        <v>0</v>
      </c>
      <c r="V314" s="2989">
        <f t="shared" si="83"/>
        <v>0</v>
      </c>
      <c r="W314" s="998"/>
      <c r="X314" s="2989">
        <f t="shared" si="84"/>
        <v>0</v>
      </c>
      <c r="Y314" s="2989">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89">
        <f t="shared" si="82"/>
        <v>0</v>
      </c>
      <c r="V315" s="2989">
        <f t="shared" si="83"/>
        <v>0</v>
      </c>
      <c r="W315" s="998"/>
      <c r="X315" s="2989">
        <f t="shared" si="84"/>
        <v>0</v>
      </c>
      <c r="Y315" s="2989">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89">
        <f t="shared" si="82"/>
        <v>0</v>
      </c>
      <c r="V316" s="2989">
        <f t="shared" si="83"/>
        <v>0</v>
      </c>
      <c r="W316" s="998"/>
      <c r="X316" s="2989">
        <f t="shared" si="84"/>
        <v>0</v>
      </c>
      <c r="Y316" s="2989">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89">
        <f t="shared" si="82"/>
        <v>0</v>
      </c>
      <c r="V317" s="2989">
        <f t="shared" si="83"/>
        <v>0</v>
      </c>
      <c r="W317" s="998"/>
      <c r="X317" s="2989">
        <f t="shared" si="84"/>
        <v>0</v>
      </c>
      <c r="Y317" s="2989">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89">
        <f t="shared" si="82"/>
        <v>0</v>
      </c>
      <c r="V318" s="2989">
        <f t="shared" si="83"/>
        <v>0</v>
      </c>
      <c r="W318" s="998"/>
      <c r="X318" s="2989">
        <f t="shared" si="84"/>
        <v>0</v>
      </c>
      <c r="Y318" s="2989">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89">
        <f t="shared" si="82"/>
        <v>0</v>
      </c>
      <c r="V319" s="2989">
        <f t="shared" si="83"/>
        <v>0</v>
      </c>
      <c r="W319" s="998"/>
      <c r="X319" s="2989">
        <f t="shared" si="84"/>
        <v>0</v>
      </c>
      <c r="Y319" s="2989">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89">
        <f t="shared" si="82"/>
        <v>0</v>
      </c>
      <c r="V320" s="2989">
        <f t="shared" si="83"/>
        <v>0</v>
      </c>
      <c r="W320" s="998"/>
      <c r="X320" s="2989">
        <f t="shared" si="84"/>
        <v>0</v>
      </c>
      <c r="Y320" s="2989">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89">
        <f t="shared" si="82"/>
        <v>0</v>
      </c>
      <c r="V321" s="2989">
        <f t="shared" si="83"/>
        <v>0</v>
      </c>
      <c r="W321" s="998"/>
      <c r="X321" s="2989">
        <f t="shared" si="84"/>
        <v>0</v>
      </c>
      <c r="Y321" s="2989">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89">
        <f t="shared" si="82"/>
        <v>0</v>
      </c>
      <c r="V322" s="2989">
        <f t="shared" si="83"/>
        <v>0</v>
      </c>
      <c r="W322" s="998"/>
      <c r="X322" s="2989">
        <f t="shared" si="84"/>
        <v>0</v>
      </c>
      <c r="Y322" s="2989">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89">
        <f t="shared" si="82"/>
        <v>0</v>
      </c>
      <c r="V323" s="2989">
        <f t="shared" si="83"/>
        <v>0</v>
      </c>
      <c r="W323" s="998"/>
      <c r="X323" s="2989">
        <f t="shared" si="84"/>
        <v>0</v>
      </c>
      <c r="Y323" s="2989">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89">
        <f t="shared" si="82"/>
        <v>0</v>
      </c>
      <c r="V324" s="2989">
        <f t="shared" si="83"/>
        <v>0</v>
      </c>
      <c r="W324" s="998"/>
      <c r="X324" s="2989">
        <f t="shared" si="84"/>
        <v>0</v>
      </c>
      <c r="Y324" s="2989">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89">
        <f t="shared" si="82"/>
        <v>0</v>
      </c>
      <c r="V325" s="2989">
        <f t="shared" si="83"/>
        <v>0</v>
      </c>
      <c r="W325" s="998"/>
      <c r="X325" s="2989">
        <f t="shared" si="84"/>
        <v>0</v>
      </c>
      <c r="Y325" s="2989">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89">
        <f t="shared" si="82"/>
        <v>0</v>
      </c>
      <c r="V326" s="2989">
        <f t="shared" si="83"/>
        <v>0</v>
      </c>
      <c r="W326" s="998"/>
      <c r="X326" s="2989">
        <f t="shared" si="84"/>
        <v>0</v>
      </c>
      <c r="Y326" s="2989">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89">
        <f t="shared" si="82"/>
        <v>0</v>
      </c>
      <c r="V327" s="2989">
        <f t="shared" si="83"/>
        <v>0</v>
      </c>
      <c r="W327" s="998"/>
      <c r="X327" s="2989">
        <f t="shared" si="84"/>
        <v>0</v>
      </c>
      <c r="Y327" s="2989">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89">
        <f t="shared" si="82"/>
        <v>0</v>
      </c>
      <c r="V328" s="2989">
        <f t="shared" si="83"/>
        <v>0</v>
      </c>
      <c r="W328" s="998"/>
      <c r="X328" s="2989">
        <f t="shared" si="84"/>
        <v>0</v>
      </c>
      <c r="Y328" s="2989">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89">
        <f t="shared" si="82"/>
        <v>0</v>
      </c>
      <c r="V329" s="2989">
        <f t="shared" si="83"/>
        <v>0</v>
      </c>
      <c r="W329" s="998"/>
      <c r="X329" s="2989">
        <f t="shared" si="84"/>
        <v>0</v>
      </c>
      <c r="Y329" s="2989">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89">
        <f t="shared" si="82"/>
        <v>0</v>
      </c>
      <c r="V330" s="2989">
        <f t="shared" si="83"/>
        <v>0</v>
      </c>
      <c r="W330" s="998"/>
      <c r="X330" s="2989">
        <f t="shared" si="84"/>
        <v>0</v>
      </c>
      <c r="Y330" s="2989">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89">
        <f t="shared" si="82"/>
        <v>0</v>
      </c>
      <c r="V331" s="2989">
        <f t="shared" si="83"/>
        <v>0</v>
      </c>
      <c r="W331" s="998"/>
      <c r="X331" s="2989">
        <f t="shared" si="84"/>
        <v>0</v>
      </c>
      <c r="Y331" s="2989">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89">
        <f t="shared" si="82"/>
        <v>0</v>
      </c>
      <c r="V332" s="2989">
        <f t="shared" si="83"/>
        <v>0</v>
      </c>
      <c r="W332" s="998"/>
      <c r="X332" s="2989">
        <f t="shared" si="84"/>
        <v>0</v>
      </c>
      <c r="Y332" s="2989">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89">
        <f t="shared" si="82"/>
        <v>0</v>
      </c>
      <c r="V333" s="2989">
        <f t="shared" si="83"/>
        <v>0</v>
      </c>
      <c r="W333" s="998"/>
      <c r="X333" s="2989">
        <f t="shared" si="84"/>
        <v>0</v>
      </c>
      <c r="Y333" s="2989">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89">
        <f t="shared" si="82"/>
        <v>0</v>
      </c>
      <c r="V334" s="2989">
        <f t="shared" si="83"/>
        <v>0</v>
      </c>
      <c r="W334" s="998"/>
      <c r="X334" s="2989">
        <f t="shared" si="84"/>
        <v>0</v>
      </c>
      <c r="Y334" s="2989">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89">
        <f t="shared" si="82"/>
        <v>0</v>
      </c>
      <c r="V335" s="2989">
        <f t="shared" si="83"/>
        <v>0</v>
      </c>
      <c r="W335" s="998"/>
      <c r="X335" s="2989">
        <f t="shared" si="84"/>
        <v>0</v>
      </c>
      <c r="Y335" s="2989">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89">
        <f t="shared" si="82"/>
        <v>0</v>
      </c>
      <c r="V336" s="2989">
        <f t="shared" si="83"/>
        <v>0</v>
      </c>
      <c r="W336" s="998"/>
      <c r="X336" s="2989">
        <f t="shared" si="84"/>
        <v>0</v>
      </c>
      <c r="Y336" s="2989">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89">
        <f t="shared" si="82"/>
        <v>0</v>
      </c>
      <c r="V337" s="2989">
        <f t="shared" si="83"/>
        <v>0</v>
      </c>
      <c r="W337" s="998"/>
      <c r="X337" s="2989">
        <f t="shared" si="84"/>
        <v>0</v>
      </c>
      <c r="Y337" s="2989">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89">
        <f t="shared" si="82"/>
        <v>0</v>
      </c>
      <c r="V338" s="2989">
        <f t="shared" si="83"/>
        <v>0</v>
      </c>
      <c r="W338" s="998"/>
      <c r="X338" s="2989">
        <f t="shared" si="84"/>
        <v>0</v>
      </c>
      <c r="Y338" s="2989">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89">
        <f t="shared" si="82"/>
        <v>0</v>
      </c>
      <c r="V339" s="2989">
        <f t="shared" si="83"/>
        <v>0</v>
      </c>
      <c r="W339" s="998"/>
      <c r="X339" s="2989">
        <f t="shared" si="84"/>
        <v>0</v>
      </c>
      <c r="Y339" s="2989">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89">
        <f t="shared" si="82"/>
        <v>0</v>
      </c>
      <c r="V340" s="2989">
        <f t="shared" si="83"/>
        <v>0</v>
      </c>
      <c r="W340" s="998"/>
      <c r="X340" s="2989">
        <f t="shared" si="84"/>
        <v>0</v>
      </c>
      <c r="Y340" s="2989">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89">
        <f t="shared" si="82"/>
        <v>0</v>
      </c>
      <c r="V341" s="2989">
        <f t="shared" si="83"/>
        <v>0</v>
      </c>
      <c r="W341" s="998"/>
      <c r="X341" s="2989">
        <f t="shared" si="84"/>
        <v>0</v>
      </c>
      <c r="Y341" s="2989">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89">
        <f t="shared" si="82"/>
        <v>0</v>
      </c>
      <c r="V342" s="2989">
        <f t="shared" si="83"/>
        <v>0</v>
      </c>
      <c r="W342" s="998"/>
      <c r="X342" s="2989">
        <f t="shared" si="84"/>
        <v>0</v>
      </c>
      <c r="Y342" s="2989">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89">
        <f t="shared" si="82"/>
        <v>0</v>
      </c>
      <c r="V343" s="2989">
        <f t="shared" si="83"/>
        <v>0</v>
      </c>
      <c r="W343" s="998"/>
      <c r="X343" s="2989">
        <f t="shared" si="84"/>
        <v>0</v>
      </c>
      <c r="Y343" s="2989">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89">
        <f t="shared" si="82"/>
        <v>0</v>
      </c>
      <c r="V344" s="2989">
        <f t="shared" si="83"/>
        <v>0</v>
      </c>
      <c r="W344" s="998"/>
      <c r="X344" s="2989">
        <f t="shared" si="84"/>
        <v>0</v>
      </c>
      <c r="Y344" s="2989">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89">
        <f t="shared" si="82"/>
        <v>0</v>
      </c>
      <c r="V345" s="2989">
        <f t="shared" si="83"/>
        <v>0</v>
      </c>
      <c r="W345" s="998"/>
      <c r="X345" s="2989">
        <f t="shared" si="84"/>
        <v>0</v>
      </c>
      <c r="Y345" s="2989">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89">
        <f t="shared" si="82"/>
        <v>0</v>
      </c>
      <c r="V346" s="2989">
        <f t="shared" si="83"/>
        <v>0</v>
      </c>
      <c r="W346" s="998"/>
      <c r="X346" s="2989">
        <f t="shared" si="84"/>
        <v>0</v>
      </c>
      <c r="Y346" s="2989">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89">
        <f t="shared" si="82"/>
        <v>0</v>
      </c>
      <c r="V347" s="2989">
        <f t="shared" si="83"/>
        <v>0</v>
      </c>
      <c r="W347" s="998"/>
      <c r="X347" s="2989">
        <f t="shared" si="84"/>
        <v>0</v>
      </c>
      <c r="Y347" s="2989">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89">
        <f t="shared" ref="U348:U411" si="97">ROUND(W348*B348,0)</f>
        <v>0</v>
      </c>
      <c r="V348" s="2989">
        <f t="shared" ref="V348:V411" si="98">ROUND(W348*B348/10000,0)</f>
        <v>0</v>
      </c>
      <c r="W348" s="998"/>
      <c r="X348" s="2989">
        <f t="shared" ref="X348:X411" si="99">ROUND(Z348*B348,0)</f>
        <v>0</v>
      </c>
      <c r="Y348" s="2989">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89">
        <f t="shared" si="97"/>
        <v>0</v>
      </c>
      <c r="V349" s="2989">
        <f t="shared" si="98"/>
        <v>0</v>
      </c>
      <c r="W349" s="998"/>
      <c r="X349" s="2989">
        <f t="shared" si="99"/>
        <v>0</v>
      </c>
      <c r="Y349" s="2989">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89">
        <f t="shared" si="97"/>
        <v>0</v>
      </c>
      <c r="V350" s="2989">
        <f t="shared" si="98"/>
        <v>0</v>
      </c>
      <c r="W350" s="998"/>
      <c r="X350" s="2989">
        <f t="shared" si="99"/>
        <v>0</v>
      </c>
      <c r="Y350" s="2989">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89">
        <f t="shared" si="97"/>
        <v>0</v>
      </c>
      <c r="V351" s="2989">
        <f t="shared" si="98"/>
        <v>0</v>
      </c>
      <c r="W351" s="998"/>
      <c r="X351" s="2989">
        <f t="shared" si="99"/>
        <v>0</v>
      </c>
      <c r="Y351" s="2989">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89">
        <f t="shared" si="97"/>
        <v>0</v>
      </c>
      <c r="V352" s="2989">
        <f t="shared" si="98"/>
        <v>0</v>
      </c>
      <c r="W352" s="998"/>
      <c r="X352" s="2989">
        <f t="shared" si="99"/>
        <v>0</v>
      </c>
      <c r="Y352" s="2989">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89">
        <f t="shared" si="97"/>
        <v>0</v>
      </c>
      <c r="V353" s="2989">
        <f t="shared" si="98"/>
        <v>0</v>
      </c>
      <c r="W353" s="998"/>
      <c r="X353" s="2989">
        <f t="shared" si="99"/>
        <v>0</v>
      </c>
      <c r="Y353" s="2989">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89">
        <f t="shared" si="97"/>
        <v>0</v>
      </c>
      <c r="V354" s="2989">
        <f t="shared" si="98"/>
        <v>0</v>
      </c>
      <c r="W354" s="998"/>
      <c r="X354" s="2989">
        <f t="shared" si="99"/>
        <v>0</v>
      </c>
      <c r="Y354" s="2989">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89">
        <f t="shared" si="97"/>
        <v>0</v>
      </c>
      <c r="V355" s="2989">
        <f t="shared" si="98"/>
        <v>0</v>
      </c>
      <c r="W355" s="998"/>
      <c r="X355" s="2989">
        <f t="shared" si="99"/>
        <v>0</v>
      </c>
      <c r="Y355" s="2989">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89">
        <f t="shared" si="97"/>
        <v>0</v>
      </c>
      <c r="V356" s="2989">
        <f t="shared" si="98"/>
        <v>0</v>
      </c>
      <c r="W356" s="998"/>
      <c r="X356" s="2989">
        <f t="shared" si="99"/>
        <v>0</v>
      </c>
      <c r="Y356" s="2989">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89">
        <f t="shared" si="97"/>
        <v>0</v>
      </c>
      <c r="V357" s="2989">
        <f t="shared" si="98"/>
        <v>0</v>
      </c>
      <c r="W357" s="998"/>
      <c r="X357" s="2989">
        <f t="shared" si="99"/>
        <v>0</v>
      </c>
      <c r="Y357" s="2989">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89">
        <f t="shared" si="97"/>
        <v>0</v>
      </c>
      <c r="V358" s="2989">
        <f t="shared" si="98"/>
        <v>0</v>
      </c>
      <c r="W358" s="998"/>
      <c r="X358" s="2989">
        <f t="shared" si="99"/>
        <v>0</v>
      </c>
      <c r="Y358" s="2989">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89">
        <f t="shared" si="97"/>
        <v>0</v>
      </c>
      <c r="V359" s="2989">
        <f t="shared" si="98"/>
        <v>0</v>
      </c>
      <c r="W359" s="998"/>
      <c r="X359" s="2989">
        <f t="shared" si="99"/>
        <v>0</v>
      </c>
      <c r="Y359" s="2989">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89">
        <f t="shared" si="97"/>
        <v>0</v>
      </c>
      <c r="V360" s="2989">
        <f t="shared" si="98"/>
        <v>0</v>
      </c>
      <c r="W360" s="998"/>
      <c r="X360" s="2989">
        <f t="shared" si="99"/>
        <v>0</v>
      </c>
      <c r="Y360" s="2989">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89">
        <f t="shared" si="97"/>
        <v>0</v>
      </c>
      <c r="V361" s="2989">
        <f t="shared" si="98"/>
        <v>0</v>
      </c>
      <c r="W361" s="998"/>
      <c r="X361" s="2989">
        <f t="shared" si="99"/>
        <v>0</v>
      </c>
      <c r="Y361" s="2989">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89">
        <f t="shared" si="97"/>
        <v>0</v>
      </c>
      <c r="V362" s="2989">
        <f t="shared" si="98"/>
        <v>0</v>
      </c>
      <c r="W362" s="998"/>
      <c r="X362" s="2989">
        <f t="shared" si="99"/>
        <v>0</v>
      </c>
      <c r="Y362" s="2989">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89">
        <f t="shared" si="97"/>
        <v>0</v>
      </c>
      <c r="V363" s="2989">
        <f t="shared" si="98"/>
        <v>0</v>
      </c>
      <c r="W363" s="998"/>
      <c r="X363" s="2989">
        <f t="shared" si="99"/>
        <v>0</v>
      </c>
      <c r="Y363" s="2989">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89">
        <f t="shared" si="97"/>
        <v>0</v>
      </c>
      <c r="V364" s="2989">
        <f t="shared" si="98"/>
        <v>0</v>
      </c>
      <c r="W364" s="998"/>
      <c r="X364" s="2989">
        <f t="shared" si="99"/>
        <v>0</v>
      </c>
      <c r="Y364" s="2989">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89">
        <f t="shared" si="97"/>
        <v>0</v>
      </c>
      <c r="V365" s="2989">
        <f t="shared" si="98"/>
        <v>0</v>
      </c>
      <c r="W365" s="998"/>
      <c r="X365" s="2989">
        <f t="shared" si="99"/>
        <v>0</v>
      </c>
      <c r="Y365" s="2989">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89">
        <f t="shared" si="97"/>
        <v>0</v>
      </c>
      <c r="V366" s="2989">
        <f t="shared" si="98"/>
        <v>0</v>
      </c>
      <c r="W366" s="998"/>
      <c r="X366" s="2989">
        <f t="shared" si="99"/>
        <v>0</v>
      </c>
      <c r="Y366" s="2989">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89">
        <f t="shared" si="97"/>
        <v>0</v>
      </c>
      <c r="V367" s="2989">
        <f t="shared" si="98"/>
        <v>0</v>
      </c>
      <c r="W367" s="998"/>
      <c r="X367" s="2989">
        <f t="shared" si="99"/>
        <v>0</v>
      </c>
      <c r="Y367" s="2989">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89">
        <f t="shared" si="97"/>
        <v>0</v>
      </c>
      <c r="V368" s="2989">
        <f t="shared" si="98"/>
        <v>0</v>
      </c>
      <c r="W368" s="998"/>
      <c r="X368" s="2989">
        <f t="shared" si="99"/>
        <v>0</v>
      </c>
      <c r="Y368" s="2989">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89">
        <f t="shared" si="97"/>
        <v>0</v>
      </c>
      <c r="V369" s="2989">
        <f t="shared" si="98"/>
        <v>0</v>
      </c>
      <c r="W369" s="998"/>
      <c r="X369" s="2989">
        <f t="shared" si="99"/>
        <v>0</v>
      </c>
      <c r="Y369" s="2989">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89">
        <f t="shared" si="97"/>
        <v>0</v>
      </c>
      <c r="V370" s="2989">
        <f t="shared" si="98"/>
        <v>0</v>
      </c>
      <c r="W370" s="998"/>
      <c r="X370" s="2989">
        <f t="shared" si="99"/>
        <v>0</v>
      </c>
      <c r="Y370" s="2989">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89">
        <f t="shared" si="97"/>
        <v>0</v>
      </c>
      <c r="V371" s="2989">
        <f t="shared" si="98"/>
        <v>0</v>
      </c>
      <c r="W371" s="998"/>
      <c r="X371" s="2989">
        <f t="shared" si="99"/>
        <v>0</v>
      </c>
      <c r="Y371" s="2989">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89">
        <f t="shared" si="97"/>
        <v>0</v>
      </c>
      <c r="V372" s="2989">
        <f t="shared" si="98"/>
        <v>0</v>
      </c>
      <c r="W372" s="998"/>
      <c r="X372" s="2989">
        <f t="shared" si="99"/>
        <v>0</v>
      </c>
      <c r="Y372" s="2989">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89">
        <f t="shared" si="97"/>
        <v>0</v>
      </c>
      <c r="V373" s="2989">
        <f t="shared" si="98"/>
        <v>0</v>
      </c>
      <c r="W373" s="998"/>
      <c r="X373" s="2989">
        <f t="shared" si="99"/>
        <v>0</v>
      </c>
      <c r="Y373" s="2989">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89">
        <f t="shared" si="97"/>
        <v>0</v>
      </c>
      <c r="V374" s="2989">
        <f t="shared" si="98"/>
        <v>0</v>
      </c>
      <c r="W374" s="998"/>
      <c r="X374" s="2989">
        <f t="shared" si="99"/>
        <v>0</v>
      </c>
      <c r="Y374" s="2989">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89">
        <f t="shared" si="97"/>
        <v>0</v>
      </c>
      <c r="V375" s="2989">
        <f t="shared" si="98"/>
        <v>0</v>
      </c>
      <c r="W375" s="998"/>
      <c r="X375" s="2989">
        <f t="shared" si="99"/>
        <v>0</v>
      </c>
      <c r="Y375" s="2989">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89">
        <f t="shared" si="97"/>
        <v>0</v>
      </c>
      <c r="V376" s="2989">
        <f t="shared" si="98"/>
        <v>0</v>
      </c>
      <c r="W376" s="998"/>
      <c r="X376" s="2989">
        <f t="shared" si="99"/>
        <v>0</v>
      </c>
      <c r="Y376" s="2989">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89">
        <f t="shared" si="97"/>
        <v>0</v>
      </c>
      <c r="V377" s="2989">
        <f t="shared" si="98"/>
        <v>0</v>
      </c>
      <c r="W377" s="998"/>
      <c r="X377" s="2989">
        <f t="shared" si="99"/>
        <v>0</v>
      </c>
      <c r="Y377" s="2989">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89">
        <f t="shared" si="97"/>
        <v>0</v>
      </c>
      <c r="V378" s="2989">
        <f t="shared" si="98"/>
        <v>0</v>
      </c>
      <c r="W378" s="998"/>
      <c r="X378" s="2989">
        <f t="shared" si="99"/>
        <v>0</v>
      </c>
      <c r="Y378" s="2989">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89">
        <f t="shared" si="97"/>
        <v>0</v>
      </c>
      <c r="V379" s="2989">
        <f t="shared" si="98"/>
        <v>0</v>
      </c>
      <c r="W379" s="998"/>
      <c r="X379" s="2989">
        <f t="shared" si="99"/>
        <v>0</v>
      </c>
      <c r="Y379" s="2989">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89">
        <f t="shared" si="97"/>
        <v>0</v>
      </c>
      <c r="V380" s="2989">
        <f t="shared" si="98"/>
        <v>0</v>
      </c>
      <c r="W380" s="998"/>
      <c r="X380" s="2989">
        <f t="shared" si="99"/>
        <v>0</v>
      </c>
      <c r="Y380" s="2989">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89">
        <f t="shared" si="97"/>
        <v>0</v>
      </c>
      <c r="V381" s="2989">
        <f t="shared" si="98"/>
        <v>0</v>
      </c>
      <c r="W381" s="998"/>
      <c r="X381" s="2989">
        <f t="shared" si="99"/>
        <v>0</v>
      </c>
      <c r="Y381" s="2989">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89">
        <f t="shared" si="97"/>
        <v>0</v>
      </c>
      <c r="V382" s="2989">
        <f t="shared" si="98"/>
        <v>0</v>
      </c>
      <c r="W382" s="998"/>
      <c r="X382" s="2989">
        <f t="shared" si="99"/>
        <v>0</v>
      </c>
      <c r="Y382" s="2989">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89">
        <f t="shared" si="97"/>
        <v>0</v>
      </c>
      <c r="V383" s="2989">
        <f t="shared" si="98"/>
        <v>0</v>
      </c>
      <c r="W383" s="998"/>
      <c r="X383" s="2989">
        <f t="shared" si="99"/>
        <v>0</v>
      </c>
      <c r="Y383" s="2989">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89">
        <f t="shared" si="97"/>
        <v>0</v>
      </c>
      <c r="V384" s="2989">
        <f t="shared" si="98"/>
        <v>0</v>
      </c>
      <c r="W384" s="998"/>
      <c r="X384" s="2989">
        <f t="shared" si="99"/>
        <v>0</v>
      </c>
      <c r="Y384" s="2989">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89">
        <f t="shared" si="97"/>
        <v>0</v>
      </c>
      <c r="V385" s="2989">
        <f t="shared" si="98"/>
        <v>0</v>
      </c>
      <c r="W385" s="998"/>
      <c r="X385" s="2989">
        <f t="shared" si="99"/>
        <v>0</v>
      </c>
      <c r="Y385" s="2989">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89">
        <f t="shared" si="97"/>
        <v>0</v>
      </c>
      <c r="V386" s="2989">
        <f t="shared" si="98"/>
        <v>0</v>
      </c>
      <c r="W386" s="998"/>
      <c r="X386" s="2989">
        <f t="shared" si="99"/>
        <v>0</v>
      </c>
      <c r="Y386" s="2989">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89">
        <f t="shared" si="97"/>
        <v>0</v>
      </c>
      <c r="V387" s="2989">
        <f t="shared" si="98"/>
        <v>0</v>
      </c>
      <c r="W387" s="998"/>
      <c r="X387" s="2989">
        <f t="shared" si="99"/>
        <v>0</v>
      </c>
      <c r="Y387" s="2989">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89">
        <f t="shared" si="97"/>
        <v>0</v>
      </c>
      <c r="V388" s="2989">
        <f t="shared" si="98"/>
        <v>0</v>
      </c>
      <c r="W388" s="998"/>
      <c r="X388" s="2989">
        <f t="shared" si="99"/>
        <v>0</v>
      </c>
      <c r="Y388" s="2989">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89">
        <f t="shared" si="97"/>
        <v>0</v>
      </c>
      <c r="V389" s="2989">
        <f t="shared" si="98"/>
        <v>0</v>
      </c>
      <c r="W389" s="998"/>
      <c r="X389" s="2989">
        <f t="shared" si="99"/>
        <v>0</v>
      </c>
      <c r="Y389" s="2989">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89">
        <f t="shared" si="97"/>
        <v>0</v>
      </c>
      <c r="V390" s="2989">
        <f t="shared" si="98"/>
        <v>0</v>
      </c>
      <c r="W390" s="998"/>
      <c r="X390" s="2989">
        <f t="shared" si="99"/>
        <v>0</v>
      </c>
      <c r="Y390" s="2989">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89">
        <f t="shared" si="97"/>
        <v>0</v>
      </c>
      <c r="V391" s="2989">
        <f t="shared" si="98"/>
        <v>0</v>
      </c>
      <c r="W391" s="998"/>
      <c r="X391" s="2989">
        <f t="shared" si="99"/>
        <v>0</v>
      </c>
      <c r="Y391" s="2989">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89">
        <f t="shared" si="97"/>
        <v>0</v>
      </c>
      <c r="V392" s="2989">
        <f t="shared" si="98"/>
        <v>0</v>
      </c>
      <c r="W392" s="998"/>
      <c r="X392" s="2989">
        <f t="shared" si="99"/>
        <v>0</v>
      </c>
      <c r="Y392" s="2989">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89">
        <f t="shared" si="97"/>
        <v>0</v>
      </c>
      <c r="V393" s="2989">
        <f t="shared" si="98"/>
        <v>0</v>
      </c>
      <c r="W393" s="998"/>
      <c r="X393" s="2989">
        <f t="shared" si="99"/>
        <v>0</v>
      </c>
      <c r="Y393" s="2989">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89">
        <f t="shared" si="97"/>
        <v>0</v>
      </c>
      <c r="V394" s="2989">
        <f t="shared" si="98"/>
        <v>0</v>
      </c>
      <c r="W394" s="998"/>
      <c r="X394" s="2989">
        <f t="shared" si="99"/>
        <v>0</v>
      </c>
      <c r="Y394" s="2989">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89">
        <f t="shared" si="97"/>
        <v>0</v>
      </c>
      <c r="V395" s="2989">
        <f t="shared" si="98"/>
        <v>0</v>
      </c>
      <c r="W395" s="998"/>
      <c r="X395" s="2989">
        <f t="shared" si="99"/>
        <v>0</v>
      </c>
      <c r="Y395" s="2989">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89">
        <f t="shared" si="97"/>
        <v>0</v>
      </c>
      <c r="V396" s="2989">
        <f t="shared" si="98"/>
        <v>0</v>
      </c>
      <c r="W396" s="998"/>
      <c r="X396" s="2989">
        <f t="shared" si="99"/>
        <v>0</v>
      </c>
      <c r="Y396" s="2989">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89">
        <f t="shared" si="97"/>
        <v>0</v>
      </c>
      <c r="V397" s="2989">
        <f t="shared" si="98"/>
        <v>0</v>
      </c>
      <c r="W397" s="998"/>
      <c r="X397" s="2989">
        <f t="shared" si="99"/>
        <v>0</v>
      </c>
      <c r="Y397" s="2989">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89">
        <f t="shared" si="97"/>
        <v>0</v>
      </c>
      <c r="V398" s="2989">
        <f t="shared" si="98"/>
        <v>0</v>
      </c>
      <c r="W398" s="998"/>
      <c r="X398" s="2989">
        <f t="shared" si="99"/>
        <v>0</v>
      </c>
      <c r="Y398" s="2989">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89">
        <f t="shared" si="97"/>
        <v>0</v>
      </c>
      <c r="V399" s="2989">
        <f t="shared" si="98"/>
        <v>0</v>
      </c>
      <c r="W399" s="998"/>
      <c r="X399" s="2989">
        <f t="shared" si="99"/>
        <v>0</v>
      </c>
      <c r="Y399" s="2989">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89">
        <f t="shared" si="97"/>
        <v>0</v>
      </c>
      <c r="V400" s="2989">
        <f t="shared" si="98"/>
        <v>0</v>
      </c>
      <c r="W400" s="998"/>
      <c r="X400" s="2989">
        <f t="shared" si="99"/>
        <v>0</v>
      </c>
      <c r="Y400" s="2989">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89">
        <f t="shared" si="97"/>
        <v>0</v>
      </c>
      <c r="V401" s="2989">
        <f t="shared" si="98"/>
        <v>0</v>
      </c>
      <c r="W401" s="998"/>
      <c r="X401" s="2989">
        <f t="shared" si="99"/>
        <v>0</v>
      </c>
      <c r="Y401" s="2989">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89">
        <f t="shared" si="97"/>
        <v>0</v>
      </c>
      <c r="V402" s="2989">
        <f t="shared" si="98"/>
        <v>0</v>
      </c>
      <c r="W402" s="998"/>
      <c r="X402" s="2989">
        <f t="shared" si="99"/>
        <v>0</v>
      </c>
      <c r="Y402" s="2989">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89">
        <f t="shared" si="97"/>
        <v>0</v>
      </c>
      <c r="V403" s="2989">
        <f t="shared" si="98"/>
        <v>0</v>
      </c>
      <c r="W403" s="998"/>
      <c r="X403" s="2989">
        <f t="shared" si="99"/>
        <v>0</v>
      </c>
      <c r="Y403" s="2989">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89">
        <f t="shared" si="97"/>
        <v>0</v>
      </c>
      <c r="V404" s="2989">
        <f t="shared" si="98"/>
        <v>0</v>
      </c>
      <c r="W404" s="998"/>
      <c r="X404" s="2989">
        <f t="shared" si="99"/>
        <v>0</v>
      </c>
      <c r="Y404" s="2989">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89">
        <f t="shared" si="97"/>
        <v>0</v>
      </c>
      <c r="V405" s="2989">
        <f t="shared" si="98"/>
        <v>0</v>
      </c>
      <c r="W405" s="998"/>
      <c r="X405" s="2989">
        <f t="shared" si="99"/>
        <v>0</v>
      </c>
      <c r="Y405" s="2989">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89">
        <f t="shared" si="97"/>
        <v>0</v>
      </c>
      <c r="V406" s="2989">
        <f t="shared" si="98"/>
        <v>0</v>
      </c>
      <c r="W406" s="998"/>
      <c r="X406" s="2989">
        <f t="shared" si="99"/>
        <v>0</v>
      </c>
      <c r="Y406" s="2989">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89">
        <f t="shared" si="97"/>
        <v>0</v>
      </c>
      <c r="V407" s="2989">
        <f t="shared" si="98"/>
        <v>0</v>
      </c>
      <c r="W407" s="998"/>
      <c r="X407" s="2989">
        <f t="shared" si="99"/>
        <v>0</v>
      </c>
      <c r="Y407" s="2989">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89">
        <f t="shared" si="97"/>
        <v>0</v>
      </c>
      <c r="V408" s="2989">
        <f t="shared" si="98"/>
        <v>0</v>
      </c>
      <c r="W408" s="998"/>
      <c r="X408" s="2989">
        <f t="shared" si="99"/>
        <v>0</v>
      </c>
      <c r="Y408" s="2989">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89">
        <f t="shared" si="97"/>
        <v>0</v>
      </c>
      <c r="V409" s="2989">
        <f t="shared" si="98"/>
        <v>0</v>
      </c>
      <c r="W409" s="998"/>
      <c r="X409" s="2989">
        <f t="shared" si="99"/>
        <v>0</v>
      </c>
      <c r="Y409" s="2989">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89">
        <f t="shared" si="97"/>
        <v>0</v>
      </c>
      <c r="V410" s="2989">
        <f t="shared" si="98"/>
        <v>0</v>
      </c>
      <c r="W410" s="998"/>
      <c r="X410" s="2989">
        <f t="shared" si="99"/>
        <v>0</v>
      </c>
      <c r="Y410" s="2989">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89">
        <f t="shared" si="97"/>
        <v>0</v>
      </c>
      <c r="V411" s="2989">
        <f t="shared" si="98"/>
        <v>0</v>
      </c>
      <c r="W411" s="998"/>
      <c r="X411" s="2989">
        <f t="shared" si="99"/>
        <v>0</v>
      </c>
      <c r="Y411" s="2989">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89">
        <f t="shared" ref="U412:U475" si="112">ROUND(W412*B412,0)</f>
        <v>0</v>
      </c>
      <c r="V412" s="2989">
        <f t="shared" ref="V412:V475" si="113">ROUND(W412*B412/10000,0)</f>
        <v>0</v>
      </c>
      <c r="W412" s="998"/>
      <c r="X412" s="2989">
        <f t="shared" ref="X412:X475" si="114">ROUND(Z412*B412,0)</f>
        <v>0</v>
      </c>
      <c r="Y412" s="2989">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89">
        <f t="shared" si="112"/>
        <v>0</v>
      </c>
      <c r="V413" s="2989">
        <f t="shared" si="113"/>
        <v>0</v>
      </c>
      <c r="W413" s="998"/>
      <c r="X413" s="2989">
        <f t="shared" si="114"/>
        <v>0</v>
      </c>
      <c r="Y413" s="2989">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89">
        <f t="shared" si="112"/>
        <v>0</v>
      </c>
      <c r="V414" s="2989">
        <f t="shared" si="113"/>
        <v>0</v>
      </c>
      <c r="W414" s="998"/>
      <c r="X414" s="2989">
        <f t="shared" si="114"/>
        <v>0</v>
      </c>
      <c r="Y414" s="2989">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89">
        <f t="shared" si="112"/>
        <v>0</v>
      </c>
      <c r="V415" s="2989">
        <f t="shared" si="113"/>
        <v>0</v>
      </c>
      <c r="W415" s="998"/>
      <c r="X415" s="2989">
        <f t="shared" si="114"/>
        <v>0</v>
      </c>
      <c r="Y415" s="2989">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89">
        <f t="shared" si="112"/>
        <v>0</v>
      </c>
      <c r="V416" s="2989">
        <f t="shared" si="113"/>
        <v>0</v>
      </c>
      <c r="W416" s="998"/>
      <c r="X416" s="2989">
        <f t="shared" si="114"/>
        <v>0</v>
      </c>
      <c r="Y416" s="2989">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89">
        <f t="shared" si="112"/>
        <v>0</v>
      </c>
      <c r="V417" s="2989">
        <f t="shared" si="113"/>
        <v>0</v>
      </c>
      <c r="W417" s="998"/>
      <c r="X417" s="2989">
        <f t="shared" si="114"/>
        <v>0</v>
      </c>
      <c r="Y417" s="2989">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89">
        <f t="shared" si="112"/>
        <v>0</v>
      </c>
      <c r="V418" s="2989">
        <f t="shared" si="113"/>
        <v>0</v>
      </c>
      <c r="W418" s="998"/>
      <c r="X418" s="2989">
        <f t="shared" si="114"/>
        <v>0</v>
      </c>
      <c r="Y418" s="2989">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89">
        <f t="shared" si="112"/>
        <v>0</v>
      </c>
      <c r="V419" s="2989">
        <f t="shared" si="113"/>
        <v>0</v>
      </c>
      <c r="W419" s="998"/>
      <c r="X419" s="2989">
        <f t="shared" si="114"/>
        <v>0</v>
      </c>
      <c r="Y419" s="2989">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89">
        <f t="shared" si="112"/>
        <v>0</v>
      </c>
      <c r="V420" s="2989">
        <f t="shared" si="113"/>
        <v>0</v>
      </c>
      <c r="W420" s="998"/>
      <c r="X420" s="2989">
        <f t="shared" si="114"/>
        <v>0</v>
      </c>
      <c r="Y420" s="2989">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89">
        <f t="shared" si="112"/>
        <v>0</v>
      </c>
      <c r="V421" s="2989">
        <f t="shared" si="113"/>
        <v>0</v>
      </c>
      <c r="W421" s="998"/>
      <c r="X421" s="2989">
        <f t="shared" si="114"/>
        <v>0</v>
      </c>
      <c r="Y421" s="2989">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89">
        <f t="shared" si="112"/>
        <v>0</v>
      </c>
      <c r="V422" s="2989">
        <f t="shared" si="113"/>
        <v>0</v>
      </c>
      <c r="W422" s="998"/>
      <c r="X422" s="2989">
        <f t="shared" si="114"/>
        <v>0</v>
      </c>
      <c r="Y422" s="2989">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89">
        <f t="shared" si="112"/>
        <v>0</v>
      </c>
      <c r="V423" s="2989">
        <f t="shared" si="113"/>
        <v>0</v>
      </c>
      <c r="W423" s="998"/>
      <c r="X423" s="2989">
        <f t="shared" si="114"/>
        <v>0</v>
      </c>
      <c r="Y423" s="2989">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89">
        <f t="shared" si="112"/>
        <v>0</v>
      </c>
      <c r="V424" s="2989">
        <f t="shared" si="113"/>
        <v>0</v>
      </c>
      <c r="W424" s="998"/>
      <c r="X424" s="2989">
        <f t="shared" si="114"/>
        <v>0</v>
      </c>
      <c r="Y424" s="2989">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89">
        <f t="shared" si="112"/>
        <v>0</v>
      </c>
      <c r="V425" s="2989">
        <f t="shared" si="113"/>
        <v>0</v>
      </c>
      <c r="W425" s="998"/>
      <c r="X425" s="2989">
        <f t="shared" si="114"/>
        <v>0</v>
      </c>
      <c r="Y425" s="2989">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89">
        <f t="shared" si="112"/>
        <v>0</v>
      </c>
      <c r="V426" s="2989">
        <f t="shared" si="113"/>
        <v>0</v>
      </c>
      <c r="W426" s="998"/>
      <c r="X426" s="2989">
        <f t="shared" si="114"/>
        <v>0</v>
      </c>
      <c r="Y426" s="2989">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89">
        <f t="shared" si="112"/>
        <v>0</v>
      </c>
      <c r="V427" s="2989">
        <f t="shared" si="113"/>
        <v>0</v>
      </c>
      <c r="W427" s="998"/>
      <c r="X427" s="2989">
        <f t="shared" si="114"/>
        <v>0</v>
      </c>
      <c r="Y427" s="2989">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89">
        <f t="shared" si="112"/>
        <v>0</v>
      </c>
      <c r="V428" s="2989">
        <f t="shared" si="113"/>
        <v>0</v>
      </c>
      <c r="W428" s="998"/>
      <c r="X428" s="2989">
        <f t="shared" si="114"/>
        <v>0</v>
      </c>
      <c r="Y428" s="2989">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89">
        <f t="shared" si="112"/>
        <v>0</v>
      </c>
      <c r="V429" s="2989">
        <f t="shared" si="113"/>
        <v>0</v>
      </c>
      <c r="W429" s="998"/>
      <c r="X429" s="2989">
        <f t="shared" si="114"/>
        <v>0</v>
      </c>
      <c r="Y429" s="2989">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89">
        <f t="shared" si="112"/>
        <v>0</v>
      </c>
      <c r="V430" s="2989">
        <f t="shared" si="113"/>
        <v>0</v>
      </c>
      <c r="W430" s="998"/>
      <c r="X430" s="2989">
        <f t="shared" si="114"/>
        <v>0</v>
      </c>
      <c r="Y430" s="2989">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89">
        <f t="shared" si="112"/>
        <v>0</v>
      </c>
      <c r="V431" s="2989">
        <f t="shared" si="113"/>
        <v>0</v>
      </c>
      <c r="W431" s="998"/>
      <c r="X431" s="2989">
        <f t="shared" si="114"/>
        <v>0</v>
      </c>
      <c r="Y431" s="2989">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89">
        <f t="shared" si="112"/>
        <v>0</v>
      </c>
      <c r="V432" s="2989">
        <f t="shared" si="113"/>
        <v>0</v>
      </c>
      <c r="W432" s="998"/>
      <c r="X432" s="2989">
        <f t="shared" si="114"/>
        <v>0</v>
      </c>
      <c r="Y432" s="2989">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89">
        <f t="shared" si="112"/>
        <v>0</v>
      </c>
      <c r="V433" s="2989">
        <f t="shared" si="113"/>
        <v>0</v>
      </c>
      <c r="W433" s="998"/>
      <c r="X433" s="2989">
        <f t="shared" si="114"/>
        <v>0</v>
      </c>
      <c r="Y433" s="2989">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89">
        <f t="shared" si="112"/>
        <v>0</v>
      </c>
      <c r="V434" s="2989">
        <f t="shared" si="113"/>
        <v>0</v>
      </c>
      <c r="W434" s="998"/>
      <c r="X434" s="2989">
        <f t="shared" si="114"/>
        <v>0</v>
      </c>
      <c r="Y434" s="2989">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89">
        <f t="shared" si="112"/>
        <v>0</v>
      </c>
      <c r="V435" s="2989">
        <f t="shared" si="113"/>
        <v>0</v>
      </c>
      <c r="W435" s="998"/>
      <c r="X435" s="2989">
        <f t="shared" si="114"/>
        <v>0</v>
      </c>
      <c r="Y435" s="2989">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89">
        <f t="shared" si="112"/>
        <v>0</v>
      </c>
      <c r="V436" s="2989">
        <f t="shared" si="113"/>
        <v>0</v>
      </c>
      <c r="W436" s="998"/>
      <c r="X436" s="2989">
        <f t="shared" si="114"/>
        <v>0</v>
      </c>
      <c r="Y436" s="2989">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89">
        <f t="shared" si="112"/>
        <v>0</v>
      </c>
      <c r="V437" s="2989">
        <f t="shared" si="113"/>
        <v>0</v>
      </c>
      <c r="W437" s="998"/>
      <c r="X437" s="2989">
        <f t="shared" si="114"/>
        <v>0</v>
      </c>
      <c r="Y437" s="2989">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89">
        <f t="shared" si="112"/>
        <v>0</v>
      </c>
      <c r="V438" s="2989">
        <f t="shared" si="113"/>
        <v>0</v>
      </c>
      <c r="W438" s="998"/>
      <c r="X438" s="2989">
        <f t="shared" si="114"/>
        <v>0</v>
      </c>
      <c r="Y438" s="2989">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89">
        <f t="shared" si="112"/>
        <v>0</v>
      </c>
      <c r="V439" s="2989">
        <f t="shared" si="113"/>
        <v>0</v>
      </c>
      <c r="W439" s="998"/>
      <c r="X439" s="2989">
        <f t="shared" si="114"/>
        <v>0</v>
      </c>
      <c r="Y439" s="2989">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89">
        <f t="shared" si="112"/>
        <v>0</v>
      </c>
      <c r="V440" s="2989">
        <f t="shared" si="113"/>
        <v>0</v>
      </c>
      <c r="W440" s="998"/>
      <c r="X440" s="2989">
        <f t="shared" si="114"/>
        <v>0</v>
      </c>
      <c r="Y440" s="2989">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89">
        <f t="shared" si="112"/>
        <v>0</v>
      </c>
      <c r="V441" s="2989">
        <f t="shared" si="113"/>
        <v>0</v>
      </c>
      <c r="W441" s="998"/>
      <c r="X441" s="2989">
        <f t="shared" si="114"/>
        <v>0</v>
      </c>
      <c r="Y441" s="2989">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89">
        <f t="shared" si="112"/>
        <v>0</v>
      </c>
      <c r="V442" s="2989">
        <f t="shared" si="113"/>
        <v>0</v>
      </c>
      <c r="W442" s="998"/>
      <c r="X442" s="2989">
        <f t="shared" si="114"/>
        <v>0</v>
      </c>
      <c r="Y442" s="2989">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89">
        <f t="shared" si="112"/>
        <v>0</v>
      </c>
      <c r="V443" s="2989">
        <f t="shared" si="113"/>
        <v>0</v>
      </c>
      <c r="W443" s="998"/>
      <c r="X443" s="2989">
        <f t="shared" si="114"/>
        <v>0</v>
      </c>
      <c r="Y443" s="2989">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89">
        <f t="shared" si="112"/>
        <v>0</v>
      </c>
      <c r="V444" s="2989">
        <f t="shared" si="113"/>
        <v>0</v>
      </c>
      <c r="W444" s="998"/>
      <c r="X444" s="2989">
        <f t="shared" si="114"/>
        <v>0</v>
      </c>
      <c r="Y444" s="2989">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89">
        <f t="shared" si="112"/>
        <v>0</v>
      </c>
      <c r="V445" s="2989">
        <f t="shared" si="113"/>
        <v>0</v>
      </c>
      <c r="W445" s="998"/>
      <c r="X445" s="2989">
        <f t="shared" si="114"/>
        <v>0</v>
      </c>
      <c r="Y445" s="2989">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89">
        <f t="shared" si="112"/>
        <v>0</v>
      </c>
      <c r="V446" s="2989">
        <f t="shared" si="113"/>
        <v>0</v>
      </c>
      <c r="W446" s="998"/>
      <c r="X446" s="2989">
        <f t="shared" si="114"/>
        <v>0</v>
      </c>
      <c r="Y446" s="2989">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89">
        <f t="shared" si="112"/>
        <v>0</v>
      </c>
      <c r="V447" s="2989">
        <f t="shared" si="113"/>
        <v>0</v>
      </c>
      <c r="W447" s="998"/>
      <c r="X447" s="2989">
        <f t="shared" si="114"/>
        <v>0</v>
      </c>
      <c r="Y447" s="2989">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89">
        <f t="shared" si="112"/>
        <v>0</v>
      </c>
      <c r="V448" s="2989">
        <f t="shared" si="113"/>
        <v>0</v>
      </c>
      <c r="W448" s="998"/>
      <c r="X448" s="2989">
        <f t="shared" si="114"/>
        <v>0</v>
      </c>
      <c r="Y448" s="2989">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89">
        <f t="shared" si="112"/>
        <v>0</v>
      </c>
      <c r="V449" s="2989">
        <f t="shared" si="113"/>
        <v>0</v>
      </c>
      <c r="W449" s="998"/>
      <c r="X449" s="2989">
        <f t="shared" si="114"/>
        <v>0</v>
      </c>
      <c r="Y449" s="2989">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89">
        <f t="shared" si="112"/>
        <v>0</v>
      </c>
      <c r="V450" s="2989">
        <f t="shared" si="113"/>
        <v>0</v>
      </c>
      <c r="W450" s="998"/>
      <c r="X450" s="2989">
        <f t="shared" si="114"/>
        <v>0</v>
      </c>
      <c r="Y450" s="2989">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89">
        <f t="shared" si="112"/>
        <v>0</v>
      </c>
      <c r="V451" s="2989">
        <f t="shared" si="113"/>
        <v>0</v>
      </c>
      <c r="W451" s="998"/>
      <c r="X451" s="2989">
        <f t="shared" si="114"/>
        <v>0</v>
      </c>
      <c r="Y451" s="2989">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89">
        <f t="shared" si="112"/>
        <v>0</v>
      </c>
      <c r="V452" s="2989">
        <f t="shared" si="113"/>
        <v>0</v>
      </c>
      <c r="W452" s="998"/>
      <c r="X452" s="2989">
        <f t="shared" si="114"/>
        <v>0</v>
      </c>
      <c r="Y452" s="2989">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89">
        <f t="shared" si="112"/>
        <v>0</v>
      </c>
      <c r="V453" s="2989">
        <f t="shared" si="113"/>
        <v>0</v>
      </c>
      <c r="W453" s="998"/>
      <c r="X453" s="2989">
        <f t="shared" si="114"/>
        <v>0</v>
      </c>
      <c r="Y453" s="2989">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89">
        <f t="shared" si="112"/>
        <v>0</v>
      </c>
      <c r="V454" s="2989">
        <f t="shared" si="113"/>
        <v>0</v>
      </c>
      <c r="W454" s="998"/>
      <c r="X454" s="2989">
        <f t="shared" si="114"/>
        <v>0</v>
      </c>
      <c r="Y454" s="2989">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89">
        <f t="shared" si="112"/>
        <v>0</v>
      </c>
      <c r="V455" s="2989">
        <f t="shared" si="113"/>
        <v>0</v>
      </c>
      <c r="W455" s="998"/>
      <c r="X455" s="2989">
        <f t="shared" si="114"/>
        <v>0</v>
      </c>
      <c r="Y455" s="2989">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89">
        <f t="shared" si="112"/>
        <v>0</v>
      </c>
      <c r="V456" s="2989">
        <f t="shared" si="113"/>
        <v>0</v>
      </c>
      <c r="W456" s="998"/>
      <c r="X456" s="2989">
        <f t="shared" si="114"/>
        <v>0</v>
      </c>
      <c r="Y456" s="2989">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89">
        <f t="shared" si="112"/>
        <v>0</v>
      </c>
      <c r="V457" s="2989">
        <f t="shared" si="113"/>
        <v>0</v>
      </c>
      <c r="W457" s="998"/>
      <c r="X457" s="2989">
        <f t="shared" si="114"/>
        <v>0</v>
      </c>
      <c r="Y457" s="2989">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89">
        <f t="shared" si="112"/>
        <v>0</v>
      </c>
      <c r="V458" s="2989">
        <f t="shared" si="113"/>
        <v>0</v>
      </c>
      <c r="W458" s="998"/>
      <c r="X458" s="2989">
        <f t="shared" si="114"/>
        <v>0</v>
      </c>
      <c r="Y458" s="2989">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89">
        <f t="shared" si="112"/>
        <v>0</v>
      </c>
      <c r="V459" s="2989">
        <f t="shared" si="113"/>
        <v>0</v>
      </c>
      <c r="W459" s="998"/>
      <c r="X459" s="2989">
        <f t="shared" si="114"/>
        <v>0</v>
      </c>
      <c r="Y459" s="2989">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89">
        <f t="shared" si="112"/>
        <v>0</v>
      </c>
      <c r="V460" s="2989">
        <f t="shared" si="113"/>
        <v>0</v>
      </c>
      <c r="W460" s="998"/>
      <c r="X460" s="2989">
        <f t="shared" si="114"/>
        <v>0</v>
      </c>
      <c r="Y460" s="2989">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89">
        <f t="shared" si="112"/>
        <v>0</v>
      </c>
      <c r="V461" s="2989">
        <f t="shared" si="113"/>
        <v>0</v>
      </c>
      <c r="W461" s="998"/>
      <c r="X461" s="2989">
        <f t="shared" si="114"/>
        <v>0</v>
      </c>
      <c r="Y461" s="2989">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89">
        <f t="shared" si="112"/>
        <v>0</v>
      </c>
      <c r="V462" s="2989">
        <f t="shared" si="113"/>
        <v>0</v>
      </c>
      <c r="W462" s="998"/>
      <c r="X462" s="2989">
        <f t="shared" si="114"/>
        <v>0</v>
      </c>
      <c r="Y462" s="2989">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89">
        <f t="shared" si="112"/>
        <v>0</v>
      </c>
      <c r="V463" s="2989">
        <f t="shared" si="113"/>
        <v>0</v>
      </c>
      <c r="W463" s="998"/>
      <c r="X463" s="2989">
        <f t="shared" si="114"/>
        <v>0</v>
      </c>
      <c r="Y463" s="2989">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89">
        <f t="shared" si="112"/>
        <v>0</v>
      </c>
      <c r="V464" s="2989">
        <f t="shared" si="113"/>
        <v>0</v>
      </c>
      <c r="W464" s="998"/>
      <c r="X464" s="2989">
        <f t="shared" si="114"/>
        <v>0</v>
      </c>
      <c r="Y464" s="2989">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89">
        <f t="shared" si="112"/>
        <v>0</v>
      </c>
      <c r="V465" s="2989">
        <f t="shared" si="113"/>
        <v>0</v>
      </c>
      <c r="W465" s="998"/>
      <c r="X465" s="2989">
        <f t="shared" si="114"/>
        <v>0</v>
      </c>
      <c r="Y465" s="2989">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89">
        <f t="shared" si="112"/>
        <v>0</v>
      </c>
      <c r="V466" s="2989">
        <f t="shared" si="113"/>
        <v>0</v>
      </c>
      <c r="W466" s="998"/>
      <c r="X466" s="2989">
        <f t="shared" si="114"/>
        <v>0</v>
      </c>
      <c r="Y466" s="2989">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89">
        <f t="shared" si="112"/>
        <v>0</v>
      </c>
      <c r="V467" s="2989">
        <f t="shared" si="113"/>
        <v>0</v>
      </c>
      <c r="W467" s="998"/>
      <c r="X467" s="2989">
        <f t="shared" si="114"/>
        <v>0</v>
      </c>
      <c r="Y467" s="2989">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89">
        <f t="shared" si="112"/>
        <v>0</v>
      </c>
      <c r="V468" s="2989">
        <f t="shared" si="113"/>
        <v>0</v>
      </c>
      <c r="W468" s="998"/>
      <c r="X468" s="2989">
        <f t="shared" si="114"/>
        <v>0</v>
      </c>
      <c r="Y468" s="2989">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89">
        <f t="shared" si="112"/>
        <v>0</v>
      </c>
      <c r="V469" s="2989">
        <f t="shared" si="113"/>
        <v>0</v>
      </c>
      <c r="W469" s="998"/>
      <c r="X469" s="2989">
        <f t="shared" si="114"/>
        <v>0</v>
      </c>
      <c r="Y469" s="2989">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89">
        <f t="shared" si="112"/>
        <v>0</v>
      </c>
      <c r="V470" s="2989">
        <f t="shared" si="113"/>
        <v>0</v>
      </c>
      <c r="W470" s="998"/>
      <c r="X470" s="2989">
        <f t="shared" si="114"/>
        <v>0</v>
      </c>
      <c r="Y470" s="2989">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89">
        <f t="shared" si="112"/>
        <v>0</v>
      </c>
      <c r="V471" s="2989">
        <f t="shared" si="113"/>
        <v>0</v>
      </c>
      <c r="W471" s="998"/>
      <c r="X471" s="2989">
        <f t="shared" si="114"/>
        <v>0</v>
      </c>
      <c r="Y471" s="2989">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89">
        <f t="shared" si="112"/>
        <v>0</v>
      </c>
      <c r="V472" s="2989">
        <f t="shared" si="113"/>
        <v>0</v>
      </c>
      <c r="W472" s="998"/>
      <c r="X472" s="2989">
        <f t="shared" si="114"/>
        <v>0</v>
      </c>
      <c r="Y472" s="2989">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89">
        <f t="shared" si="112"/>
        <v>0</v>
      </c>
      <c r="V473" s="2989">
        <f t="shared" si="113"/>
        <v>0</v>
      </c>
      <c r="W473" s="998"/>
      <c r="X473" s="2989">
        <f t="shared" si="114"/>
        <v>0</v>
      </c>
      <c r="Y473" s="2989">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89">
        <f t="shared" si="112"/>
        <v>0</v>
      </c>
      <c r="V474" s="2989">
        <f t="shared" si="113"/>
        <v>0</v>
      </c>
      <c r="W474" s="998"/>
      <c r="X474" s="2989">
        <f t="shared" si="114"/>
        <v>0</v>
      </c>
      <c r="Y474" s="2989">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89">
        <f t="shared" si="112"/>
        <v>0</v>
      </c>
      <c r="V475" s="2989">
        <f t="shared" si="113"/>
        <v>0</v>
      </c>
      <c r="W475" s="998"/>
      <c r="X475" s="2989">
        <f t="shared" si="114"/>
        <v>0</v>
      </c>
      <c r="Y475" s="2989">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89">
        <f t="shared" ref="U476:U527" si="127">ROUND(W476*B476,0)</f>
        <v>0</v>
      </c>
      <c r="V476" s="2989">
        <f t="shared" ref="V476:V527" si="128">ROUND(W476*B476/10000,0)</f>
        <v>0</v>
      </c>
      <c r="W476" s="998"/>
      <c r="X476" s="2989">
        <f t="shared" ref="X476:X527" si="129">ROUND(Z476*B476,0)</f>
        <v>0</v>
      </c>
      <c r="Y476" s="2989">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89">
        <f t="shared" si="127"/>
        <v>0</v>
      </c>
      <c r="V477" s="2989">
        <f t="shared" si="128"/>
        <v>0</v>
      </c>
      <c r="W477" s="998"/>
      <c r="X477" s="2989">
        <f t="shared" si="129"/>
        <v>0</v>
      </c>
      <c r="Y477" s="2989">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89">
        <f t="shared" si="127"/>
        <v>0</v>
      </c>
      <c r="V478" s="2989">
        <f t="shared" si="128"/>
        <v>0</v>
      </c>
      <c r="W478" s="998"/>
      <c r="X478" s="2989">
        <f t="shared" si="129"/>
        <v>0</v>
      </c>
      <c r="Y478" s="2989">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89">
        <f t="shared" si="127"/>
        <v>0</v>
      </c>
      <c r="V479" s="2989">
        <f t="shared" si="128"/>
        <v>0</v>
      </c>
      <c r="W479" s="998"/>
      <c r="X479" s="2989">
        <f t="shared" si="129"/>
        <v>0</v>
      </c>
      <c r="Y479" s="2989">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89">
        <f t="shared" si="127"/>
        <v>0</v>
      </c>
      <c r="V480" s="2989">
        <f t="shared" si="128"/>
        <v>0</v>
      </c>
      <c r="W480" s="998"/>
      <c r="X480" s="2989">
        <f t="shared" si="129"/>
        <v>0</v>
      </c>
      <c r="Y480" s="2989">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89">
        <f t="shared" si="127"/>
        <v>0</v>
      </c>
      <c r="V481" s="2989">
        <f t="shared" si="128"/>
        <v>0</v>
      </c>
      <c r="W481" s="998"/>
      <c r="X481" s="2989">
        <f t="shared" si="129"/>
        <v>0</v>
      </c>
      <c r="Y481" s="2989">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89">
        <f t="shared" si="127"/>
        <v>0</v>
      </c>
      <c r="V482" s="2989">
        <f t="shared" si="128"/>
        <v>0</v>
      </c>
      <c r="W482" s="998"/>
      <c r="X482" s="2989">
        <f t="shared" si="129"/>
        <v>0</v>
      </c>
      <c r="Y482" s="2989">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89">
        <f t="shared" si="127"/>
        <v>0</v>
      </c>
      <c r="V483" s="2989">
        <f t="shared" si="128"/>
        <v>0</v>
      </c>
      <c r="W483" s="998"/>
      <c r="X483" s="2989">
        <f t="shared" si="129"/>
        <v>0</v>
      </c>
      <c r="Y483" s="2989">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89">
        <f t="shared" si="127"/>
        <v>0</v>
      </c>
      <c r="V484" s="2989">
        <f t="shared" si="128"/>
        <v>0</v>
      </c>
      <c r="W484" s="998"/>
      <c r="X484" s="2989">
        <f t="shared" si="129"/>
        <v>0</v>
      </c>
      <c r="Y484" s="2989">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89">
        <f t="shared" si="127"/>
        <v>0</v>
      </c>
      <c r="V485" s="2989">
        <f t="shared" si="128"/>
        <v>0</v>
      </c>
      <c r="W485" s="998"/>
      <c r="X485" s="2989">
        <f t="shared" si="129"/>
        <v>0</v>
      </c>
      <c r="Y485" s="2989">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89">
        <f t="shared" si="127"/>
        <v>0</v>
      </c>
      <c r="V486" s="2989">
        <f t="shared" si="128"/>
        <v>0</v>
      </c>
      <c r="W486" s="998"/>
      <c r="X486" s="2989">
        <f t="shared" si="129"/>
        <v>0</v>
      </c>
      <c r="Y486" s="2989">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89">
        <f t="shared" si="127"/>
        <v>0</v>
      </c>
      <c r="V487" s="2989">
        <f t="shared" si="128"/>
        <v>0</v>
      </c>
      <c r="W487" s="998"/>
      <c r="X487" s="2989">
        <f t="shared" si="129"/>
        <v>0</v>
      </c>
      <c r="Y487" s="2989">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89">
        <f t="shared" si="127"/>
        <v>0</v>
      </c>
      <c r="V488" s="2989">
        <f t="shared" si="128"/>
        <v>0</v>
      </c>
      <c r="W488" s="998"/>
      <c r="X488" s="2989">
        <f t="shared" si="129"/>
        <v>0</v>
      </c>
      <c r="Y488" s="2989">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89">
        <f t="shared" si="127"/>
        <v>0</v>
      </c>
      <c r="V489" s="2989">
        <f t="shared" si="128"/>
        <v>0</v>
      </c>
      <c r="W489" s="998"/>
      <c r="X489" s="2989">
        <f t="shared" si="129"/>
        <v>0</v>
      </c>
      <c r="Y489" s="2989">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89">
        <f t="shared" si="127"/>
        <v>0</v>
      </c>
      <c r="V490" s="2989">
        <f t="shared" si="128"/>
        <v>0</v>
      </c>
      <c r="W490" s="998"/>
      <c r="X490" s="2989">
        <f t="shared" si="129"/>
        <v>0</v>
      </c>
      <c r="Y490" s="2989">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89">
        <f t="shared" si="127"/>
        <v>0</v>
      </c>
      <c r="V491" s="2989">
        <f t="shared" si="128"/>
        <v>0</v>
      </c>
      <c r="W491" s="998"/>
      <c r="X491" s="2989">
        <f t="shared" si="129"/>
        <v>0</v>
      </c>
      <c r="Y491" s="2989">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89">
        <f t="shared" si="127"/>
        <v>0</v>
      </c>
      <c r="V492" s="2989">
        <f t="shared" si="128"/>
        <v>0</v>
      </c>
      <c r="W492" s="998"/>
      <c r="X492" s="2989">
        <f t="shared" si="129"/>
        <v>0</v>
      </c>
      <c r="Y492" s="2989">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89">
        <f t="shared" si="127"/>
        <v>0</v>
      </c>
      <c r="V493" s="2989">
        <f t="shared" si="128"/>
        <v>0</v>
      </c>
      <c r="W493" s="998"/>
      <c r="X493" s="2989">
        <f t="shared" si="129"/>
        <v>0</v>
      </c>
      <c r="Y493" s="2989">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89">
        <f t="shared" si="127"/>
        <v>0</v>
      </c>
      <c r="V494" s="2989">
        <f t="shared" si="128"/>
        <v>0</v>
      </c>
      <c r="W494" s="998"/>
      <c r="X494" s="2989">
        <f t="shared" si="129"/>
        <v>0</v>
      </c>
      <c r="Y494" s="2989">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89">
        <f t="shared" si="127"/>
        <v>0</v>
      </c>
      <c r="V495" s="2989">
        <f t="shared" si="128"/>
        <v>0</v>
      </c>
      <c r="W495" s="998"/>
      <c r="X495" s="2989">
        <f t="shared" si="129"/>
        <v>0</v>
      </c>
      <c r="Y495" s="2989">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89">
        <f t="shared" si="127"/>
        <v>0</v>
      </c>
      <c r="V496" s="2989">
        <f t="shared" si="128"/>
        <v>0</v>
      </c>
      <c r="W496" s="998"/>
      <c r="X496" s="2989">
        <f t="shared" si="129"/>
        <v>0</v>
      </c>
      <c r="Y496" s="2989">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89">
        <f t="shared" si="127"/>
        <v>0</v>
      </c>
      <c r="V497" s="2989">
        <f t="shared" si="128"/>
        <v>0</v>
      </c>
      <c r="W497" s="998"/>
      <c r="X497" s="2989">
        <f t="shared" si="129"/>
        <v>0</v>
      </c>
      <c r="Y497" s="2989">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89">
        <f t="shared" si="127"/>
        <v>0</v>
      </c>
      <c r="V498" s="2989">
        <f t="shared" si="128"/>
        <v>0</v>
      </c>
      <c r="W498" s="998"/>
      <c r="X498" s="2989">
        <f t="shared" si="129"/>
        <v>0</v>
      </c>
      <c r="Y498" s="2989">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89">
        <f t="shared" si="127"/>
        <v>0</v>
      </c>
      <c r="V499" s="2989">
        <f t="shared" si="128"/>
        <v>0</v>
      </c>
      <c r="W499" s="998"/>
      <c r="X499" s="2989">
        <f t="shared" si="129"/>
        <v>0</v>
      </c>
      <c r="Y499" s="2989">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89">
        <f t="shared" si="127"/>
        <v>0</v>
      </c>
      <c r="V500" s="2989">
        <f t="shared" si="128"/>
        <v>0</v>
      </c>
      <c r="W500" s="998"/>
      <c r="X500" s="2989">
        <f t="shared" si="129"/>
        <v>0</v>
      </c>
      <c r="Y500" s="2989">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89">
        <f t="shared" si="127"/>
        <v>0</v>
      </c>
      <c r="V501" s="2989">
        <f t="shared" si="128"/>
        <v>0</v>
      </c>
      <c r="W501" s="998"/>
      <c r="X501" s="2989">
        <f t="shared" si="129"/>
        <v>0</v>
      </c>
      <c r="Y501" s="2989">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89">
        <f t="shared" si="127"/>
        <v>0</v>
      </c>
      <c r="V502" s="2989">
        <f t="shared" si="128"/>
        <v>0</v>
      </c>
      <c r="W502" s="998"/>
      <c r="X502" s="2989">
        <f t="shared" si="129"/>
        <v>0</v>
      </c>
      <c r="Y502" s="2989">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89">
        <f t="shared" si="127"/>
        <v>0</v>
      </c>
      <c r="V503" s="2989">
        <f t="shared" si="128"/>
        <v>0</v>
      </c>
      <c r="W503" s="998"/>
      <c r="X503" s="2989">
        <f t="shared" si="129"/>
        <v>0</v>
      </c>
      <c r="Y503" s="2989">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89">
        <f t="shared" si="127"/>
        <v>0</v>
      </c>
      <c r="V504" s="2989">
        <f t="shared" si="128"/>
        <v>0</v>
      </c>
      <c r="W504" s="998"/>
      <c r="X504" s="2989">
        <f t="shared" si="129"/>
        <v>0</v>
      </c>
      <c r="Y504" s="2989">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89">
        <f t="shared" si="127"/>
        <v>0</v>
      </c>
      <c r="V505" s="2989">
        <f t="shared" si="128"/>
        <v>0</v>
      </c>
      <c r="W505" s="998"/>
      <c r="X505" s="2989">
        <f t="shared" si="129"/>
        <v>0</v>
      </c>
      <c r="Y505" s="2989">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89">
        <f t="shared" si="127"/>
        <v>0</v>
      </c>
      <c r="V506" s="2989">
        <f t="shared" si="128"/>
        <v>0</v>
      </c>
      <c r="W506" s="998"/>
      <c r="X506" s="2989">
        <f t="shared" si="129"/>
        <v>0</v>
      </c>
      <c r="Y506" s="2989">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89">
        <f t="shared" si="127"/>
        <v>0</v>
      </c>
      <c r="V507" s="2989">
        <f t="shared" si="128"/>
        <v>0</v>
      </c>
      <c r="W507" s="998"/>
      <c r="X507" s="2989">
        <f t="shared" si="129"/>
        <v>0</v>
      </c>
      <c r="Y507" s="2989">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89">
        <f t="shared" si="127"/>
        <v>0</v>
      </c>
      <c r="V508" s="2989">
        <f t="shared" si="128"/>
        <v>0</v>
      </c>
      <c r="W508" s="998"/>
      <c r="X508" s="2989">
        <f t="shared" si="129"/>
        <v>0</v>
      </c>
      <c r="Y508" s="2989">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89">
        <f t="shared" si="127"/>
        <v>0</v>
      </c>
      <c r="V509" s="2989">
        <f t="shared" si="128"/>
        <v>0</v>
      </c>
      <c r="W509" s="998"/>
      <c r="X509" s="2989">
        <f t="shared" si="129"/>
        <v>0</v>
      </c>
      <c r="Y509" s="2989">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89">
        <f t="shared" si="127"/>
        <v>0</v>
      </c>
      <c r="V510" s="2989">
        <f t="shared" si="128"/>
        <v>0</v>
      </c>
      <c r="W510" s="998"/>
      <c r="X510" s="2989">
        <f t="shared" si="129"/>
        <v>0</v>
      </c>
      <c r="Y510" s="2989">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89">
        <f t="shared" si="127"/>
        <v>0</v>
      </c>
      <c r="V511" s="2989">
        <f t="shared" si="128"/>
        <v>0</v>
      </c>
      <c r="W511" s="998"/>
      <c r="X511" s="2989">
        <f t="shared" si="129"/>
        <v>0</v>
      </c>
      <c r="Y511" s="2989">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89">
        <f t="shared" si="127"/>
        <v>0</v>
      </c>
      <c r="V512" s="2989">
        <f t="shared" si="128"/>
        <v>0</v>
      </c>
      <c r="W512" s="998"/>
      <c r="X512" s="2989">
        <f t="shared" si="129"/>
        <v>0</v>
      </c>
      <c r="Y512" s="2989">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89">
        <f t="shared" si="127"/>
        <v>0</v>
      </c>
      <c r="V513" s="2989">
        <f t="shared" si="128"/>
        <v>0</v>
      </c>
      <c r="W513" s="998"/>
      <c r="X513" s="2989">
        <f t="shared" si="129"/>
        <v>0</v>
      </c>
      <c r="Y513" s="2989">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89">
        <f t="shared" si="127"/>
        <v>0</v>
      </c>
      <c r="V514" s="2989">
        <f t="shared" si="128"/>
        <v>0</v>
      </c>
      <c r="W514" s="998"/>
      <c r="X514" s="2989">
        <f t="shared" si="129"/>
        <v>0</v>
      </c>
      <c r="Y514" s="2989">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89">
        <f t="shared" si="127"/>
        <v>0</v>
      </c>
      <c r="V515" s="2989">
        <f t="shared" si="128"/>
        <v>0</v>
      </c>
      <c r="W515" s="998"/>
      <c r="X515" s="2989">
        <f t="shared" si="129"/>
        <v>0</v>
      </c>
      <c r="Y515" s="2989">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89">
        <f t="shared" si="127"/>
        <v>0</v>
      </c>
      <c r="V516" s="2989">
        <f t="shared" si="128"/>
        <v>0</v>
      </c>
      <c r="W516" s="998"/>
      <c r="X516" s="2989">
        <f t="shared" si="129"/>
        <v>0</v>
      </c>
      <c r="Y516" s="2989">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89">
        <f t="shared" si="127"/>
        <v>0</v>
      </c>
      <c r="V517" s="2989">
        <f t="shared" si="128"/>
        <v>0</v>
      </c>
      <c r="W517" s="998"/>
      <c r="X517" s="2989">
        <f t="shared" si="129"/>
        <v>0</v>
      </c>
      <c r="Y517" s="2989">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89">
        <f t="shared" si="127"/>
        <v>0</v>
      </c>
      <c r="V518" s="2989">
        <f t="shared" si="128"/>
        <v>0</v>
      </c>
      <c r="W518" s="998"/>
      <c r="X518" s="2989">
        <f t="shared" si="129"/>
        <v>0</v>
      </c>
      <c r="Y518" s="2989">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89">
        <f t="shared" si="127"/>
        <v>0</v>
      </c>
      <c r="V519" s="2989">
        <f t="shared" si="128"/>
        <v>0</v>
      </c>
      <c r="W519" s="998"/>
      <c r="X519" s="2989">
        <f t="shared" si="129"/>
        <v>0</v>
      </c>
      <c r="Y519" s="2989">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89">
        <f t="shared" si="127"/>
        <v>0</v>
      </c>
      <c r="V520" s="2989">
        <f t="shared" si="128"/>
        <v>0</v>
      </c>
      <c r="W520" s="998"/>
      <c r="X520" s="2989">
        <f t="shared" si="129"/>
        <v>0</v>
      </c>
      <c r="Y520" s="2989">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89">
        <f t="shared" si="127"/>
        <v>0</v>
      </c>
      <c r="V521" s="2989">
        <f t="shared" si="128"/>
        <v>0</v>
      </c>
      <c r="W521" s="998"/>
      <c r="X521" s="2989">
        <f t="shared" si="129"/>
        <v>0</v>
      </c>
      <c r="Y521" s="2989">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89">
        <f t="shared" si="127"/>
        <v>0</v>
      </c>
      <c r="V522" s="2989">
        <f t="shared" si="128"/>
        <v>0</v>
      </c>
      <c r="W522" s="998"/>
      <c r="X522" s="2989">
        <f t="shared" si="129"/>
        <v>0</v>
      </c>
      <c r="Y522" s="2989">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89">
        <f t="shared" si="127"/>
        <v>0</v>
      </c>
      <c r="V523" s="2989">
        <f t="shared" si="128"/>
        <v>0</v>
      </c>
      <c r="W523" s="998"/>
      <c r="X523" s="2989">
        <f t="shared" si="129"/>
        <v>0</v>
      </c>
      <c r="Y523" s="2989">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89">
        <f t="shared" si="127"/>
        <v>0</v>
      </c>
      <c r="V524" s="2989">
        <f t="shared" si="128"/>
        <v>0</v>
      </c>
      <c r="W524" s="998"/>
      <c r="X524" s="2989">
        <f t="shared" si="129"/>
        <v>0</v>
      </c>
      <c r="Y524" s="2989">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89">
        <f t="shared" si="127"/>
        <v>0</v>
      </c>
      <c r="V525" s="2989">
        <f t="shared" si="128"/>
        <v>0</v>
      </c>
      <c r="W525" s="998"/>
      <c r="X525" s="2989">
        <f t="shared" si="129"/>
        <v>0</v>
      </c>
      <c r="Y525" s="2989">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89">
        <f t="shared" si="127"/>
        <v>0</v>
      </c>
      <c r="V526" s="2989">
        <f t="shared" si="128"/>
        <v>0</v>
      </c>
      <c r="W526" s="998"/>
      <c r="X526" s="2989">
        <f t="shared" si="129"/>
        <v>0</v>
      </c>
      <c r="Y526" s="2989">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89">
        <f t="shared" si="127"/>
        <v>0</v>
      </c>
      <c r="V527" s="2989">
        <f t="shared" si="128"/>
        <v>0</v>
      </c>
      <c r="W527" s="998"/>
      <c r="X527" s="2989">
        <f t="shared" si="129"/>
        <v>0</v>
      </c>
      <c r="Y527" s="2989">
        <f t="shared" si="130"/>
        <v>0</v>
      </c>
      <c r="Z527" s="998"/>
    </row>
  </sheetData>
  <sheetProtection password="CEE9" sheet="1" objects="1" scenarios="1" formatCells="0" formatColumns="0" formatRows="0"/>
  <mergeCells count="2">
    <mergeCell ref="C25:Q25"/>
    <mergeCell ref="C4:S4"/>
  </mergeCells>
  <phoneticPr fontId="21" type="noConversion"/>
  <conditionalFormatting sqref="C27:C527 E27:E527 G27:G527 I27:I527 K27:K527 M27:M527 O27:O527 Q27:Q527">
    <cfRule type="cellIs" dxfId="218" priority="1" operator="notEqual">
      <formula>1</formula>
    </cfRule>
  </conditionalFormatting>
  <dataValidations count="9">
    <dataValidation type="list" allowBlank="1" showInputMessage="1" showErrorMessage="1" sqref="D27:D527" xr:uid="{00000000-0002-0000-1200-000000000000}">
      <formula1>一修多修正项2</formula1>
    </dataValidation>
    <dataValidation type="list" allowBlank="1" showInputMessage="1" showErrorMessage="1" sqref="F27:F527" xr:uid="{00000000-0002-0000-1200-000001000000}">
      <formula1>一修多修正项3</formula1>
    </dataValidation>
    <dataValidation type="list" allowBlank="1" showInputMessage="1" showErrorMessage="1" sqref="H27:H527" xr:uid="{00000000-0002-0000-1200-000002000000}">
      <formula1>一修多修正项4</formula1>
    </dataValidation>
    <dataValidation type="list" allowBlank="1" showInputMessage="1" showErrorMessage="1" sqref="J27:J527" xr:uid="{00000000-0002-0000-1200-000003000000}">
      <formula1>一修多修正项5</formula1>
    </dataValidation>
    <dataValidation type="list" allowBlank="1" showInputMessage="1" showErrorMessage="1" sqref="L27:L527" xr:uid="{00000000-0002-0000-1200-000004000000}">
      <formula1>一修多修正项6</formula1>
    </dataValidation>
    <dataValidation type="list" allowBlank="1" showInputMessage="1" showErrorMessage="1" sqref="N27:N527" xr:uid="{00000000-0002-0000-1200-000005000000}">
      <formula1>一修多修正项7</formula1>
    </dataValidation>
    <dataValidation type="list" allowBlank="1" showInputMessage="1" showErrorMessage="1" sqref="P27:P527" xr:uid="{00000000-0002-0000-1200-000006000000}">
      <formula1>一修多修正项8</formula1>
    </dataValidation>
    <dataValidation type="list" allowBlank="1" showInputMessage="1" showErrorMessage="1" sqref="F23" xr:uid="{00000000-0002-0000-1200-000007000000}">
      <formula1>"需扣减承租人权益,——"</formula1>
    </dataValidation>
    <dataValidation type="list" allowBlank="1" showInputMessage="1" showErrorMessage="1" sqref="J23" xr:uid="{00000000-0002-0000-12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666" customWidth="1"/>
    <col min="2" max="2" width="15.625" style="1666" customWidth="1"/>
    <col min="3" max="3" width="15.125" style="1666" customWidth="1"/>
    <col min="4" max="4" width="12.125" style="1666" customWidth="1"/>
    <col min="5" max="5" width="14.375" style="1666" customWidth="1"/>
    <col min="6" max="6" width="12.125" style="1666" customWidth="1"/>
    <col min="7" max="7" width="14.5" style="1666" customWidth="1"/>
    <col min="8" max="8" width="12.125" style="1666" customWidth="1"/>
    <col min="9" max="9" width="14.5" style="1666" customWidth="1"/>
    <col min="10" max="10" width="12.125" style="1666" customWidth="1"/>
    <col min="11" max="11" width="12.125" style="1909" customWidth="1"/>
    <col min="12" max="12" width="12.125" style="1910" customWidth="1"/>
    <col min="13" max="15" width="12.125" style="1666" customWidth="1"/>
    <col min="16" max="16" width="4.625" style="1806" customWidth="1"/>
    <col min="17" max="17" width="19.5" style="1666" customWidth="1"/>
    <col min="18" max="22" width="6.125" style="1666" customWidth="1"/>
    <col min="23" max="23" width="5.625" style="1666" customWidth="1"/>
    <col min="24" max="24" width="4.125" style="1666" customWidth="1"/>
    <col min="25" max="25" width="3.5" style="1666" customWidth="1"/>
    <col min="26" max="26" width="19.625" style="1666" customWidth="1"/>
    <col min="27" max="28" width="9.375" style="1666" customWidth="1"/>
    <col min="29" max="16384" width="9" style="1666"/>
  </cols>
  <sheetData>
    <row r="1" spans="1:29" s="1647" customFormat="1" ht="28.5" customHeight="1" thickBot="1">
      <c r="A1" s="1636" t="s">
        <v>2240</v>
      </c>
      <c r="B1" s="1637" t="s">
        <v>2241</v>
      </c>
      <c r="C1" s="1638"/>
      <c r="D1" s="1639"/>
      <c r="E1" s="1640" t="s">
        <v>1224</v>
      </c>
      <c r="F1" s="1641" t="s">
        <v>2242</v>
      </c>
      <c r="G1" s="1637"/>
      <c r="H1" s="1637"/>
      <c r="I1" s="1637"/>
      <c r="J1" s="1637"/>
      <c r="K1" s="1642"/>
      <c r="L1" s="1643"/>
      <c r="M1" s="1637"/>
      <c r="N1" s="1637"/>
      <c r="O1" s="1637"/>
      <c r="P1" s="1644"/>
      <c r="Q1" s="1645"/>
      <c r="R1" s="1645"/>
      <c r="S1" s="1645"/>
      <c r="T1" s="1645"/>
      <c r="U1" s="1645"/>
      <c r="V1" s="1645"/>
      <c r="W1" s="1645"/>
      <c r="X1" s="1645"/>
      <c r="Y1" s="1645"/>
      <c r="Z1" s="1645"/>
      <c r="AA1" s="1645"/>
      <c r="AB1" s="1645"/>
      <c r="AC1" s="1646"/>
    </row>
    <row r="2" spans="1:29" s="277" customFormat="1" ht="28.5" customHeight="1" thickTop="1">
      <c r="A2" s="1648" t="s">
        <v>1912</v>
      </c>
      <c r="B2" s="1649" t="e">
        <f ca="1">IF(D2="——",IF(C2="元",ROUND(C49*D3,0),ROUND(C49*D3/10000,0)),IF(C2="元",ROUND(C49*D3,0),ROUND(C49*D3/10000,0))-E2)</f>
        <v>#DIV/0!</v>
      </c>
      <c r="C2" s="1650" t="str">
        <f>'数据-取费表'!B3</f>
        <v>元</v>
      </c>
      <c r="D2" s="1651"/>
      <c r="E2" s="1652" t="e">
        <f ca="1">SUMIF(INDIRECT("'"&amp;G2&amp;"'"&amp;"!A:A"),"承租人权益价值",INDIRECT("'"&amp;G2&amp;"'"&amp;"!c:c"))</f>
        <v>#REF!</v>
      </c>
      <c r="F2" s="1653" t="str">
        <f>C2</f>
        <v>元</v>
      </c>
      <c r="G2" s="1654"/>
      <c r="H2" s="2991"/>
      <c r="I2" s="2991"/>
      <c r="J2" s="2991"/>
      <c r="K2" s="2992"/>
      <c r="L2" s="2993"/>
      <c r="M2" s="2991"/>
      <c r="N2" s="2991"/>
      <c r="O2" s="2991"/>
      <c r="P2" s="1655"/>
      <c r="Q2" s="1656"/>
      <c r="R2" s="1656"/>
      <c r="S2" s="1656"/>
      <c r="T2" s="1656"/>
      <c r="U2" s="1656"/>
      <c r="V2" s="1656"/>
      <c r="W2" s="1656"/>
      <c r="X2" s="1656"/>
      <c r="Y2" s="1656"/>
      <c r="Z2" s="1656"/>
      <c r="AA2" s="1656"/>
      <c r="AB2" s="1656"/>
      <c r="AC2" s="1657"/>
    </row>
    <row r="3" spans="1:29" s="277" customFormat="1" ht="28.5" customHeight="1" thickBot="1">
      <c r="A3" s="1658" t="s">
        <v>1913</v>
      </c>
      <c r="B3" s="1659" t="e">
        <f ca="1">ROUND(IF(D2="——",C49,IF(C2="万元",B2*10000/D3,B2/D3)),0)</f>
        <v>#DIV/0!</v>
      </c>
      <c r="C3" s="1659" t="s">
        <v>2243</v>
      </c>
      <c r="D3" s="1659">
        <f>IF(C1="仅计算典型户型",'数据-取费表'!E5,'数据-取费表'!B5)</f>
        <v>1088.48</v>
      </c>
      <c r="E3" s="2991"/>
      <c r="F3" s="2994"/>
      <c r="G3" s="2991"/>
      <c r="H3" s="2991"/>
      <c r="I3" s="2991"/>
      <c r="J3" s="2991"/>
      <c r="K3" s="2992"/>
      <c r="L3" s="2993"/>
      <c r="M3" s="2991"/>
      <c r="N3" s="2991"/>
      <c r="O3" s="2991"/>
      <c r="P3" s="1660"/>
      <c r="Q3" s="1656"/>
      <c r="R3" s="1656"/>
      <c r="S3" s="1656"/>
      <c r="T3" s="1656"/>
      <c r="U3" s="1656"/>
      <c r="V3" s="1656"/>
      <c r="W3" s="1656"/>
      <c r="X3" s="1656"/>
      <c r="Y3" s="1656"/>
      <c r="Z3" s="1656"/>
      <c r="AA3" s="1656"/>
      <c r="AB3" s="1656"/>
      <c r="AC3" s="1661"/>
    </row>
    <row r="4" spans="1:29" ht="15">
      <c r="A4" s="1662" t="s">
        <v>2244</v>
      </c>
      <c r="B4" s="1663"/>
      <c r="C4" s="4515" t="s">
        <v>2245</v>
      </c>
      <c r="D4" s="4516"/>
      <c r="E4" s="4517" t="s">
        <v>2246</v>
      </c>
      <c r="F4" s="4518"/>
      <c r="G4" s="4515" t="s">
        <v>2247</v>
      </c>
      <c r="H4" s="4516"/>
      <c r="I4" s="4515" t="s">
        <v>2248</v>
      </c>
      <c r="J4" s="4516"/>
      <c r="K4" s="1664" t="s">
        <v>2249</v>
      </c>
      <c r="L4" s="2995"/>
      <c r="M4" s="2996"/>
      <c r="N4" s="2996"/>
      <c r="O4" s="2996"/>
      <c r="P4" s="4519" t="s">
        <v>2250</v>
      </c>
      <c r="Q4" s="4520"/>
      <c r="R4" s="4504" t="s">
        <v>2246</v>
      </c>
      <c r="S4" s="4505"/>
      <c r="T4" s="4504" t="s">
        <v>2247</v>
      </c>
      <c r="U4" s="4505"/>
      <c r="V4" s="4525" t="s">
        <v>2248</v>
      </c>
      <c r="W4" s="4525"/>
      <c r="X4" s="1665"/>
      <c r="Y4" s="4504" t="s">
        <v>2250</v>
      </c>
      <c r="Z4" s="4505"/>
      <c r="AA4" s="4512" t="s">
        <v>2246</v>
      </c>
      <c r="AB4" s="4512" t="s">
        <v>2247</v>
      </c>
      <c r="AC4" s="4512" t="s">
        <v>2248</v>
      </c>
    </row>
    <row r="5" spans="1:29" ht="15">
      <c r="A5" s="1667"/>
      <c r="B5" s="1668"/>
      <c r="C5" s="4500" t="s">
        <v>2251</v>
      </c>
      <c r="D5" s="4501"/>
      <c r="E5" s="4526" t="s">
        <v>2252</v>
      </c>
      <c r="F5" s="4527"/>
      <c r="G5" s="4500" t="s">
        <v>2253</v>
      </c>
      <c r="H5" s="4501"/>
      <c r="I5" s="4500" t="s">
        <v>2254</v>
      </c>
      <c r="J5" s="4501"/>
      <c r="K5" s="1669"/>
      <c r="L5" s="2995"/>
      <c r="M5" s="2996"/>
      <c r="N5" s="2996"/>
      <c r="O5" s="2996"/>
      <c r="P5" s="4521"/>
      <c r="Q5" s="4522"/>
      <c r="R5" s="4506"/>
      <c r="S5" s="4507"/>
      <c r="T5" s="4506"/>
      <c r="U5" s="4507"/>
      <c r="V5" s="4525"/>
      <c r="W5" s="4525"/>
      <c r="X5" s="1665"/>
      <c r="Y5" s="4506"/>
      <c r="Z5" s="4507"/>
      <c r="AA5" s="4513"/>
      <c r="AB5" s="4513"/>
      <c r="AC5" s="4513"/>
    </row>
    <row r="6" spans="1:29" ht="15.75" thickBot="1">
      <c r="A6" s="1670"/>
      <c r="B6" s="1671"/>
      <c r="C6" s="4498" t="s">
        <v>2255</v>
      </c>
      <c r="D6" s="4499"/>
      <c r="E6" s="4528" t="s">
        <v>2255</v>
      </c>
      <c r="F6" s="4529"/>
      <c r="G6" s="4498" t="s">
        <v>2255</v>
      </c>
      <c r="H6" s="4499"/>
      <c r="I6" s="4498" t="s">
        <v>2255</v>
      </c>
      <c r="J6" s="4499"/>
      <c r="K6" s="1669" t="s">
        <v>2256</v>
      </c>
      <c r="L6" s="2995"/>
      <c r="M6" s="2996"/>
      <c r="N6" s="2996"/>
      <c r="O6" s="2996"/>
      <c r="P6" s="4523"/>
      <c r="Q6" s="4524"/>
      <c r="R6" s="4506"/>
      <c r="S6" s="4507"/>
      <c r="T6" s="4508"/>
      <c r="U6" s="4509"/>
      <c r="V6" s="4525"/>
      <c r="W6" s="4525"/>
      <c r="X6" s="1665"/>
      <c r="Y6" s="4508"/>
      <c r="Z6" s="4509"/>
      <c r="AA6" s="4514"/>
      <c r="AB6" s="4514"/>
      <c r="AC6" s="4514"/>
    </row>
    <row r="7" spans="1:29" s="1684" customFormat="1" ht="15.75" thickBot="1">
      <c r="A7" s="1672" t="s">
        <v>2257</v>
      </c>
      <c r="B7" s="1673"/>
      <c r="C7" s="1674">
        <f>'数据-取费表'!B2</f>
        <v>42402</v>
      </c>
      <c r="D7" s="1675">
        <v>100</v>
      </c>
      <c r="E7" s="1676"/>
      <c r="F7" s="1677">
        <f>SUMIF(58:58,YEAR(E7)&amp;"-"&amp;MONTH(E7),59:59)</f>
        <v>0</v>
      </c>
      <c r="G7" s="1676"/>
      <c r="H7" s="1675">
        <f>SUMIF(58:58,YEAR(G7)&amp;"-"&amp;MONTH(G7),59:59)</f>
        <v>0</v>
      </c>
      <c r="I7" s="1676"/>
      <c r="J7" s="1675">
        <f>SUMIF(58:58,YEAR(I7)&amp;"-"&amp;MONTH(I7),59:59)</f>
        <v>0</v>
      </c>
      <c r="K7" s="1678"/>
      <c r="L7" s="2995"/>
      <c r="M7" s="2968"/>
      <c r="N7" s="2968"/>
      <c r="O7" s="2968"/>
      <c r="P7" s="4502" t="s">
        <v>2258</v>
      </c>
      <c r="Q7" s="4510"/>
      <c r="R7" s="1680" t="s">
        <v>34</v>
      </c>
      <c r="S7" s="1681">
        <f t="shared" ref="S7:S15" si="0">F7</f>
        <v>0</v>
      </c>
      <c r="T7" s="1680" t="s">
        <v>34</v>
      </c>
      <c r="U7" s="1681">
        <f t="shared" ref="U7:U15" si="1">H7</f>
        <v>0</v>
      </c>
      <c r="V7" s="1680" t="s">
        <v>34</v>
      </c>
      <c r="W7" s="1681">
        <f t="shared" ref="W7:W15" si="2">J7</f>
        <v>0</v>
      </c>
      <c r="X7" s="1682"/>
      <c r="Y7" s="4502" t="s">
        <v>2258</v>
      </c>
      <c r="Z7" s="4503"/>
      <c r="AA7" s="1683" t="e">
        <f>D7/F7</f>
        <v>#DIV/0!</v>
      </c>
      <c r="AB7" s="1683" t="e">
        <f>D7/H7</f>
        <v>#DIV/0!</v>
      </c>
      <c r="AC7" s="1683" t="e">
        <f>D7/J7</f>
        <v>#DIV/0!</v>
      </c>
    </row>
    <row r="8" spans="1:29" s="1684" customFormat="1" ht="15.75" thickBot="1">
      <c r="A8" s="1672" t="s">
        <v>2259</v>
      </c>
      <c r="B8" s="1673"/>
      <c r="C8" s="1685" t="s">
        <v>2260</v>
      </c>
      <c r="D8" s="1675">
        <v>100</v>
      </c>
      <c r="E8" s="1686"/>
      <c r="F8" s="1677">
        <f>SUMIF(61:61,E8,62:62)-SUMIF(61:61,C8,62:62)+100</f>
        <v>0</v>
      </c>
      <c r="G8" s="1685"/>
      <c r="H8" s="1675">
        <f>SUMIF(61:61,G8,62:62)-SUMIF(61:61,C8,62:62)+100</f>
        <v>0</v>
      </c>
      <c r="I8" s="1686"/>
      <c r="J8" s="1675">
        <f>SUMIF(61:61,I8,62:62)-SUMIF(61:61,C8,62:62)+100</f>
        <v>0</v>
      </c>
      <c r="K8" s="1678"/>
      <c r="L8" s="2995"/>
      <c r="M8" s="2968"/>
      <c r="N8" s="2968"/>
      <c r="O8" s="2968"/>
      <c r="P8" s="4502" t="s">
        <v>2261</v>
      </c>
      <c r="Q8" s="4503"/>
      <c r="R8" s="1680" t="s">
        <v>34</v>
      </c>
      <c r="S8" s="1681">
        <f t="shared" si="0"/>
        <v>0</v>
      </c>
      <c r="T8" s="1680" t="s">
        <v>34</v>
      </c>
      <c r="U8" s="1681">
        <f t="shared" si="1"/>
        <v>0</v>
      </c>
      <c r="V8" s="1680" t="s">
        <v>34</v>
      </c>
      <c r="W8" s="1681">
        <f t="shared" si="2"/>
        <v>0</v>
      </c>
      <c r="X8" s="1682"/>
      <c r="Y8" s="4502" t="s">
        <v>2261</v>
      </c>
      <c r="Z8" s="4503"/>
      <c r="AA8" s="1683" t="e">
        <f t="shared" ref="AA8:AA46" si="3">D8/F8</f>
        <v>#DIV/0!</v>
      </c>
      <c r="AB8" s="1683" t="e">
        <f t="shared" ref="AB8:AB46" si="4">D8/H8</f>
        <v>#DIV/0!</v>
      </c>
      <c r="AC8" s="1683" t="e">
        <f t="shared" ref="AC8:AC46" si="5">D8/J8</f>
        <v>#DIV/0!</v>
      </c>
    </row>
    <row r="9" spans="1:29" s="1684" customFormat="1">
      <c r="A9" s="1635" t="s">
        <v>2262</v>
      </c>
      <c r="B9" s="1687" t="s">
        <v>2263</v>
      </c>
      <c r="C9" s="1688"/>
      <c r="D9" s="1689">
        <v>100</v>
      </c>
      <c r="E9" s="1690"/>
      <c r="F9" s="1691">
        <f>SUMIF(63:63,E9,64:64)-SUMIF(63:63,C9,64:64)+100</f>
        <v>100</v>
      </c>
      <c r="G9" s="1692"/>
      <c r="H9" s="1689">
        <f>SUMIF(63:63,G9,64:64)-SUMIF(63:63,C9,64:64)+100</f>
        <v>100</v>
      </c>
      <c r="I9" s="1692"/>
      <c r="J9" s="1689">
        <f>SUMIF(63:63,I9,64:64)-SUMIF(63:63,C9,64:64)+100</f>
        <v>100</v>
      </c>
      <c r="K9" s="1678"/>
      <c r="L9" s="2995"/>
      <c r="M9" s="2968"/>
      <c r="N9" s="2968"/>
      <c r="O9" s="2968"/>
      <c r="P9" s="4511" t="s">
        <v>2264</v>
      </c>
      <c r="Q9" s="1634" t="str">
        <f t="shared" ref="Q9:Q15" si="6">B9</f>
        <v>用途</v>
      </c>
      <c r="R9" s="1680" t="s">
        <v>25</v>
      </c>
      <c r="S9" s="1681">
        <f t="shared" si="0"/>
        <v>100</v>
      </c>
      <c r="T9" s="1680" t="s">
        <v>25</v>
      </c>
      <c r="U9" s="1681">
        <f t="shared" si="1"/>
        <v>100</v>
      </c>
      <c r="V9" s="1680" t="s">
        <v>25</v>
      </c>
      <c r="W9" s="1681">
        <f t="shared" si="2"/>
        <v>100</v>
      </c>
      <c r="X9" s="1682"/>
      <c r="Y9" s="4349" t="s">
        <v>2265</v>
      </c>
      <c r="Z9" s="1693" t="str">
        <f t="shared" ref="Z9:Z15" si="7">Q9</f>
        <v>用途</v>
      </c>
      <c r="AA9" s="1683">
        <f t="shared" si="3"/>
        <v>1</v>
      </c>
      <c r="AB9" s="1683">
        <f t="shared" si="4"/>
        <v>1</v>
      </c>
      <c r="AC9" s="1683">
        <f t="shared" si="5"/>
        <v>1</v>
      </c>
    </row>
    <row r="10" spans="1:29" s="1701" customFormat="1" ht="27">
      <c r="A10" s="1694"/>
      <c r="B10" s="1695" t="s">
        <v>2266</v>
      </c>
      <c r="C10" s="1696"/>
      <c r="D10" s="1697">
        <v>100</v>
      </c>
      <c r="E10" s="1698"/>
      <c r="F10" s="1699">
        <f>SUMIF(65:65,E10,66:66)-SUMIF(65:65,C10,66:66)+100</f>
        <v>100</v>
      </c>
      <c r="G10" s="1696"/>
      <c r="H10" s="1697">
        <f>SUMIF(65:65,G10,66:66)-SUMIF(65:65,C10,66:66)+100</f>
        <v>100</v>
      </c>
      <c r="I10" s="1696"/>
      <c r="J10" s="1697">
        <f>SUMIF(65:65,I10,66:66)-SUMIF(65:65,C10,66:66)+100</f>
        <v>100</v>
      </c>
      <c r="K10" s="1700"/>
      <c r="L10" s="2997"/>
      <c r="M10" s="2998"/>
      <c r="N10" s="2998"/>
      <c r="O10" s="2998"/>
      <c r="P10" s="4511"/>
      <c r="Q10" s="1634" t="str">
        <f t="shared" si="6"/>
        <v>土地使用年限（年）</v>
      </c>
      <c r="R10" s="1680" t="s">
        <v>25</v>
      </c>
      <c r="S10" s="1681">
        <f t="shared" si="0"/>
        <v>100</v>
      </c>
      <c r="T10" s="1680" t="s">
        <v>25</v>
      </c>
      <c r="U10" s="1681">
        <f t="shared" si="1"/>
        <v>100</v>
      </c>
      <c r="V10" s="1680" t="s">
        <v>25</v>
      </c>
      <c r="W10" s="1681">
        <f t="shared" si="2"/>
        <v>100</v>
      </c>
      <c r="X10" s="1682"/>
      <c r="Y10" s="4349"/>
      <c r="Z10" s="1693" t="str">
        <f t="shared" si="7"/>
        <v>土地使用年限（年）</v>
      </c>
      <c r="AA10" s="1683">
        <f t="shared" si="3"/>
        <v>1</v>
      </c>
      <c r="AB10" s="1683">
        <f t="shared" si="4"/>
        <v>1</v>
      </c>
      <c r="AC10" s="1683">
        <f t="shared" si="5"/>
        <v>1</v>
      </c>
    </row>
    <row r="11" spans="1:29" ht="15">
      <c r="A11" s="1702"/>
      <c r="B11" s="1695" t="s">
        <v>2267</v>
      </c>
      <c r="C11" s="1703"/>
      <c r="D11" s="1697">
        <v>100</v>
      </c>
      <c r="E11" s="1704"/>
      <c r="F11" s="1699" t="e">
        <f>LOOKUP(E11,68:68,69:69)-LOOKUP(C11,68:68,69:69)+100</f>
        <v>#N/A</v>
      </c>
      <c r="G11" s="1703"/>
      <c r="H11" s="1697" t="e">
        <f>LOOKUP(G11,68:68,69:69)-LOOKUP(C11,68:68,69:69)+100</f>
        <v>#N/A</v>
      </c>
      <c r="I11" s="1703"/>
      <c r="J11" s="1697" t="e">
        <f>LOOKUP(I11,68:68,69:69)-LOOKUP(C11,68:68,69:69)+100</f>
        <v>#N/A</v>
      </c>
      <c r="K11" s="1700"/>
      <c r="L11" s="2999"/>
      <c r="M11" s="2996"/>
      <c r="N11" s="2996"/>
      <c r="O11" s="2996"/>
      <c r="P11" s="4511"/>
      <c r="Q11" s="1634" t="str">
        <f t="shared" si="6"/>
        <v>容积率</v>
      </c>
      <c r="R11" s="1680" t="s">
        <v>28</v>
      </c>
      <c r="S11" s="1681" t="e">
        <f t="shared" si="0"/>
        <v>#N/A</v>
      </c>
      <c r="T11" s="1680" t="s">
        <v>28</v>
      </c>
      <c r="U11" s="1681" t="e">
        <f t="shared" si="1"/>
        <v>#N/A</v>
      </c>
      <c r="V11" s="1680" t="s">
        <v>28</v>
      </c>
      <c r="W11" s="1681" t="e">
        <f t="shared" si="2"/>
        <v>#N/A</v>
      </c>
      <c r="X11" s="1682"/>
      <c r="Y11" s="4349"/>
      <c r="Z11" s="1693" t="str">
        <f t="shared" si="7"/>
        <v>容积率</v>
      </c>
      <c r="AA11" s="1683" t="e">
        <f t="shared" si="3"/>
        <v>#N/A</v>
      </c>
      <c r="AB11" s="1683" t="e">
        <f t="shared" si="4"/>
        <v>#N/A</v>
      </c>
      <c r="AC11" s="1683" t="e">
        <f t="shared" si="5"/>
        <v>#N/A</v>
      </c>
    </row>
    <row r="12" spans="1:29" s="1684" customFormat="1" ht="15">
      <c r="A12" s="1705"/>
      <c r="B12" s="1706">
        <v>111</v>
      </c>
      <c r="C12" s="1707"/>
      <c r="D12" s="1708">
        <v>100</v>
      </c>
      <c r="E12" s="1707"/>
      <c r="F12" s="1699">
        <f>SUMIF(70:70,E12,71:71)-SUMIF(70:70,C12,71:71)+100</f>
        <v>100</v>
      </c>
      <c r="G12" s="1707"/>
      <c r="H12" s="1697">
        <f>SUMIF(70:70,G12,71:71)-SUMIF(70:70,C12,71:71)+100</f>
        <v>100</v>
      </c>
      <c r="I12" s="1707"/>
      <c r="J12" s="1697">
        <f>SUMIF(70:70,I12,71:71)-SUMIF(70:70,C12,71:71)+100</f>
        <v>100</v>
      </c>
      <c r="K12" s="1709"/>
      <c r="L12" s="2995"/>
      <c r="M12" s="2968"/>
      <c r="N12" s="2968"/>
      <c r="O12" s="2968"/>
      <c r="P12" s="4511"/>
      <c r="Q12" s="1634">
        <f t="shared" si="6"/>
        <v>111</v>
      </c>
      <c r="R12" s="1680" t="s">
        <v>28</v>
      </c>
      <c r="S12" s="1681">
        <f t="shared" si="0"/>
        <v>100</v>
      </c>
      <c r="T12" s="1680" t="s">
        <v>28</v>
      </c>
      <c r="U12" s="1681">
        <f t="shared" si="1"/>
        <v>100</v>
      </c>
      <c r="V12" s="1680" t="s">
        <v>28</v>
      </c>
      <c r="W12" s="1681">
        <f t="shared" si="2"/>
        <v>100</v>
      </c>
      <c r="X12" s="1682"/>
      <c r="Y12" s="4349"/>
      <c r="Z12" s="1693">
        <f t="shared" si="7"/>
        <v>111</v>
      </c>
      <c r="AA12" s="1683">
        <f>D12/F12</f>
        <v>1</v>
      </c>
      <c r="AB12" s="1683">
        <f>D12/H12</f>
        <v>1</v>
      </c>
      <c r="AC12" s="1683">
        <f>D12/J12</f>
        <v>1</v>
      </c>
    </row>
    <row r="13" spans="1:29" ht="15">
      <c r="A13" s="1702"/>
      <c r="B13" s="1706">
        <v>111</v>
      </c>
      <c r="C13" s="1710"/>
      <c r="D13" s="1711">
        <v>100</v>
      </c>
      <c r="E13" s="1710"/>
      <c r="F13" s="1699">
        <f>SUMIF(72:72,E13,73:73)-SUMIF(72:72,C13,73:73)+100</f>
        <v>100</v>
      </c>
      <c r="G13" s="1710"/>
      <c r="H13" s="1711">
        <f>SUMIF(72:72,G13,73:73)-SUMIF(72:72,C13,73:73)+100</f>
        <v>100</v>
      </c>
      <c r="I13" s="1710"/>
      <c r="J13" s="1711">
        <f>SUMIF(72:72,I13,73:73)-SUMIF(72:72,C13,73:73)+100</f>
        <v>100</v>
      </c>
      <c r="K13" s="1709"/>
      <c r="L13" s="3000"/>
      <c r="M13" s="2996"/>
      <c r="N13" s="2996"/>
      <c r="O13" s="2996"/>
      <c r="P13" s="4511"/>
      <c r="Q13" s="1634">
        <f t="shared" si="6"/>
        <v>111</v>
      </c>
      <c r="R13" s="1680" t="s">
        <v>28</v>
      </c>
      <c r="S13" s="1681">
        <f t="shared" si="0"/>
        <v>100</v>
      </c>
      <c r="T13" s="1680" t="s">
        <v>28</v>
      </c>
      <c r="U13" s="1681">
        <f t="shared" si="1"/>
        <v>100</v>
      </c>
      <c r="V13" s="1680" t="s">
        <v>28</v>
      </c>
      <c r="W13" s="1681">
        <f t="shared" si="2"/>
        <v>100</v>
      </c>
      <c r="X13" s="1682"/>
      <c r="Y13" s="4349"/>
      <c r="Z13" s="1693">
        <f t="shared" si="7"/>
        <v>111</v>
      </c>
      <c r="AA13" s="1683">
        <f t="shared" si="3"/>
        <v>1</v>
      </c>
      <c r="AB13" s="1683">
        <f t="shared" si="4"/>
        <v>1</v>
      </c>
      <c r="AC13" s="1683">
        <f t="shared" si="5"/>
        <v>1</v>
      </c>
    </row>
    <row r="14" spans="1:29" ht="15.75" thickBot="1">
      <c r="A14" s="1712"/>
      <c r="B14" s="1713">
        <v>111</v>
      </c>
      <c r="C14" s="1714"/>
      <c r="D14" s="1715">
        <v>100</v>
      </c>
      <c r="E14" s="1714"/>
      <c r="F14" s="1716">
        <f>SUMIF(74:74,E14,75:75)-SUMIF(74:74,C14,75:75)+100</f>
        <v>100</v>
      </c>
      <c r="G14" s="1714"/>
      <c r="H14" s="1715">
        <f>SUMIF(74:74,G14,75:75)-SUMIF(74:74,C14,75:75)+100</f>
        <v>100</v>
      </c>
      <c r="I14" s="1714"/>
      <c r="J14" s="1715">
        <f>SUMIF(74:74,I14,75:75)-SUMIF(74:74,C14,75:75)+100</f>
        <v>100</v>
      </c>
      <c r="K14" s="1709"/>
      <c r="L14" s="3000"/>
      <c r="M14" s="2996"/>
      <c r="N14" s="2996"/>
      <c r="O14" s="2996"/>
      <c r="P14" s="4511"/>
      <c r="Q14" s="1634">
        <f t="shared" si="6"/>
        <v>111</v>
      </c>
      <c r="R14" s="1680" t="s">
        <v>28</v>
      </c>
      <c r="S14" s="1681">
        <f t="shared" si="0"/>
        <v>100</v>
      </c>
      <c r="T14" s="1680" t="s">
        <v>28</v>
      </c>
      <c r="U14" s="1681">
        <f t="shared" si="1"/>
        <v>100</v>
      </c>
      <c r="V14" s="1680" t="s">
        <v>28</v>
      </c>
      <c r="W14" s="1681">
        <f t="shared" si="2"/>
        <v>100</v>
      </c>
      <c r="X14" s="1682"/>
      <c r="Y14" s="4349"/>
      <c r="Z14" s="1693">
        <f t="shared" si="7"/>
        <v>111</v>
      </c>
      <c r="AA14" s="1683">
        <f t="shared" si="3"/>
        <v>1</v>
      </c>
      <c r="AB14" s="1683">
        <f t="shared" si="4"/>
        <v>1</v>
      </c>
      <c r="AC14" s="1683">
        <f t="shared" si="5"/>
        <v>1</v>
      </c>
    </row>
    <row r="15" spans="1:29" ht="99.75">
      <c r="A15" s="1717" t="s">
        <v>2268</v>
      </c>
      <c r="B15" s="1718" t="s">
        <v>1702</v>
      </c>
      <c r="C15" s="1719" t="str">
        <f>估价对象房地状况!C3</f>
        <v>估价对象周边居住用地比例、居住小区规模和社区发展完善程度，综合评价居住社区成熟度一般</v>
      </c>
      <c r="D15" s="1720">
        <v>100</v>
      </c>
      <c r="E15" s="1721"/>
      <c r="F15" s="1722">
        <f>SUMIF(76:76,E16,77:77)-SUMIF(76:76,C16,77:77)+100</f>
        <v>100</v>
      </c>
      <c r="G15" s="1723"/>
      <c r="H15" s="1720">
        <f>SUMIF(76:76,G16,77:77)-SUMIF(76:76,C16,77:77)+100</f>
        <v>100</v>
      </c>
      <c r="I15" s="1721"/>
      <c r="J15" s="1720">
        <f>SUMIF(76:76,I16,77:77)-SUMIF(76:76,C16,77:77)+100</f>
        <v>100</v>
      </c>
      <c r="K15" s="1724"/>
      <c r="L15" s="3000"/>
      <c r="M15" s="2996"/>
      <c r="N15" s="2996"/>
      <c r="O15" s="2996"/>
      <c r="P15" s="4489" t="s">
        <v>2269</v>
      </c>
      <c r="Q15" s="1615" t="str">
        <f t="shared" si="6"/>
        <v>居住社区成熟度</v>
      </c>
      <c r="R15" s="1725" t="s">
        <v>28</v>
      </c>
      <c r="S15" s="1726">
        <f t="shared" si="0"/>
        <v>100</v>
      </c>
      <c r="T15" s="1725" t="s">
        <v>28</v>
      </c>
      <c r="U15" s="1726">
        <f t="shared" si="1"/>
        <v>100</v>
      </c>
      <c r="V15" s="1725" t="s">
        <v>28</v>
      </c>
      <c r="W15" s="1726">
        <f t="shared" si="2"/>
        <v>100</v>
      </c>
      <c r="X15" s="1665"/>
      <c r="Y15" s="4491" t="s">
        <v>2269</v>
      </c>
      <c r="Z15" s="1727" t="str">
        <f t="shared" si="7"/>
        <v>居住社区成熟度</v>
      </c>
      <c r="AA15" s="1728">
        <f t="shared" si="3"/>
        <v>1</v>
      </c>
      <c r="AB15" s="1728">
        <f t="shared" si="4"/>
        <v>1</v>
      </c>
      <c r="AC15" s="1728">
        <f t="shared" si="5"/>
        <v>1</v>
      </c>
    </row>
    <row r="16" spans="1:29" ht="15">
      <c r="A16" s="1702"/>
      <c r="B16" s="1729"/>
      <c r="C16" s="1730"/>
      <c r="D16" s="1731"/>
      <c r="E16" s="1732"/>
      <c r="F16" s="1733"/>
      <c r="G16" s="1734"/>
      <c r="H16" s="1735"/>
      <c r="I16" s="1732"/>
      <c r="J16" s="1731"/>
      <c r="K16" s="1736"/>
      <c r="L16" s="3000"/>
      <c r="M16" s="2996"/>
      <c r="N16" s="2996"/>
      <c r="O16" s="2996"/>
      <c r="P16" s="4490"/>
      <c r="Q16" s="1615"/>
      <c r="R16" s="1725"/>
      <c r="S16" s="1726"/>
      <c r="T16" s="1725"/>
      <c r="U16" s="1726"/>
      <c r="V16" s="1725"/>
      <c r="W16" s="1726"/>
      <c r="X16" s="1665"/>
      <c r="Y16" s="4492"/>
      <c r="Z16" s="1727"/>
      <c r="AA16" s="1728">
        <v>1</v>
      </c>
      <c r="AB16" s="1728">
        <v>1</v>
      </c>
      <c r="AC16" s="1728">
        <v>1</v>
      </c>
    </row>
    <row r="17" spans="1:29" ht="199.5">
      <c r="A17" s="1702"/>
      <c r="B17" s="1737" t="s">
        <v>1704</v>
      </c>
      <c r="C17" s="1738" t="str">
        <f>估价对象房地状况!C6</f>
        <v>估价对象临近高速路-京新高速，紧邻城市主干道-信息路，距离清河火车站、地铁昌平线、13号线清河站约900米，周边有320路、365路、446路、447路、495路等公交线路通达，停车便捷程度较好，综合评价交通便捷度好。</v>
      </c>
      <c r="D17" s="1735">
        <v>100</v>
      </c>
      <c r="E17" s="1739"/>
      <c r="F17" s="1740">
        <f>SUMIF(78:78,E18,79:79)-SUMIF(78:78,C18,79:79)+100</f>
        <v>100</v>
      </c>
      <c r="G17" s="1741"/>
      <c r="H17" s="1742">
        <f>SUMIF(78:78,G18,79:79)-SUMIF(78:78,C18,79:79)+100</f>
        <v>100</v>
      </c>
      <c r="I17" s="1739"/>
      <c r="J17" s="1742">
        <f>SUMIF(78:78,I18,79:79)-SUMIF(78:78,C18,79:79)+100</f>
        <v>100</v>
      </c>
      <c r="K17" s="1724"/>
      <c r="L17" s="3000"/>
      <c r="M17" s="2996"/>
      <c r="N17" s="2996"/>
      <c r="O17" s="2996"/>
      <c r="P17" s="4490"/>
      <c r="Q17" s="1615" t="str">
        <f>B17</f>
        <v>交通便捷度</v>
      </c>
      <c r="R17" s="1725" t="s">
        <v>28</v>
      </c>
      <c r="S17" s="1726">
        <f>F17</f>
        <v>100</v>
      </c>
      <c r="T17" s="1725" t="s">
        <v>28</v>
      </c>
      <c r="U17" s="1726">
        <f>H17</f>
        <v>100</v>
      </c>
      <c r="V17" s="1725" t="s">
        <v>28</v>
      </c>
      <c r="W17" s="1726">
        <f>J17</f>
        <v>100</v>
      </c>
      <c r="X17" s="1665"/>
      <c r="Y17" s="4492"/>
      <c r="Z17" s="1727" t="str">
        <f>Q17</f>
        <v>交通便捷度</v>
      </c>
      <c r="AA17" s="1728">
        <f t="shared" si="3"/>
        <v>1</v>
      </c>
      <c r="AB17" s="1728">
        <f t="shared" si="4"/>
        <v>1</v>
      </c>
      <c r="AC17" s="1728">
        <f t="shared" si="5"/>
        <v>1</v>
      </c>
    </row>
    <row r="18" spans="1:29" ht="15">
      <c r="A18" s="1702"/>
      <c r="B18" s="1743"/>
      <c r="C18" s="1744"/>
      <c r="D18" s="1735"/>
      <c r="E18" s="1745"/>
      <c r="F18" s="1740"/>
      <c r="G18" s="1746"/>
      <c r="H18" s="1731"/>
      <c r="I18" s="1745"/>
      <c r="J18" s="1731"/>
      <c r="K18" s="1736"/>
      <c r="L18" s="3000"/>
      <c r="M18" s="2996"/>
      <c r="N18" s="2996"/>
      <c r="O18" s="2996"/>
      <c r="P18" s="4490"/>
      <c r="Q18" s="1615"/>
      <c r="R18" s="1725"/>
      <c r="S18" s="1726"/>
      <c r="T18" s="1725"/>
      <c r="U18" s="1726"/>
      <c r="V18" s="1725"/>
      <c r="W18" s="1726"/>
      <c r="X18" s="1665"/>
      <c r="Y18" s="4492"/>
      <c r="Z18" s="1727"/>
      <c r="AA18" s="1728">
        <v>1</v>
      </c>
      <c r="AB18" s="1728">
        <v>1</v>
      </c>
      <c r="AC18" s="1728">
        <v>1</v>
      </c>
    </row>
    <row r="19" spans="1:29" ht="409.5">
      <c r="A19" s="1702"/>
      <c r="B19" s="1737" t="s">
        <v>1703</v>
      </c>
      <c r="C19" s="1738" t="str">
        <f>估价对象房地状况!C7</f>
        <v>银行：农村商业银行、北京银行（上地支行）、中国工商银行（北京中关村支行）、中国银行（北京上地信息路支行）等金融场所；
商业设施：北京华联上地购物中心、数字山谷下沉商业广场等商业设施；
教育机构：北京八维研修学院、北京市上地实验学校、中关村第一小学（西二旗分校）、北京市海淀区第二实验小学（当代校区）、美和园幼儿园（智学苑分园）等教育机构；
医疗机构：北京市上地医院、北京市海淀区清河街道西二旗社区卫生服务站等医疗机构；
估价对象所在区域公共配套设施齐备情况较好。</v>
      </c>
      <c r="D19" s="1742">
        <v>100</v>
      </c>
      <c r="E19" s="1747"/>
      <c r="F19" s="1748">
        <f>SUMIF(80:80,E20,81:81)-SUMIF(80:80,C20,81:81)+100</f>
        <v>100</v>
      </c>
      <c r="G19" s="1749"/>
      <c r="H19" s="1735">
        <f>SUMIF(80:80,G20,81:81)-SUMIF(80:80,C20,81:81)+100</f>
        <v>100</v>
      </c>
      <c r="I19" s="1747"/>
      <c r="J19" s="1735">
        <f>SUMIF(80:80,I20,81:81)-SUMIF(80:80,C20,81:81)+100</f>
        <v>100</v>
      </c>
      <c r="K19" s="1724"/>
      <c r="L19" s="3000"/>
      <c r="M19" s="2996"/>
      <c r="N19" s="2996"/>
      <c r="O19" s="2996"/>
      <c r="P19" s="4490"/>
      <c r="Q19" s="1615" t="str">
        <f>B19</f>
        <v>公共配套设施</v>
      </c>
      <c r="R19" s="1725" t="s">
        <v>28</v>
      </c>
      <c r="S19" s="1726">
        <f>F19</f>
        <v>100</v>
      </c>
      <c r="T19" s="1725" t="s">
        <v>28</v>
      </c>
      <c r="U19" s="1726">
        <f>H19</f>
        <v>100</v>
      </c>
      <c r="V19" s="1725" t="s">
        <v>28</v>
      </c>
      <c r="W19" s="1726">
        <f>J19</f>
        <v>100</v>
      </c>
      <c r="X19" s="1665"/>
      <c r="Y19" s="4492"/>
      <c r="Z19" s="1727" t="str">
        <f>Q19</f>
        <v>公共配套设施</v>
      </c>
      <c r="AA19" s="1728">
        <f t="shared" si="3"/>
        <v>1</v>
      </c>
      <c r="AB19" s="1728">
        <f t="shared" si="4"/>
        <v>1</v>
      </c>
      <c r="AC19" s="1728">
        <f t="shared" si="5"/>
        <v>1</v>
      </c>
    </row>
    <row r="20" spans="1:29" ht="15">
      <c r="A20" s="1702"/>
      <c r="B20" s="1743"/>
      <c r="C20" s="1730"/>
      <c r="D20" s="1731"/>
      <c r="E20" s="1732"/>
      <c r="F20" s="1733"/>
      <c r="G20" s="1734"/>
      <c r="H20" s="1731"/>
      <c r="I20" s="1732"/>
      <c r="J20" s="1731"/>
      <c r="K20" s="1736"/>
      <c r="L20" s="3000"/>
      <c r="M20" s="2996"/>
      <c r="N20" s="2996"/>
      <c r="O20" s="2996"/>
      <c r="P20" s="4490"/>
      <c r="Q20" s="1615"/>
      <c r="R20" s="1725"/>
      <c r="S20" s="1726"/>
      <c r="T20" s="1725"/>
      <c r="U20" s="1726"/>
      <c r="V20" s="1725"/>
      <c r="W20" s="1726"/>
      <c r="X20" s="1665"/>
      <c r="Y20" s="4492"/>
      <c r="Z20" s="1727"/>
      <c r="AA20" s="1728">
        <v>1</v>
      </c>
      <c r="AB20" s="1728">
        <v>1</v>
      </c>
      <c r="AC20" s="1728">
        <v>1</v>
      </c>
    </row>
    <row r="21" spans="1:29" ht="42.75">
      <c r="A21" s="1702"/>
      <c r="B21" s="1750" t="s">
        <v>1705</v>
      </c>
      <c r="C21" s="1738" t="str">
        <f>估价对象房地状况!C8</f>
        <v>估价对象所在区域基础设施水平-七通</v>
      </c>
      <c r="D21" s="1742">
        <v>100</v>
      </c>
      <c r="E21" s="1747"/>
      <c r="F21" s="1748">
        <f>SUMIF(82:82,E22,83:83)-SUMIF(82:82,C22,83:83)+100</f>
        <v>100</v>
      </c>
      <c r="G21" s="1749"/>
      <c r="H21" s="1735">
        <f>SUMIF(82:82,G22,83:83)-SUMIF(82:82,C22,83:83)+100</f>
        <v>100</v>
      </c>
      <c r="I21" s="1747"/>
      <c r="J21" s="1735">
        <f>SUMIF(82:82,I22,83:83)-SUMIF(82:82,C22,83:83)+100</f>
        <v>100</v>
      </c>
      <c r="K21" s="1724"/>
      <c r="L21" s="3000"/>
      <c r="M21" s="2996"/>
      <c r="N21" s="2996"/>
      <c r="O21" s="2996"/>
      <c r="P21" s="4490"/>
      <c r="Q21" s="1615" t="str">
        <f>B21</f>
        <v>基础设施水平</v>
      </c>
      <c r="R21" s="1725" t="s">
        <v>28</v>
      </c>
      <c r="S21" s="1726">
        <f>F21</f>
        <v>100</v>
      </c>
      <c r="T21" s="1725" t="s">
        <v>28</v>
      </c>
      <c r="U21" s="1726">
        <f>H21</f>
        <v>100</v>
      </c>
      <c r="V21" s="1725" t="s">
        <v>28</v>
      </c>
      <c r="W21" s="1726">
        <f>J21</f>
        <v>100</v>
      </c>
      <c r="X21" s="1665"/>
      <c r="Y21" s="4492"/>
      <c r="Z21" s="1727" t="str">
        <f>Q21</f>
        <v>基础设施水平</v>
      </c>
      <c r="AA21" s="1728">
        <f t="shared" ref="AA21" si="8">D21/F21</f>
        <v>1</v>
      </c>
      <c r="AB21" s="1728">
        <f t="shared" ref="AB21" si="9">D21/H21</f>
        <v>1</v>
      </c>
      <c r="AC21" s="1728">
        <f t="shared" ref="AC21" si="10">D21/J21</f>
        <v>1</v>
      </c>
    </row>
    <row r="22" spans="1:29" ht="15">
      <c r="A22" s="1702"/>
      <c r="B22" s="1750"/>
      <c r="C22" s="1744"/>
      <c r="D22" s="1731"/>
      <c r="E22" s="1730"/>
      <c r="F22" s="1733"/>
      <c r="G22" s="1730"/>
      <c r="H22" s="1731"/>
      <c r="I22" s="1730"/>
      <c r="J22" s="1731"/>
      <c r="K22" s="1751"/>
      <c r="L22" s="3000"/>
      <c r="M22" s="2996"/>
      <c r="N22" s="2996"/>
      <c r="O22" s="2996"/>
      <c r="P22" s="4490"/>
      <c r="Q22" s="1615"/>
      <c r="R22" s="1725"/>
      <c r="S22" s="1726"/>
      <c r="T22" s="1725"/>
      <c r="U22" s="1726"/>
      <c r="V22" s="1725"/>
      <c r="W22" s="1726"/>
      <c r="X22" s="1665"/>
      <c r="Y22" s="4492"/>
      <c r="Z22" s="1727"/>
      <c r="AA22" s="1728">
        <v>1</v>
      </c>
      <c r="AB22" s="1728">
        <v>1</v>
      </c>
      <c r="AC22" s="1728">
        <v>1</v>
      </c>
    </row>
    <row r="23" spans="1:29" ht="114">
      <c r="A23" s="1702"/>
      <c r="B23" s="1737" t="s">
        <v>1706</v>
      </c>
      <c r="C23" s="1738" t="str">
        <f>估价对象房地状况!C9</f>
        <v>区域自然环境：上地公园、快乐成长家庭人口文化园等；人文环境；周边人文设施较少；
综合评价环境状况一般。</v>
      </c>
      <c r="D23" s="1735">
        <v>100</v>
      </c>
      <c r="E23" s="1739"/>
      <c r="F23" s="1740">
        <f>SUMIF(84:84,E24,85:85)-SUMIF(84:84,C24,85:85)+100</f>
        <v>100</v>
      </c>
      <c r="G23" s="1741"/>
      <c r="H23" s="1735">
        <f>SUMIF(84:84,G24,85:85)-SUMIF(84:84,C24,85:85)+100</f>
        <v>100</v>
      </c>
      <c r="I23" s="1739"/>
      <c r="J23" s="1735">
        <f>SUMIF(84:84,I24,85:85)-SUMIF(84:84,C24,85:85)+100</f>
        <v>100</v>
      </c>
      <c r="K23" s="1724"/>
      <c r="L23" s="3000"/>
      <c r="M23" s="2996"/>
      <c r="N23" s="2996"/>
      <c r="O23" s="2996"/>
      <c r="P23" s="4490"/>
      <c r="Q23" s="1615" t="str">
        <f>B23</f>
        <v>自然及人文环境</v>
      </c>
      <c r="R23" s="1725" t="s">
        <v>28</v>
      </c>
      <c r="S23" s="1726">
        <f>F23</f>
        <v>100</v>
      </c>
      <c r="T23" s="1725" t="s">
        <v>28</v>
      </c>
      <c r="U23" s="1726">
        <f>H23</f>
        <v>100</v>
      </c>
      <c r="V23" s="1725" t="s">
        <v>28</v>
      </c>
      <c r="W23" s="1726">
        <f>J23</f>
        <v>100</v>
      </c>
      <c r="X23" s="1665"/>
      <c r="Y23" s="4492"/>
      <c r="Z23" s="1727" t="str">
        <f>Q23</f>
        <v>自然及人文环境</v>
      </c>
      <c r="AA23" s="1728">
        <f t="shared" si="3"/>
        <v>1</v>
      </c>
      <c r="AB23" s="1728">
        <f t="shared" si="4"/>
        <v>1</v>
      </c>
      <c r="AC23" s="1728">
        <f t="shared" si="5"/>
        <v>1</v>
      </c>
    </row>
    <row r="24" spans="1:29" ht="15">
      <c r="A24" s="1702"/>
      <c r="B24" s="1743"/>
      <c r="C24" s="1730"/>
      <c r="D24" s="1731"/>
      <c r="E24" s="1732"/>
      <c r="F24" s="1733"/>
      <c r="G24" s="1734"/>
      <c r="H24" s="1731"/>
      <c r="I24" s="1732"/>
      <c r="J24" s="1731"/>
      <c r="K24" s="1736"/>
      <c r="L24" s="3000"/>
      <c r="M24" s="2996"/>
      <c r="N24" s="2996"/>
      <c r="O24" s="2996"/>
      <c r="P24" s="4490"/>
      <c r="Q24" s="1615"/>
      <c r="R24" s="1725"/>
      <c r="S24" s="1726"/>
      <c r="T24" s="1725"/>
      <c r="U24" s="1726"/>
      <c r="V24" s="1725"/>
      <c r="W24" s="1726"/>
      <c r="X24" s="1665"/>
      <c r="Y24" s="4492"/>
      <c r="Z24" s="1727"/>
      <c r="AA24" s="1728">
        <v>1</v>
      </c>
      <c r="AB24" s="1728">
        <v>1</v>
      </c>
      <c r="AC24" s="1728">
        <v>1</v>
      </c>
    </row>
    <row r="25" spans="1:29" ht="15">
      <c r="A25" s="1702"/>
      <c r="B25" s="1695" t="s">
        <v>2270</v>
      </c>
      <c r="C25" s="1752"/>
      <c r="D25" s="1711">
        <v>100</v>
      </c>
      <c r="E25" s="1753"/>
      <c r="F25" s="1754">
        <f>SUMIF(86:86,E25,87:87)-SUMIF(86:86,C25,87:87)+100</f>
        <v>100</v>
      </c>
      <c r="G25" s="1755"/>
      <c r="H25" s="1711">
        <f>SUMIF(86:86,G25,87:87)-SUMIF(86:86,C25,87:87)+100</f>
        <v>100</v>
      </c>
      <c r="I25" s="1753"/>
      <c r="J25" s="1711">
        <f>SUMIF(86:86,I25,87:87)-SUMIF(86:86,C25,87:87)+100</f>
        <v>100</v>
      </c>
      <c r="K25" s="1700"/>
      <c r="L25" s="3000"/>
      <c r="M25" s="2996"/>
      <c r="N25" s="2996"/>
      <c r="O25" s="2996"/>
      <c r="P25" s="4490"/>
      <c r="Q25" s="1615" t="str">
        <f t="shared" ref="Q25:Q46" si="11">B25</f>
        <v>楼层-1</v>
      </c>
      <c r="R25" s="1725" t="s">
        <v>28</v>
      </c>
      <c r="S25" s="1726">
        <f>F25</f>
        <v>100</v>
      </c>
      <c r="T25" s="1725" t="s">
        <v>28</v>
      </c>
      <c r="U25" s="1726">
        <f>H25</f>
        <v>100</v>
      </c>
      <c r="V25" s="1725" t="s">
        <v>28</v>
      </c>
      <c r="W25" s="1726">
        <f>J25</f>
        <v>100</v>
      </c>
      <c r="X25" s="1665"/>
      <c r="Y25" s="4492"/>
      <c r="Z25" s="1727" t="str">
        <f>Q25</f>
        <v>楼层-1</v>
      </c>
      <c r="AA25" s="1728">
        <f t="shared" si="3"/>
        <v>1</v>
      </c>
      <c r="AB25" s="1728">
        <f t="shared" si="4"/>
        <v>1</v>
      </c>
      <c r="AC25" s="1728">
        <f t="shared" si="5"/>
        <v>1</v>
      </c>
    </row>
    <row r="26" spans="1:29" ht="15">
      <c r="A26" s="1702"/>
      <c r="B26" s="1695" t="s">
        <v>2271</v>
      </c>
      <c r="C26" s="1752"/>
      <c r="D26" s="1711">
        <v>100</v>
      </c>
      <c r="E26" s="1753"/>
      <c r="F26" s="1754">
        <f>SUMIF(88:88,E26,89:89)-SUMIF(88:88,C26,89:89)+100</f>
        <v>100</v>
      </c>
      <c r="G26" s="1755"/>
      <c r="H26" s="1711">
        <f>SUMIF(88:88,G26,89:89)-SUMIF(88:88,C26,89:89)+100</f>
        <v>100</v>
      </c>
      <c r="I26" s="1753"/>
      <c r="J26" s="1711">
        <f>SUMIF(88:88,I26,89:89)-SUMIF(88:88,C26,89:89)+100</f>
        <v>100</v>
      </c>
      <c r="K26" s="1700"/>
      <c r="L26" s="3000"/>
      <c r="M26" s="2996"/>
      <c r="N26" s="2996"/>
      <c r="O26" s="2996"/>
      <c r="P26" s="4490"/>
      <c r="Q26" s="1615" t="str">
        <f t="shared" si="11"/>
        <v>朝向</v>
      </c>
      <c r="R26" s="1725" t="s">
        <v>28</v>
      </c>
      <c r="S26" s="1726">
        <f>F26</f>
        <v>100</v>
      </c>
      <c r="T26" s="1725" t="s">
        <v>28</v>
      </c>
      <c r="U26" s="1726">
        <f>H26</f>
        <v>100</v>
      </c>
      <c r="V26" s="1725" t="s">
        <v>28</v>
      </c>
      <c r="W26" s="1726">
        <f>J26</f>
        <v>100</v>
      </c>
      <c r="X26" s="1665"/>
      <c r="Y26" s="4492"/>
      <c r="Z26" s="1727" t="str">
        <f>Q26</f>
        <v>朝向</v>
      </c>
      <c r="AA26" s="1728">
        <f t="shared" si="3"/>
        <v>1</v>
      </c>
      <c r="AB26" s="1728">
        <f t="shared" si="4"/>
        <v>1</v>
      </c>
      <c r="AC26" s="1728">
        <f t="shared" si="5"/>
        <v>1</v>
      </c>
    </row>
    <row r="27" spans="1:29" s="1684" customFormat="1" ht="15">
      <c r="A27" s="1705"/>
      <c r="B27" s="1706" t="s">
        <v>2272</v>
      </c>
      <c r="C27" s="1707"/>
      <c r="D27" s="1756">
        <v>100</v>
      </c>
      <c r="E27" s="1757"/>
      <c r="F27" s="1758">
        <f>SUMIF(90:90,E27,91:91)-SUMIF(90:90,C27,91:91)+100</f>
        <v>100</v>
      </c>
      <c r="G27" s="1759"/>
      <c r="H27" s="1756">
        <f>SUMIF(90:90,G27,91:91)-SUMIF(90:90,C27,91:91)+100</f>
        <v>100</v>
      </c>
      <c r="I27" s="1757"/>
      <c r="J27" s="1756">
        <f>SUMIF(90:90,I27,91:91)-SUMIF(90:90,C27,91:91)+100</f>
        <v>100</v>
      </c>
      <c r="K27" s="1709"/>
      <c r="L27" s="2995"/>
      <c r="M27" s="2968"/>
      <c r="N27" s="2968"/>
      <c r="O27" s="2968"/>
      <c r="P27" s="4490"/>
      <c r="Q27" s="1634" t="str">
        <f t="shared" si="11"/>
        <v>道路级别</v>
      </c>
      <c r="R27" s="1680" t="s">
        <v>28</v>
      </c>
      <c r="S27" s="1681">
        <f>F27</f>
        <v>100</v>
      </c>
      <c r="T27" s="1680" t="s">
        <v>28</v>
      </c>
      <c r="U27" s="1681">
        <f>H27</f>
        <v>100</v>
      </c>
      <c r="V27" s="1680" t="s">
        <v>28</v>
      </c>
      <c r="W27" s="1681">
        <f>J27</f>
        <v>100</v>
      </c>
      <c r="X27" s="1682"/>
      <c r="Y27" s="4492"/>
      <c r="Z27" s="1693" t="str">
        <f>Q27</f>
        <v>道路级别</v>
      </c>
      <c r="AA27" s="1728">
        <f>D27/F27</f>
        <v>1</v>
      </c>
      <c r="AB27" s="1728">
        <f>D27/H27</f>
        <v>1</v>
      </c>
      <c r="AC27" s="1728">
        <f>D27/J27</f>
        <v>1</v>
      </c>
    </row>
    <row r="28" spans="1:29" ht="15">
      <c r="A28" s="1702"/>
      <c r="B28" s="1760">
        <v>111</v>
      </c>
      <c r="C28" s="1710"/>
      <c r="D28" s="1711">
        <v>100</v>
      </c>
      <c r="E28" s="1710"/>
      <c r="F28" s="1754">
        <f>SUMIF(92:92,E28,93:93)-SUMIF(92:92,C28,93:93)+100</f>
        <v>100</v>
      </c>
      <c r="G28" s="1710"/>
      <c r="H28" s="1711">
        <f>SUMIF(92:92,G28,93:93)-SUMIF(92:92,C28,93:93)+100</f>
        <v>100</v>
      </c>
      <c r="I28" s="1710"/>
      <c r="J28" s="1711">
        <f>SUMIF(92:92,I28,93:93)-SUMIF(92:92,C28,93:93)+100</f>
        <v>100</v>
      </c>
      <c r="K28" s="1709"/>
      <c r="L28" s="3000"/>
      <c r="M28" s="2996"/>
      <c r="N28" s="2996"/>
      <c r="O28" s="2996"/>
      <c r="P28" s="4490"/>
      <c r="Q28" s="1615">
        <f t="shared" si="11"/>
        <v>111</v>
      </c>
      <c r="R28" s="1725" t="s">
        <v>28</v>
      </c>
      <c r="S28" s="1726">
        <f t="shared" ref="S28:S46" si="12">F28</f>
        <v>100</v>
      </c>
      <c r="T28" s="1725" t="s">
        <v>28</v>
      </c>
      <c r="U28" s="1726">
        <f t="shared" ref="U28:U46" si="13">H28</f>
        <v>100</v>
      </c>
      <c r="V28" s="1725" t="s">
        <v>28</v>
      </c>
      <c r="W28" s="1726">
        <f t="shared" ref="W28:W46" si="14">J28</f>
        <v>100</v>
      </c>
      <c r="X28" s="1665"/>
      <c r="Y28" s="4492"/>
      <c r="Z28" s="1727">
        <f t="shared" ref="Z28:Z46" si="15">Q28</f>
        <v>111</v>
      </c>
      <c r="AA28" s="1728">
        <f t="shared" si="3"/>
        <v>1</v>
      </c>
      <c r="AB28" s="1728">
        <f t="shared" si="4"/>
        <v>1</v>
      </c>
      <c r="AC28" s="1728">
        <f t="shared" si="5"/>
        <v>1</v>
      </c>
    </row>
    <row r="29" spans="1:29" ht="15">
      <c r="A29" s="1702"/>
      <c r="B29" s="1760">
        <v>111</v>
      </c>
      <c r="C29" s="1710"/>
      <c r="D29" s="1711">
        <v>100</v>
      </c>
      <c r="E29" s="1710"/>
      <c r="F29" s="1754">
        <f>SUMIF(94:94,E29,95:95)-SUMIF(94:94,C29,95:95)+100</f>
        <v>100</v>
      </c>
      <c r="G29" s="1710"/>
      <c r="H29" s="1711">
        <f>SUMIF(94:94,G29,95:95)-SUMIF(94:94,C29,95:95)+100</f>
        <v>100</v>
      </c>
      <c r="I29" s="1710"/>
      <c r="J29" s="1711">
        <f>SUMIF(94:94,I29,95:95)-SUMIF(94:94,C29,95:95)+100</f>
        <v>100</v>
      </c>
      <c r="K29" s="1709"/>
      <c r="L29" s="3000"/>
      <c r="M29" s="2996"/>
      <c r="N29" s="2996"/>
      <c r="O29" s="2996"/>
      <c r="P29" s="4490"/>
      <c r="Q29" s="1615">
        <f t="shared" si="11"/>
        <v>111</v>
      </c>
      <c r="R29" s="1725" t="s">
        <v>28</v>
      </c>
      <c r="S29" s="1726">
        <f t="shared" si="12"/>
        <v>100</v>
      </c>
      <c r="T29" s="1725" t="s">
        <v>28</v>
      </c>
      <c r="U29" s="1726">
        <f t="shared" si="13"/>
        <v>100</v>
      </c>
      <c r="V29" s="1725" t="s">
        <v>28</v>
      </c>
      <c r="W29" s="1726">
        <f t="shared" si="14"/>
        <v>100</v>
      </c>
      <c r="X29" s="1665"/>
      <c r="Y29" s="4492"/>
      <c r="Z29" s="1727">
        <f t="shared" si="15"/>
        <v>111</v>
      </c>
      <c r="AA29" s="1728">
        <f t="shared" si="3"/>
        <v>1</v>
      </c>
      <c r="AB29" s="1728">
        <f t="shared" si="4"/>
        <v>1</v>
      </c>
      <c r="AC29" s="1728">
        <f t="shared" si="5"/>
        <v>1</v>
      </c>
    </row>
    <row r="30" spans="1:29" ht="15">
      <c r="A30" s="1702"/>
      <c r="B30" s="1760">
        <v>111</v>
      </c>
      <c r="C30" s="1710"/>
      <c r="D30" s="1711">
        <v>100</v>
      </c>
      <c r="E30" s="1710"/>
      <c r="F30" s="1754">
        <f>SUMIF(96:96,E30,97:97)-SUMIF(96:96,C30,97:97)+100</f>
        <v>100</v>
      </c>
      <c r="G30" s="1710"/>
      <c r="H30" s="1711">
        <f>SUMIF(96:96,G30,97:97)-SUMIF(96:96,C30,97:97)+100</f>
        <v>100</v>
      </c>
      <c r="I30" s="1710"/>
      <c r="J30" s="1711">
        <f>SUMIF(96:96,I30,97:97)-SUMIF(96:96,C30,97:97)+100</f>
        <v>100</v>
      </c>
      <c r="K30" s="1709"/>
      <c r="L30" s="3000"/>
      <c r="M30" s="2996"/>
      <c r="N30" s="2996"/>
      <c r="O30" s="2996"/>
      <c r="P30" s="4490"/>
      <c r="Q30" s="1615">
        <f t="shared" si="11"/>
        <v>111</v>
      </c>
      <c r="R30" s="1725" t="s">
        <v>28</v>
      </c>
      <c r="S30" s="1726">
        <f t="shared" si="12"/>
        <v>100</v>
      </c>
      <c r="T30" s="1725" t="s">
        <v>28</v>
      </c>
      <c r="U30" s="1726">
        <f t="shared" si="13"/>
        <v>100</v>
      </c>
      <c r="V30" s="1725" t="s">
        <v>28</v>
      </c>
      <c r="W30" s="1726">
        <f t="shared" si="14"/>
        <v>100</v>
      </c>
      <c r="X30" s="1665"/>
      <c r="Y30" s="4492"/>
      <c r="Z30" s="1727">
        <f t="shared" si="15"/>
        <v>111</v>
      </c>
      <c r="AA30" s="1728">
        <f t="shared" si="3"/>
        <v>1</v>
      </c>
      <c r="AB30" s="1728">
        <f t="shared" si="4"/>
        <v>1</v>
      </c>
      <c r="AC30" s="1728">
        <f t="shared" si="5"/>
        <v>1</v>
      </c>
    </row>
    <row r="31" spans="1:29" ht="15.75" thickBot="1">
      <c r="A31" s="1712"/>
      <c r="B31" s="1760">
        <v>111</v>
      </c>
      <c r="C31" s="1714"/>
      <c r="D31" s="1715">
        <v>100</v>
      </c>
      <c r="E31" s="1714"/>
      <c r="F31" s="1716">
        <f>SUMIF(98:98,E31,99:99)-SUMIF(98:98,C31,99:99)+100</f>
        <v>100</v>
      </c>
      <c r="G31" s="1714"/>
      <c r="H31" s="1715">
        <f>SUMIF(98:98,G31,99:99)-SUMIF(98:98,C31,99:99)+100</f>
        <v>100</v>
      </c>
      <c r="I31" s="1714"/>
      <c r="J31" s="1715">
        <f>SUMIF(98:98,I31,99:99)-SUMIF(98:98,C31,99:99)+100</f>
        <v>100</v>
      </c>
      <c r="K31" s="1709"/>
      <c r="L31" s="3000"/>
      <c r="M31" s="2996"/>
      <c r="N31" s="2996"/>
      <c r="O31" s="2996"/>
      <c r="P31" s="4490"/>
      <c r="Q31" s="1615">
        <f t="shared" si="11"/>
        <v>111</v>
      </c>
      <c r="R31" s="1725" t="s">
        <v>28</v>
      </c>
      <c r="S31" s="1726">
        <f t="shared" si="12"/>
        <v>100</v>
      </c>
      <c r="T31" s="1725" t="s">
        <v>28</v>
      </c>
      <c r="U31" s="1726">
        <f t="shared" si="13"/>
        <v>100</v>
      </c>
      <c r="V31" s="1725" t="s">
        <v>28</v>
      </c>
      <c r="W31" s="1726">
        <f t="shared" si="14"/>
        <v>100</v>
      </c>
      <c r="X31" s="1665"/>
      <c r="Y31" s="4492"/>
      <c r="Z31" s="1727">
        <f t="shared" si="15"/>
        <v>111</v>
      </c>
      <c r="AA31" s="1728">
        <f t="shared" si="3"/>
        <v>1</v>
      </c>
      <c r="AB31" s="1728">
        <f t="shared" si="4"/>
        <v>1</v>
      </c>
      <c r="AC31" s="1728">
        <f t="shared" si="5"/>
        <v>1</v>
      </c>
    </row>
    <row r="32" spans="1:29" ht="15">
      <c r="A32" s="1717" t="s">
        <v>2273</v>
      </c>
      <c r="B32" s="1687" t="s">
        <v>2274</v>
      </c>
      <c r="C32" s="1761"/>
      <c r="D32" s="1762">
        <v>100</v>
      </c>
      <c r="E32" s="1763"/>
      <c r="F32" s="1754">
        <f>SUMIF(100:100,E32,101:101)-SUMIF(100:100,C32,101:101)+100</f>
        <v>100</v>
      </c>
      <c r="G32" s="1761"/>
      <c r="H32" s="1762">
        <f>SUMIF(100:100,G32,101:101)-SUMIF(100:100,C32,101:101)+100</f>
        <v>100</v>
      </c>
      <c r="I32" s="1763"/>
      <c r="J32" s="1711">
        <f>SUMIF(100:100,I32,101:101)-SUMIF(100:100,C32,101:101)+100</f>
        <v>100</v>
      </c>
      <c r="K32" s="1700"/>
      <c r="L32" s="3000"/>
      <c r="M32" s="2996"/>
      <c r="N32" s="2996"/>
      <c r="O32" s="2996"/>
      <c r="P32" s="4493" t="s">
        <v>2275</v>
      </c>
      <c r="Q32" s="1615" t="str">
        <f t="shared" si="11"/>
        <v>建筑类型</v>
      </c>
      <c r="R32" s="1725" t="s">
        <v>28</v>
      </c>
      <c r="S32" s="1726">
        <f t="shared" si="12"/>
        <v>100</v>
      </c>
      <c r="T32" s="1725" t="s">
        <v>28</v>
      </c>
      <c r="U32" s="1726">
        <f t="shared" si="13"/>
        <v>100</v>
      </c>
      <c r="V32" s="1725" t="s">
        <v>28</v>
      </c>
      <c r="W32" s="1726">
        <f t="shared" si="14"/>
        <v>100</v>
      </c>
      <c r="X32" s="1665"/>
      <c r="Y32" s="4496" t="s">
        <v>2275</v>
      </c>
      <c r="Z32" s="1727" t="str">
        <f t="shared" si="15"/>
        <v>建筑类型</v>
      </c>
      <c r="AA32" s="1728">
        <f t="shared" si="3"/>
        <v>1</v>
      </c>
      <c r="AB32" s="1728">
        <f t="shared" si="4"/>
        <v>1</v>
      </c>
      <c r="AC32" s="1728">
        <f t="shared" si="5"/>
        <v>1</v>
      </c>
    </row>
    <row r="33" spans="1:29" s="1771" customFormat="1" ht="15">
      <c r="A33" s="1764"/>
      <c r="B33" s="1695" t="s">
        <v>2276</v>
      </c>
      <c r="C33" s="1765"/>
      <c r="D33" s="1697">
        <v>100</v>
      </c>
      <c r="E33" s="1704"/>
      <c r="F33" s="1699" t="e">
        <f>LOOKUP(E33,103:103,104:104)-LOOKUP(C33,103:103,104:104)+100</f>
        <v>#N/A</v>
      </c>
      <c r="G33" s="1703"/>
      <c r="H33" s="1697" t="e">
        <f>LOOKUP(G33,103:103,104:104)-LOOKUP(C33,103:103,104:104)+100</f>
        <v>#N/A</v>
      </c>
      <c r="I33" s="1704"/>
      <c r="J33" s="1697" t="e">
        <f>LOOKUP(I33,103:103,104:104)-LOOKUP(C33,103:103,104:104)+100</f>
        <v>#N/A</v>
      </c>
      <c r="K33" s="1709"/>
      <c r="L33" s="2999"/>
      <c r="M33" s="2059"/>
      <c r="N33" s="2059"/>
      <c r="O33" s="2059"/>
      <c r="P33" s="4494"/>
      <c r="Q33" s="1766" t="str">
        <f t="shared" si="11"/>
        <v>项目建筑规模</v>
      </c>
      <c r="R33" s="1767" t="s">
        <v>28</v>
      </c>
      <c r="S33" s="1768" t="e">
        <f t="shared" si="12"/>
        <v>#N/A</v>
      </c>
      <c r="T33" s="1767" t="s">
        <v>28</v>
      </c>
      <c r="U33" s="1768" t="e">
        <f t="shared" si="13"/>
        <v>#N/A</v>
      </c>
      <c r="V33" s="1767" t="s">
        <v>28</v>
      </c>
      <c r="W33" s="1768" t="e">
        <f t="shared" si="14"/>
        <v>#N/A</v>
      </c>
      <c r="X33" s="1769"/>
      <c r="Y33" s="4496"/>
      <c r="Z33" s="1770" t="str">
        <f t="shared" si="15"/>
        <v>项目建筑规模</v>
      </c>
      <c r="AA33" s="1728" t="e">
        <f t="shared" si="3"/>
        <v>#N/A</v>
      </c>
      <c r="AB33" s="1728" t="e">
        <f t="shared" si="4"/>
        <v>#N/A</v>
      </c>
      <c r="AC33" s="1728" t="e">
        <f t="shared" si="5"/>
        <v>#N/A</v>
      </c>
    </row>
    <row r="34" spans="1:29" ht="15">
      <c r="A34" s="1772"/>
      <c r="B34" s="1695" t="s">
        <v>2277</v>
      </c>
      <c r="C34" s="1773"/>
      <c r="D34" s="1711">
        <v>100</v>
      </c>
      <c r="E34" s="1774"/>
      <c r="F34" s="1754">
        <f>SUMIF(105:105,E34,106:106)-SUMIF(105:105,C34,106:106)+100</f>
        <v>100</v>
      </c>
      <c r="G34" s="1773"/>
      <c r="H34" s="1711">
        <f>SUMIF(105:105,G34,106:106)-SUMIF(105:105,C34,106:106)+100</f>
        <v>100</v>
      </c>
      <c r="I34" s="1774"/>
      <c r="J34" s="1711">
        <f>SUMIF(105:105,I34,106:106)-SUMIF(105:105,C34,106:106)+100</f>
        <v>100</v>
      </c>
      <c r="K34" s="1700"/>
      <c r="L34" s="3000"/>
      <c r="M34" s="2996"/>
      <c r="N34" s="2996"/>
      <c r="O34" s="2996"/>
      <c r="P34" s="4494"/>
      <c r="Q34" s="1615" t="str">
        <f t="shared" si="11"/>
        <v>建筑结构</v>
      </c>
      <c r="R34" s="1725" t="s">
        <v>28</v>
      </c>
      <c r="S34" s="1726">
        <f t="shared" si="12"/>
        <v>100</v>
      </c>
      <c r="T34" s="1725" t="s">
        <v>28</v>
      </c>
      <c r="U34" s="1726">
        <f t="shared" si="13"/>
        <v>100</v>
      </c>
      <c r="V34" s="1725" t="s">
        <v>28</v>
      </c>
      <c r="W34" s="1726">
        <f t="shared" si="14"/>
        <v>100</v>
      </c>
      <c r="X34" s="1665"/>
      <c r="Y34" s="4496"/>
      <c r="Z34" s="1727" t="str">
        <f t="shared" si="15"/>
        <v>建筑结构</v>
      </c>
      <c r="AA34" s="1728">
        <f t="shared" si="3"/>
        <v>1</v>
      </c>
      <c r="AB34" s="1728">
        <f t="shared" si="4"/>
        <v>1</v>
      </c>
      <c r="AC34" s="1728">
        <f t="shared" si="5"/>
        <v>1</v>
      </c>
    </row>
    <row r="35" spans="1:29" ht="15">
      <c r="A35" s="1772"/>
      <c r="B35" s="1695" t="s">
        <v>2278</v>
      </c>
      <c r="C35" s="1755"/>
      <c r="D35" s="1711">
        <v>100</v>
      </c>
      <c r="E35" s="1753"/>
      <c r="F35" s="1754">
        <f>SUMIF(107:107,E35,108:108)-SUMIF(107:107,C35,108:108)+100</f>
        <v>100</v>
      </c>
      <c r="G35" s="1755"/>
      <c r="H35" s="1711">
        <f>SUMIF(107:107,G35,108:108)-SUMIF(107:107,C35,108:108)+100</f>
        <v>100</v>
      </c>
      <c r="I35" s="1753"/>
      <c r="J35" s="1711">
        <f>SUMIF(107:107,I35,108:108)-SUMIF(107:107,C35,108:108)+100</f>
        <v>100</v>
      </c>
      <c r="K35" s="1700"/>
      <c r="L35" s="3000"/>
      <c r="M35" s="2996"/>
      <c r="N35" s="2996"/>
      <c r="O35" s="2996"/>
      <c r="P35" s="4494"/>
      <c r="Q35" s="1615" t="str">
        <f t="shared" si="11"/>
        <v>建筑品质</v>
      </c>
      <c r="R35" s="1725" t="s">
        <v>28</v>
      </c>
      <c r="S35" s="1726">
        <f t="shared" si="12"/>
        <v>100</v>
      </c>
      <c r="T35" s="1725" t="s">
        <v>28</v>
      </c>
      <c r="U35" s="1726">
        <f t="shared" si="13"/>
        <v>100</v>
      </c>
      <c r="V35" s="1725" t="s">
        <v>28</v>
      </c>
      <c r="W35" s="1726">
        <f t="shared" si="14"/>
        <v>100</v>
      </c>
      <c r="X35" s="1665"/>
      <c r="Y35" s="4496"/>
      <c r="Z35" s="1727" t="str">
        <f t="shared" si="15"/>
        <v>建筑品质</v>
      </c>
      <c r="AA35" s="1728">
        <f t="shared" si="3"/>
        <v>1</v>
      </c>
      <c r="AB35" s="1728">
        <f t="shared" si="4"/>
        <v>1</v>
      </c>
      <c r="AC35" s="1728">
        <f t="shared" si="5"/>
        <v>1</v>
      </c>
    </row>
    <row r="36" spans="1:29" ht="15">
      <c r="A36" s="1772"/>
      <c r="B36" s="1695" t="s">
        <v>2279</v>
      </c>
      <c r="C36" s="1755"/>
      <c r="D36" s="1711">
        <v>100</v>
      </c>
      <c r="E36" s="1753"/>
      <c r="F36" s="1754">
        <f>SUMIF(109:109,E36,110:110)-SUMIF(109:109,C36,110:110)+100</f>
        <v>100</v>
      </c>
      <c r="G36" s="1755"/>
      <c r="H36" s="1711">
        <f>SUMIF(109:109,G36,110:110)-SUMIF(109:109,C36,110:110)+100</f>
        <v>100</v>
      </c>
      <c r="I36" s="1753"/>
      <c r="J36" s="1711">
        <f>SUMIF(109:109,I36,110:110)-SUMIF(109:109,C36,110:110)+100</f>
        <v>100</v>
      </c>
      <c r="K36" s="1700"/>
      <c r="L36" s="3000"/>
      <c r="M36" s="2996"/>
      <c r="N36" s="2996"/>
      <c r="O36" s="2996"/>
      <c r="P36" s="4494"/>
      <c r="Q36" s="1615" t="str">
        <f t="shared" si="11"/>
        <v>公共部分装修</v>
      </c>
      <c r="R36" s="1725" t="s">
        <v>28</v>
      </c>
      <c r="S36" s="1726">
        <f t="shared" si="12"/>
        <v>100</v>
      </c>
      <c r="T36" s="1725" t="s">
        <v>28</v>
      </c>
      <c r="U36" s="1726">
        <f t="shared" si="13"/>
        <v>100</v>
      </c>
      <c r="V36" s="1725" t="s">
        <v>28</v>
      </c>
      <c r="W36" s="1726">
        <f t="shared" si="14"/>
        <v>100</v>
      </c>
      <c r="X36" s="1665"/>
      <c r="Y36" s="4496"/>
      <c r="Z36" s="1727" t="str">
        <f t="shared" si="15"/>
        <v>公共部分装修</v>
      </c>
      <c r="AA36" s="1728">
        <f t="shared" si="3"/>
        <v>1</v>
      </c>
      <c r="AB36" s="1728">
        <f t="shared" si="4"/>
        <v>1</v>
      </c>
      <c r="AC36" s="1728">
        <f t="shared" si="5"/>
        <v>1</v>
      </c>
    </row>
    <row r="37" spans="1:29" s="1684" customFormat="1" ht="15">
      <c r="A37" s="1775"/>
      <c r="B37" s="1695" t="s">
        <v>2280</v>
      </c>
      <c r="C37" s="1776"/>
      <c r="D37" s="1697">
        <v>100</v>
      </c>
      <c r="E37" s="1777"/>
      <c r="F37" s="1699" t="e">
        <f>LOOKUP(E37,112:112,113:113)-LOOKUP(C37,112:112,113:113)+100</f>
        <v>#N/A</v>
      </c>
      <c r="G37" s="1778"/>
      <c r="H37" s="1697" t="e">
        <f>LOOKUP(G37,112:112,113:113)-LOOKUP(C37,112:112,113:113)+100</f>
        <v>#N/A</v>
      </c>
      <c r="I37" s="1777"/>
      <c r="J37" s="1697" t="e">
        <f>LOOKUP(I37,112:112,113:113)-LOOKUP(C37,112:112,113:113)+100</f>
        <v>#N/A</v>
      </c>
      <c r="K37" s="1700"/>
      <c r="L37" s="2995"/>
      <c r="M37" s="2968"/>
      <c r="N37" s="2968"/>
      <c r="O37" s="2968"/>
      <c r="P37" s="4494"/>
      <c r="Q37" s="1634" t="str">
        <f t="shared" si="11"/>
        <v>成新度</v>
      </c>
      <c r="R37" s="1680" t="s">
        <v>28</v>
      </c>
      <c r="S37" s="1681" t="e">
        <f t="shared" si="12"/>
        <v>#N/A</v>
      </c>
      <c r="T37" s="1680" t="s">
        <v>28</v>
      </c>
      <c r="U37" s="1681" t="e">
        <f t="shared" si="13"/>
        <v>#N/A</v>
      </c>
      <c r="V37" s="1680" t="s">
        <v>28</v>
      </c>
      <c r="W37" s="1681" t="e">
        <f t="shared" si="14"/>
        <v>#N/A</v>
      </c>
      <c r="X37" s="1682"/>
      <c r="Y37" s="4496"/>
      <c r="Z37" s="1693" t="str">
        <f t="shared" si="15"/>
        <v>成新度</v>
      </c>
      <c r="AA37" s="1683" t="e">
        <f t="shared" si="3"/>
        <v>#N/A</v>
      </c>
      <c r="AB37" s="1683" t="e">
        <f t="shared" si="4"/>
        <v>#N/A</v>
      </c>
      <c r="AC37" s="1683" t="e">
        <f t="shared" si="5"/>
        <v>#N/A</v>
      </c>
    </row>
    <row r="38" spans="1:29" ht="15">
      <c r="A38" s="1772"/>
      <c r="B38" s="1695" t="s">
        <v>2281</v>
      </c>
      <c r="C38" s="1755"/>
      <c r="D38" s="1711">
        <v>100</v>
      </c>
      <c r="E38" s="1753"/>
      <c r="F38" s="1754">
        <f>SUMIF(114:114,E38,115:115)-SUMIF(114:114,C38,115:115)+100</f>
        <v>100</v>
      </c>
      <c r="G38" s="1755"/>
      <c r="H38" s="1711">
        <f>SUMIF(114:114,G38,115:115)-SUMIF(114:114,C38,115:115)+100</f>
        <v>100</v>
      </c>
      <c r="I38" s="1753"/>
      <c r="J38" s="1711">
        <f>SUMIF(114:114,I38,115:115)-SUMIF(114:114,C38,115:115)+100</f>
        <v>100</v>
      </c>
      <c r="K38" s="1700"/>
      <c r="L38" s="3000"/>
      <c r="M38" s="2996"/>
      <c r="N38" s="2996"/>
      <c r="O38" s="2996"/>
      <c r="P38" s="4494" t="s">
        <v>2275</v>
      </c>
      <c r="Q38" s="1615" t="str">
        <f t="shared" si="11"/>
        <v>物业管理</v>
      </c>
      <c r="R38" s="1725" t="s">
        <v>28</v>
      </c>
      <c r="S38" s="1726">
        <f t="shared" si="12"/>
        <v>100</v>
      </c>
      <c r="T38" s="1725" t="s">
        <v>28</v>
      </c>
      <c r="U38" s="1726">
        <f t="shared" si="13"/>
        <v>100</v>
      </c>
      <c r="V38" s="1725" t="s">
        <v>28</v>
      </c>
      <c r="W38" s="1726">
        <f t="shared" si="14"/>
        <v>100</v>
      </c>
      <c r="X38" s="1665"/>
      <c r="Y38" s="4496" t="s">
        <v>2275</v>
      </c>
      <c r="Z38" s="1727" t="str">
        <f t="shared" si="15"/>
        <v>物业管理</v>
      </c>
      <c r="AA38" s="1728">
        <f t="shared" si="3"/>
        <v>1</v>
      </c>
      <c r="AB38" s="1728">
        <f t="shared" si="4"/>
        <v>1</v>
      </c>
      <c r="AC38" s="1728">
        <f t="shared" si="5"/>
        <v>1</v>
      </c>
    </row>
    <row r="39" spans="1:29" ht="15">
      <c r="A39" s="1772"/>
      <c r="B39" s="1695" t="s">
        <v>2282</v>
      </c>
      <c r="C39" s="1755"/>
      <c r="D39" s="1711">
        <v>100</v>
      </c>
      <c r="E39" s="1753"/>
      <c r="F39" s="1754">
        <f>SUMIF(116:116,E39,117:117)-SUMIF(116:116,C39,117:117)+100</f>
        <v>100</v>
      </c>
      <c r="G39" s="1755"/>
      <c r="H39" s="1711">
        <f>SUMIF(116:116,G39,117:117)-SUMIF(116:116,C39,117:117)+100</f>
        <v>100</v>
      </c>
      <c r="I39" s="1753"/>
      <c r="J39" s="1711">
        <f>SUMIF(116:116,I39,117:117)-SUMIF(116:116,C39,117:117)+100</f>
        <v>100</v>
      </c>
      <c r="K39" s="1700"/>
      <c r="L39" s="3000"/>
      <c r="M39" s="2996"/>
      <c r="N39" s="2996"/>
      <c r="O39" s="2996"/>
      <c r="P39" s="4494"/>
      <c r="Q39" s="1615" t="str">
        <f t="shared" si="11"/>
        <v>市政基础设施</v>
      </c>
      <c r="R39" s="1725" t="s">
        <v>28</v>
      </c>
      <c r="S39" s="1726">
        <f t="shared" si="12"/>
        <v>100</v>
      </c>
      <c r="T39" s="1725" t="s">
        <v>28</v>
      </c>
      <c r="U39" s="1726">
        <f t="shared" si="13"/>
        <v>100</v>
      </c>
      <c r="V39" s="1725" t="s">
        <v>28</v>
      </c>
      <c r="W39" s="1726">
        <f t="shared" si="14"/>
        <v>100</v>
      </c>
      <c r="X39" s="1665"/>
      <c r="Y39" s="4496"/>
      <c r="Z39" s="1727" t="str">
        <f t="shared" si="15"/>
        <v>市政基础设施</v>
      </c>
      <c r="AA39" s="1728">
        <f t="shared" si="3"/>
        <v>1</v>
      </c>
      <c r="AB39" s="1728">
        <f t="shared" si="4"/>
        <v>1</v>
      </c>
      <c r="AC39" s="1728">
        <f t="shared" si="5"/>
        <v>1</v>
      </c>
    </row>
    <row r="40" spans="1:29" ht="15">
      <c r="A40" s="1772"/>
      <c r="B40" s="1695" t="s">
        <v>2283</v>
      </c>
      <c r="C40" s="1755"/>
      <c r="D40" s="1711">
        <v>100</v>
      </c>
      <c r="E40" s="1753"/>
      <c r="F40" s="1754">
        <f>SUMIF(118:118,E40,119:119)-SUMIF(118:118,C40,119:119)+100</f>
        <v>100</v>
      </c>
      <c r="G40" s="1755"/>
      <c r="H40" s="1711">
        <f>SUMIF(118:118,G40,119:119)-SUMIF(118:118,C40,119:119)+100</f>
        <v>100</v>
      </c>
      <c r="I40" s="1753"/>
      <c r="J40" s="1711">
        <f>SUMIF(118:118,I40,119:119)-SUMIF(118:118,C40,119:119)+100</f>
        <v>100</v>
      </c>
      <c r="K40" s="1700"/>
      <c r="L40" s="3000"/>
      <c r="M40" s="2996"/>
      <c r="N40" s="2996"/>
      <c r="O40" s="2996"/>
      <c r="P40" s="4494"/>
      <c r="Q40" s="1615" t="str">
        <f t="shared" si="11"/>
        <v>房型</v>
      </c>
      <c r="R40" s="1725" t="s">
        <v>28</v>
      </c>
      <c r="S40" s="1726">
        <f t="shared" si="12"/>
        <v>100</v>
      </c>
      <c r="T40" s="1725" t="s">
        <v>28</v>
      </c>
      <c r="U40" s="1726">
        <f t="shared" si="13"/>
        <v>100</v>
      </c>
      <c r="V40" s="1725" t="s">
        <v>28</v>
      </c>
      <c r="W40" s="1726">
        <f t="shared" si="14"/>
        <v>100</v>
      </c>
      <c r="X40" s="1665"/>
      <c r="Y40" s="4496"/>
      <c r="Z40" s="1727" t="str">
        <f t="shared" si="15"/>
        <v>房型</v>
      </c>
      <c r="AA40" s="1728">
        <f t="shared" si="3"/>
        <v>1</v>
      </c>
      <c r="AB40" s="1728">
        <f t="shared" si="4"/>
        <v>1</v>
      </c>
      <c r="AC40" s="1728">
        <f t="shared" si="5"/>
        <v>1</v>
      </c>
    </row>
    <row r="41" spans="1:29" s="1771" customFormat="1" ht="28.5">
      <c r="A41" s="1764"/>
      <c r="B41" s="1695" t="s">
        <v>2284</v>
      </c>
      <c r="C41" s="1765"/>
      <c r="D41" s="1697">
        <v>100</v>
      </c>
      <c r="E41" s="1704"/>
      <c r="F41" s="1699">
        <f>SUMIF(120:120,E41,121:121)-SUMIF(120:120,C41,121:121)+100</f>
        <v>100</v>
      </c>
      <c r="G41" s="1703"/>
      <c r="H41" s="1697">
        <f>SUMIF(120:120,G41,121:121)-SUMIF(120:120,C41,121:121)+100</f>
        <v>100</v>
      </c>
      <c r="I41" s="1779"/>
      <c r="J41" s="1711">
        <f>SUMIF(120:120,I41,121:121)-SUMIF(120:120,C41,121:121)+100</f>
        <v>100</v>
      </c>
      <c r="K41" s="1709"/>
      <c r="L41" s="2999"/>
      <c r="M41" s="2059"/>
      <c r="N41" s="2059"/>
      <c r="O41" s="2059"/>
      <c r="P41" s="4494"/>
      <c r="Q41" s="1766" t="str">
        <f t="shared" si="11"/>
        <v>单套/主力户型建筑面积</v>
      </c>
      <c r="R41" s="1767" t="s">
        <v>28</v>
      </c>
      <c r="S41" s="1768">
        <f t="shared" si="12"/>
        <v>100</v>
      </c>
      <c r="T41" s="1767" t="s">
        <v>28</v>
      </c>
      <c r="U41" s="1768">
        <f t="shared" si="13"/>
        <v>100</v>
      </c>
      <c r="V41" s="1767" t="s">
        <v>28</v>
      </c>
      <c r="W41" s="1768">
        <f t="shared" si="14"/>
        <v>100</v>
      </c>
      <c r="X41" s="1769"/>
      <c r="Y41" s="4496"/>
      <c r="Z41" s="1770" t="str">
        <f t="shared" si="15"/>
        <v>单套/主力户型建筑面积</v>
      </c>
      <c r="AA41" s="1728">
        <f t="shared" si="3"/>
        <v>1</v>
      </c>
      <c r="AB41" s="1728">
        <f t="shared" si="4"/>
        <v>1</v>
      </c>
      <c r="AC41" s="1728">
        <f t="shared" si="5"/>
        <v>1</v>
      </c>
    </row>
    <row r="42" spans="1:29" ht="15">
      <c r="A42" s="1772"/>
      <c r="B42" s="1695" t="s">
        <v>2285</v>
      </c>
      <c r="C42" s="1755"/>
      <c r="D42" s="1711">
        <v>100</v>
      </c>
      <c r="E42" s="1753"/>
      <c r="F42" s="1754">
        <f>SUMIF(122:122,E42,123:123)-SUMIF(122:122,C42,123:123)+100</f>
        <v>100</v>
      </c>
      <c r="G42" s="1755"/>
      <c r="H42" s="1711">
        <f>SUMIF(122:122,G42,123:123)-SUMIF(122:122,C42,123:123)+100</f>
        <v>100</v>
      </c>
      <c r="I42" s="1753"/>
      <c r="J42" s="1711">
        <f>SUMIF(122:122,I42,123:123)-SUMIF(122:122,C42,123:123)+100</f>
        <v>100</v>
      </c>
      <c r="K42" s="1700"/>
      <c r="L42" s="3000"/>
      <c r="M42" s="2996"/>
      <c r="N42" s="2996"/>
      <c r="O42" s="2996"/>
      <c r="P42" s="4494"/>
      <c r="Q42" s="1615" t="str">
        <f t="shared" si="11"/>
        <v>内部装修</v>
      </c>
      <c r="R42" s="1725" t="s">
        <v>28</v>
      </c>
      <c r="S42" s="1726">
        <f t="shared" si="12"/>
        <v>100</v>
      </c>
      <c r="T42" s="1725" t="s">
        <v>28</v>
      </c>
      <c r="U42" s="1726">
        <f t="shared" si="13"/>
        <v>100</v>
      </c>
      <c r="V42" s="1725" t="s">
        <v>28</v>
      </c>
      <c r="W42" s="1726">
        <f t="shared" si="14"/>
        <v>100</v>
      </c>
      <c r="X42" s="1665"/>
      <c r="Y42" s="4496"/>
      <c r="Z42" s="1727" t="str">
        <f t="shared" si="15"/>
        <v>内部装修</v>
      </c>
      <c r="AA42" s="1728">
        <f t="shared" si="3"/>
        <v>1</v>
      </c>
      <c r="AB42" s="1728">
        <f t="shared" si="4"/>
        <v>1</v>
      </c>
      <c r="AC42" s="1728">
        <f t="shared" si="5"/>
        <v>1</v>
      </c>
    </row>
    <row r="43" spans="1:29" ht="15">
      <c r="A43" s="1772"/>
      <c r="B43" s="1695" t="s">
        <v>2286</v>
      </c>
      <c r="C43" s="1755"/>
      <c r="D43" s="1711">
        <v>100</v>
      </c>
      <c r="E43" s="1753"/>
      <c r="F43" s="1754">
        <f>SUMIF(124:124,E43,125:125)-SUMIF(124:124,C43,125:125)+100</f>
        <v>100</v>
      </c>
      <c r="G43" s="1755"/>
      <c r="H43" s="1711">
        <f>SUMIF(124:124,G43,125:125)-SUMIF(124:124,C43,125:125)+100</f>
        <v>100</v>
      </c>
      <c r="I43" s="1753"/>
      <c r="J43" s="1711">
        <f>SUMIF(124:124,I43,125:125)-SUMIF(124:124,C43,125:125)+100</f>
        <v>100</v>
      </c>
      <c r="K43" s="1700"/>
      <c r="L43" s="3000"/>
      <c r="M43" s="2996"/>
      <c r="N43" s="2996"/>
      <c r="O43" s="2996"/>
      <c r="P43" s="4494"/>
      <c r="Q43" s="1615" t="str">
        <f t="shared" si="11"/>
        <v>内部装修维护情况</v>
      </c>
      <c r="R43" s="1725" t="s">
        <v>28</v>
      </c>
      <c r="S43" s="1726">
        <f t="shared" si="12"/>
        <v>100</v>
      </c>
      <c r="T43" s="1725" t="s">
        <v>28</v>
      </c>
      <c r="U43" s="1726">
        <f t="shared" si="13"/>
        <v>100</v>
      </c>
      <c r="V43" s="1725" t="s">
        <v>28</v>
      </c>
      <c r="W43" s="1726">
        <f t="shared" si="14"/>
        <v>100</v>
      </c>
      <c r="X43" s="1665"/>
      <c r="Y43" s="4496"/>
      <c r="Z43" s="1727" t="str">
        <f t="shared" si="15"/>
        <v>内部装修维护情况</v>
      </c>
      <c r="AA43" s="1728">
        <f t="shared" si="3"/>
        <v>1</v>
      </c>
      <c r="AB43" s="1728">
        <f t="shared" si="4"/>
        <v>1</v>
      </c>
      <c r="AC43" s="1728">
        <f t="shared" si="5"/>
        <v>1</v>
      </c>
    </row>
    <row r="44" spans="1:29" s="1684" customFormat="1" ht="15">
      <c r="A44" s="1775"/>
      <c r="B44" s="1760">
        <v>111</v>
      </c>
      <c r="C44" s="1765"/>
      <c r="D44" s="1697">
        <v>100</v>
      </c>
      <c r="E44" s="1765"/>
      <c r="F44" s="1699">
        <f>SUMIF(126:126,E44,127:127)-SUMIF(126:126,C44,127:127)+100</f>
        <v>100</v>
      </c>
      <c r="G44" s="1765"/>
      <c r="H44" s="1697">
        <f>SUMIF(126:126,G44,127:127)-SUMIF(126:126,C44,127:127)+100</f>
        <v>100</v>
      </c>
      <c r="I44" s="1765"/>
      <c r="J44" s="1697">
        <f>SUMIF(126:126,I44,127:127)-SUMIF(126:126,C44,127:127)+100</f>
        <v>100</v>
      </c>
      <c r="K44" s="1709"/>
      <c r="L44" s="2995"/>
      <c r="M44" s="2968"/>
      <c r="N44" s="2968"/>
      <c r="O44" s="2968"/>
      <c r="P44" s="4494"/>
      <c r="Q44" s="1634">
        <f t="shared" si="11"/>
        <v>111</v>
      </c>
      <c r="R44" s="1680" t="s">
        <v>28</v>
      </c>
      <c r="S44" s="1681">
        <f t="shared" si="12"/>
        <v>100</v>
      </c>
      <c r="T44" s="1680" t="s">
        <v>28</v>
      </c>
      <c r="U44" s="1681">
        <f t="shared" si="13"/>
        <v>100</v>
      </c>
      <c r="V44" s="1680" t="s">
        <v>28</v>
      </c>
      <c r="W44" s="1681">
        <f t="shared" si="14"/>
        <v>100</v>
      </c>
      <c r="X44" s="1682"/>
      <c r="Y44" s="4496"/>
      <c r="Z44" s="1693">
        <f t="shared" si="15"/>
        <v>111</v>
      </c>
      <c r="AA44" s="1683">
        <f t="shared" si="3"/>
        <v>1</v>
      </c>
      <c r="AB44" s="1683">
        <f t="shared" si="4"/>
        <v>1</v>
      </c>
      <c r="AC44" s="1683">
        <f t="shared" si="5"/>
        <v>1</v>
      </c>
    </row>
    <row r="45" spans="1:29" ht="15">
      <c r="A45" s="1772"/>
      <c r="B45" s="1760">
        <v>111</v>
      </c>
      <c r="C45" s="1710"/>
      <c r="D45" s="1711">
        <v>100</v>
      </c>
      <c r="E45" s="1710"/>
      <c r="F45" s="1754">
        <f>SUMIF(128:128,E45,129:129)-SUMIF(128:128,C45,129:129)+100</f>
        <v>100</v>
      </c>
      <c r="G45" s="1710"/>
      <c r="H45" s="1711">
        <f>SUMIF(128:128,G45,129:129)-SUMIF(128:128,C45,129:129)+100</f>
        <v>100</v>
      </c>
      <c r="I45" s="1710"/>
      <c r="J45" s="1711">
        <f>SUMIF(128:128,I45,129:129)-SUMIF(128:128,C45,129:129)+100</f>
        <v>100</v>
      </c>
      <c r="K45" s="1709"/>
      <c r="L45" s="3000"/>
      <c r="M45" s="2996"/>
      <c r="N45" s="2996"/>
      <c r="O45" s="2996"/>
      <c r="P45" s="4494"/>
      <c r="Q45" s="1615">
        <f t="shared" si="11"/>
        <v>111</v>
      </c>
      <c r="R45" s="1725" t="s">
        <v>28</v>
      </c>
      <c r="S45" s="1726">
        <f t="shared" si="12"/>
        <v>100</v>
      </c>
      <c r="T45" s="1725" t="s">
        <v>28</v>
      </c>
      <c r="U45" s="1726">
        <f t="shared" si="13"/>
        <v>100</v>
      </c>
      <c r="V45" s="1725" t="s">
        <v>28</v>
      </c>
      <c r="W45" s="1726">
        <f t="shared" si="14"/>
        <v>100</v>
      </c>
      <c r="X45" s="1665"/>
      <c r="Y45" s="4496"/>
      <c r="Z45" s="1727">
        <f t="shared" si="15"/>
        <v>111</v>
      </c>
      <c r="AA45" s="1728">
        <f t="shared" si="3"/>
        <v>1</v>
      </c>
      <c r="AB45" s="1728">
        <f t="shared" si="4"/>
        <v>1</v>
      </c>
      <c r="AC45" s="1728">
        <f t="shared" si="5"/>
        <v>1</v>
      </c>
    </row>
    <row r="46" spans="1:29" ht="15.75" thickBot="1">
      <c r="A46" s="1780"/>
      <c r="B46" s="1713">
        <v>111</v>
      </c>
      <c r="C46" s="1714"/>
      <c r="D46" s="1715">
        <v>100</v>
      </c>
      <c r="E46" s="1714"/>
      <c r="F46" s="1716">
        <f>SUMIF(130:130,E46,131:131)-SUMIF(130:130,C46,131:131)+100</f>
        <v>100</v>
      </c>
      <c r="G46" s="1714"/>
      <c r="H46" s="1715">
        <f>SUMIF(130:130,G46,131:131)-SUMIF(130:130,C46,131:131)+100</f>
        <v>100</v>
      </c>
      <c r="I46" s="1714"/>
      <c r="J46" s="1715">
        <f>SUMIF(130:130,I46,131:131)-SUMIF(130:130,C46,131:131)+100</f>
        <v>100</v>
      </c>
      <c r="K46" s="1709"/>
      <c r="L46" s="3000"/>
      <c r="M46" s="2996"/>
      <c r="N46" s="2996"/>
      <c r="O46" s="2996"/>
      <c r="P46" s="4495"/>
      <c r="Q46" s="1615">
        <f t="shared" si="11"/>
        <v>111</v>
      </c>
      <c r="R46" s="1725" t="s">
        <v>27</v>
      </c>
      <c r="S46" s="1726">
        <f t="shared" si="12"/>
        <v>100</v>
      </c>
      <c r="T46" s="1725" t="s">
        <v>27</v>
      </c>
      <c r="U46" s="1726">
        <f t="shared" si="13"/>
        <v>100</v>
      </c>
      <c r="V46" s="1725" t="s">
        <v>27</v>
      </c>
      <c r="W46" s="1726">
        <f t="shared" si="14"/>
        <v>100</v>
      </c>
      <c r="X46" s="1665"/>
      <c r="Y46" s="4497"/>
      <c r="Z46" s="1727">
        <f t="shared" si="15"/>
        <v>111</v>
      </c>
      <c r="AA46" s="1728">
        <f t="shared" si="3"/>
        <v>1</v>
      </c>
      <c r="AB46" s="1728">
        <f t="shared" si="4"/>
        <v>1</v>
      </c>
      <c r="AC46" s="1728">
        <f t="shared" si="5"/>
        <v>1</v>
      </c>
    </row>
    <row r="47" spans="1:29" ht="15">
      <c r="A47" s="1781" t="s">
        <v>2287</v>
      </c>
      <c r="B47" s="1782"/>
      <c r="C47" s="1783" t="s">
        <v>26</v>
      </c>
      <c r="D47" s="1784"/>
      <c r="E47" s="1785"/>
      <c r="F47" s="1786"/>
      <c r="G47" s="1787"/>
      <c r="H47" s="1788"/>
      <c r="I47" s="1785"/>
      <c r="J47" s="1788"/>
      <c r="K47" s="1789"/>
      <c r="L47" s="3001"/>
      <c r="N47" s="2996"/>
      <c r="P47" s="4488" t="str">
        <f>A47</f>
        <v>成交单价（元/平方米）</v>
      </c>
      <c r="Q47" s="4488"/>
      <c r="R47" s="4484">
        <f>E47</f>
        <v>0</v>
      </c>
      <c r="S47" s="4484"/>
      <c r="T47" s="4484">
        <f>G47</f>
        <v>0</v>
      </c>
      <c r="U47" s="4484"/>
      <c r="V47" s="4484">
        <f>I47</f>
        <v>0</v>
      </c>
      <c r="W47" s="4484"/>
      <c r="X47" s="1791"/>
      <c r="Y47" s="1792"/>
      <c r="Z47" s="1791"/>
      <c r="AA47" s="1791"/>
      <c r="AB47" s="1791"/>
      <c r="AC47" s="1791"/>
    </row>
    <row r="48" spans="1:29" ht="15.75" thickBot="1">
      <c r="A48" s="1793" t="s">
        <v>2288</v>
      </c>
      <c r="B48" s="1794"/>
      <c r="C48" s="1795" t="e">
        <f>R49</f>
        <v>#DIV/0!</v>
      </c>
      <c r="D48" s="1796" t="s">
        <v>2738</v>
      </c>
      <c r="E48" s="1797" t="e">
        <f>R48</f>
        <v>#DIV/0!</v>
      </c>
      <c r="F48" s="1798"/>
      <c r="G48" s="1795" t="e">
        <f>T48</f>
        <v>#DIV/0!</v>
      </c>
      <c r="H48" s="1798"/>
      <c r="I48" s="1797" t="e">
        <f>V48</f>
        <v>#DIV/0!</v>
      </c>
      <c r="J48" s="1798"/>
      <c r="K48" s="2510">
        <f>F48+H48+J48</f>
        <v>0</v>
      </c>
      <c r="L48" s="3001"/>
      <c r="P48" s="4488" t="str">
        <f>A48</f>
        <v>比较价值（元/平方米）</v>
      </c>
      <c r="Q48" s="4488"/>
      <c r="R48" s="4484" t="e">
        <f>IF(E1="售价",ROUND(PRODUCT(R47,AA7:AA46),0),ROUND(PRODUCT(R47,AA7:AA46),1))</f>
        <v>#DIV/0!</v>
      </c>
      <c r="S48" s="4484"/>
      <c r="T48" s="4482" t="e">
        <f>IF(E1="售价",ROUND(PRODUCT(T47,AB7:AB46),0),ROUND(PRODUCT(T47,AB7:AB46),1))</f>
        <v>#DIV/0!</v>
      </c>
      <c r="U48" s="4483"/>
      <c r="V48" s="4484" t="e">
        <f>IF(E1="售价",ROUND(PRODUCT(V47,AC7:AC46),0),ROUND(PRODUCT(V47,AC7:AC46),1))</f>
        <v>#DIV/0!</v>
      </c>
      <c r="W48" s="4484"/>
      <c r="X48" s="1791"/>
      <c r="Y48" s="1791"/>
      <c r="Z48" s="1791"/>
      <c r="AA48" s="1791"/>
      <c r="AB48" s="1791"/>
      <c r="AC48" s="1791"/>
    </row>
    <row r="49" spans="1:29" ht="15.75" thickBot="1">
      <c r="A49" s="1799" t="s">
        <v>2289</v>
      </c>
      <c r="B49" s="1800"/>
      <c r="C49" s="1801" t="e">
        <f>R49</f>
        <v>#DIV/0!</v>
      </c>
      <c r="D49" s="1802"/>
      <c r="E49" s="1802"/>
      <c r="F49" s="1802"/>
      <c r="G49" s="1802"/>
      <c r="H49" s="1802"/>
      <c r="I49" s="1802"/>
      <c r="J49" s="1802"/>
      <c r="K49" s="1803"/>
      <c r="L49" s="3001"/>
      <c r="P49" s="4485" t="str">
        <f>A49</f>
        <v>估价对象XX用房的比较价值（楼面单价，元/平方米）</v>
      </c>
      <c r="Q49" s="4486"/>
      <c r="R49" s="4487" t="e">
        <f>IF(E1="售价",ROUND(IF(D48="简单平均",AVERAGE(R48:V48),R48*F48+T48*H48+V48*J48),0),ROUND(IF(D48="简单平均",AVERAGE(R48:V48),R48*F48+T48*H48+V48*J48),1))</f>
        <v>#DIV/0!</v>
      </c>
      <c r="S49" s="4487"/>
      <c r="T49" s="4487"/>
      <c r="U49" s="4487"/>
      <c r="V49" s="4487"/>
      <c r="W49" s="4487"/>
      <c r="X49" s="1791"/>
      <c r="Y49" s="1791"/>
      <c r="Z49" s="1791"/>
      <c r="AA49" s="1791"/>
      <c r="AB49" s="1791"/>
      <c r="AC49" s="1791"/>
    </row>
    <row r="50" spans="1:29">
      <c r="G50" s="3005"/>
    </row>
    <row r="52" spans="1:29" ht="13.5" customHeight="1">
      <c r="C52" s="383" t="s">
        <v>2290</v>
      </c>
      <c r="D52" s="1807"/>
      <c r="E52" s="1808" t="e">
        <f>IF(E47&lt;E48,E48/E47-1,E47/E48-1)</f>
        <v>#DIV/0!</v>
      </c>
      <c r="F52" s="1809" t="e">
        <f>IF(OR(E52&gt;=0.3,E52&lt;=-0.3),"超过30%","")</f>
        <v>#DIV/0!</v>
      </c>
      <c r="G52" s="1808" t="e">
        <f>IF(G47&lt;G48,G48/G47-1,G47/G48-1)</f>
        <v>#DIV/0!</v>
      </c>
      <c r="H52" s="1809" t="e">
        <f>IF(OR(G52&gt;=0.3,G52&lt;=-0.3),"超过30%","")</f>
        <v>#DIV/0!</v>
      </c>
      <c r="I52" s="1808" t="e">
        <f>IF(I47&lt;I48,I48/I47-1,I47/I48-1)</f>
        <v>#DIV/0!</v>
      </c>
      <c r="J52" s="1809" t="e">
        <f>IF(OR(I52&gt;=0.3,I52&lt;=-0.3),"超过30%","")</f>
        <v>#DIV/0!</v>
      </c>
    </row>
    <row r="53" spans="1:29" ht="13.5" customHeight="1">
      <c r="C53" s="383" t="s">
        <v>2291</v>
      </c>
      <c r="D53" s="1810"/>
      <c r="E53" s="1808" t="e">
        <f>IF(E48&lt;G48,G48/E48-1,E48/G48-1)</f>
        <v>#DIV/0!</v>
      </c>
      <c r="F53" s="1809" t="e">
        <f>IF(OR(E53&gt;=0.2,E53&lt;=-0.2),"超过20%","")</f>
        <v>#DIV/0!</v>
      </c>
      <c r="G53" s="1808" t="e">
        <f>IF(G48&lt;I48,I48/G48-1,G48/I48-1)</f>
        <v>#DIV/0!</v>
      </c>
      <c r="H53" s="1809" t="e">
        <f>IF(OR(G53&gt;=0.2,G53&lt;=-0.2),"超过20%","")</f>
        <v>#DIV/0!</v>
      </c>
      <c r="I53" s="1808" t="e">
        <f>IF(I48&lt;E48,E48/I48-1,I48/E48-1)</f>
        <v>#DIV/0!</v>
      </c>
      <c r="J53" s="1809" t="e">
        <f>IF(OR(I53&gt;=0.2,I53&lt;=-0.2),"超过20%","")</f>
        <v>#DIV/0!</v>
      </c>
    </row>
    <row r="54" spans="1:29" s="1813" customFormat="1" ht="13.5" customHeight="1">
      <c r="C54" s="383" t="s">
        <v>2292</v>
      </c>
      <c r="D54" s="1810"/>
      <c r="E54" s="1808" t="e">
        <f>IF(E47&lt;G47,G47/E47-1,E47/G47-1)</f>
        <v>#DIV/0!</v>
      </c>
      <c r="F54" s="1809" t="e">
        <f>IF(OR(E54&gt;=0.3,E54&lt;=-0.3),"超过30%","")</f>
        <v>#DIV/0!</v>
      </c>
      <c r="G54" s="1808" t="e">
        <f>IF(G47&lt;I47,I47/G47-1,G47/I47-1)</f>
        <v>#DIV/0!</v>
      </c>
      <c r="H54" s="1809" t="e">
        <f>IF(OR(G54&gt;=0.3,G54&lt;=-0.3),"超过30%","")</f>
        <v>#DIV/0!</v>
      </c>
      <c r="I54" s="1808" t="e">
        <f>IF(I47&lt;E47,E47/I47-1,I47/E47-1)</f>
        <v>#DIV/0!</v>
      </c>
      <c r="J54" s="1809" t="e">
        <f>IF(OR(I54&gt;=0.3,I54&lt;=-0.3),"超过30%","")</f>
        <v>#DIV/0!</v>
      </c>
      <c r="K54" s="3008"/>
      <c r="L54" s="3002"/>
      <c r="P54" s="1812"/>
    </row>
    <row r="55" spans="1:29" s="1813" customFormat="1">
      <c r="B55" s="3006"/>
      <c r="C55" s="3007"/>
      <c r="K55" s="3008"/>
      <c r="L55" s="3002"/>
      <c r="P55" s="1812"/>
    </row>
    <row r="56" spans="1:29">
      <c r="B56" s="3006"/>
      <c r="C56" s="3007"/>
    </row>
    <row r="57" spans="1:29" ht="21.75" thickBot="1">
      <c r="A57" s="1816" t="s">
        <v>2293</v>
      </c>
      <c r="B57" s="1791"/>
      <c r="C57" s="1817"/>
      <c r="D57" s="1817"/>
      <c r="E57" s="1817"/>
      <c r="F57" s="1817"/>
      <c r="G57" s="1817"/>
      <c r="H57" s="1817"/>
      <c r="I57" s="1817"/>
      <c r="J57" s="1817"/>
      <c r="K57" s="1818"/>
      <c r="L57" s="3003"/>
      <c r="M57" s="3004"/>
      <c r="N57" s="3004"/>
      <c r="O57" s="3004"/>
      <c r="P57" s="1820"/>
      <c r="Q57" s="1821"/>
    </row>
    <row r="58" spans="1:29" s="1827" customFormat="1" ht="15">
      <c r="A58" s="1822" t="s">
        <v>2294</v>
      </c>
      <c r="B58" s="1823"/>
      <c r="C58" s="1824" t="str">
        <f>YEAR(C7)&amp;"-"&amp;MONTH(C7)</f>
        <v>2016-2</v>
      </c>
      <c r="D58" s="1825">
        <f>EDATE(C58,-1)</f>
        <v>42370</v>
      </c>
      <c r="E58" s="1825">
        <f t="shared" ref="E58:O58" si="16">EDATE(D58,-1)</f>
        <v>42339</v>
      </c>
      <c r="F58" s="1825">
        <f t="shared" si="16"/>
        <v>42309</v>
      </c>
      <c r="G58" s="1825">
        <f t="shared" si="16"/>
        <v>42278</v>
      </c>
      <c r="H58" s="1825">
        <f t="shared" si="16"/>
        <v>42248</v>
      </c>
      <c r="I58" s="1825">
        <f t="shared" si="16"/>
        <v>42217</v>
      </c>
      <c r="J58" s="1825">
        <f t="shared" si="16"/>
        <v>42186</v>
      </c>
      <c r="K58" s="1825">
        <f t="shared" si="16"/>
        <v>42156</v>
      </c>
      <c r="L58" s="1825">
        <f t="shared" si="16"/>
        <v>42125</v>
      </c>
      <c r="M58" s="1825">
        <f t="shared" si="16"/>
        <v>42095</v>
      </c>
      <c r="N58" s="1825">
        <f t="shared" si="16"/>
        <v>42064</v>
      </c>
      <c r="O58" s="1825">
        <f t="shared" si="16"/>
        <v>42036</v>
      </c>
      <c r="P58" s="1826"/>
    </row>
    <row r="59" spans="1:29" s="1684" customFormat="1" ht="15">
      <c r="A59" s="1828"/>
      <c r="B59" s="1829"/>
      <c r="C59" s="1830">
        <v>100</v>
      </c>
      <c r="D59" s="1831"/>
      <c r="E59" s="1831"/>
      <c r="F59" s="1831"/>
      <c r="G59" s="1831"/>
      <c r="H59" s="1831"/>
      <c r="I59" s="1831"/>
      <c r="J59" s="1831"/>
      <c r="K59" s="1831"/>
      <c r="L59" s="1831"/>
      <c r="M59" s="1832"/>
      <c r="N59" s="1831"/>
      <c r="O59" s="1832"/>
      <c r="P59" s="1833"/>
    </row>
    <row r="60" spans="1:29" s="1684" customFormat="1" ht="15.75" thickBot="1">
      <c r="A60" s="1834" t="s">
        <v>2295</v>
      </c>
      <c r="B60" s="1835"/>
      <c r="C60" s="1836"/>
      <c r="D60" s="1837"/>
      <c r="E60" s="1837"/>
      <c r="F60" s="1837"/>
      <c r="G60" s="1837"/>
      <c r="H60" s="1837"/>
      <c r="I60" s="1837"/>
      <c r="J60" s="1837"/>
      <c r="K60" s="1837"/>
      <c r="L60" s="1837"/>
      <c r="M60" s="1838"/>
      <c r="N60" s="1837"/>
      <c r="O60" s="1838"/>
      <c r="P60" s="1833"/>
      <c r="Q60" s="1821"/>
    </row>
    <row r="61" spans="1:29" s="1684" customFormat="1" ht="15">
      <c r="A61" s="1839" t="s">
        <v>2296</v>
      </c>
      <c r="B61" s="1829"/>
      <c r="C61" s="1840" t="s">
        <v>2297</v>
      </c>
      <c r="D61" s="409"/>
      <c r="E61" s="409"/>
      <c r="F61" s="409"/>
      <c r="G61" s="409"/>
      <c r="H61" s="409"/>
      <c r="I61" s="409"/>
      <c r="J61" s="409"/>
      <c r="K61" s="409"/>
      <c r="L61" s="409"/>
      <c r="M61" s="1841"/>
      <c r="N61" s="1842"/>
      <c r="O61" s="1842"/>
      <c r="P61" s="1843"/>
      <c r="Q61" s="1821"/>
    </row>
    <row r="62" spans="1:29" s="1684" customFormat="1" ht="15.75" thickBot="1">
      <c r="A62" s="1839"/>
      <c r="B62" s="1829"/>
      <c r="C62" s="1844">
        <v>100</v>
      </c>
      <c r="D62" s="1831"/>
      <c r="E62" s="1831"/>
      <c r="F62" s="1831"/>
      <c r="G62" s="1831"/>
      <c r="H62" s="1831"/>
      <c r="I62" s="1831"/>
      <c r="J62" s="1831"/>
      <c r="K62" s="1831"/>
      <c r="L62" s="1831"/>
      <c r="M62" s="1845"/>
      <c r="N62" s="1842"/>
      <c r="O62" s="1842"/>
      <c r="P62" s="1833"/>
      <c r="Q62" s="1821"/>
    </row>
    <row r="63" spans="1:29">
      <c r="A63" s="1846" t="s">
        <v>2298</v>
      </c>
      <c r="B63" s="1847" t="s">
        <v>2263</v>
      </c>
      <c r="C63" s="1848">
        <f>C9</f>
        <v>0</v>
      </c>
      <c r="D63" s="1849"/>
      <c r="E63" s="1849"/>
      <c r="F63" s="1849"/>
      <c r="G63" s="1849"/>
      <c r="H63" s="1849"/>
      <c r="I63" s="1849"/>
      <c r="J63" s="1849"/>
      <c r="K63" s="417"/>
      <c r="L63" s="417"/>
      <c r="M63" s="1850"/>
      <c r="N63" s="1851"/>
      <c r="O63" s="1851"/>
      <c r="P63" s="1852"/>
      <c r="Q63" s="1821"/>
    </row>
    <row r="64" spans="1:29" ht="15.75" thickBot="1">
      <c r="A64" s="1853"/>
      <c r="B64" s="1854"/>
      <c r="C64" s="1855">
        <v>100</v>
      </c>
      <c r="D64" s="1855"/>
      <c r="E64" s="1855"/>
      <c r="F64" s="1855"/>
      <c r="G64" s="1855"/>
      <c r="H64" s="1855"/>
      <c r="I64" s="1855"/>
      <c r="J64" s="1855"/>
      <c r="K64" s="1855"/>
      <c r="L64" s="1855"/>
      <c r="M64" s="1856"/>
      <c r="N64" s="1857"/>
      <c r="O64" s="1857"/>
      <c r="P64" s="1852"/>
      <c r="Q64" s="1821"/>
    </row>
    <row r="65" spans="1:17" ht="27.75" thickTop="1">
      <c r="A65" s="1853"/>
      <c r="B65" s="1858" t="s">
        <v>2266</v>
      </c>
      <c r="C65" s="1859" t="s">
        <v>2299</v>
      </c>
      <c r="D65" s="1859" t="s">
        <v>2300</v>
      </c>
      <c r="E65" s="1859" t="s">
        <v>2301</v>
      </c>
      <c r="F65" s="1859" t="s">
        <v>2302</v>
      </c>
      <c r="G65" s="1859" t="s">
        <v>2303</v>
      </c>
      <c r="H65" s="1859" t="s">
        <v>2304</v>
      </c>
      <c r="I65" s="1859" t="s">
        <v>2305</v>
      </c>
      <c r="J65" s="1859"/>
      <c r="K65" s="428"/>
      <c r="L65" s="428"/>
      <c r="M65" s="1860"/>
      <c r="N65" s="1851"/>
      <c r="O65" s="1851"/>
      <c r="P65" s="1852"/>
      <c r="Q65" s="1821"/>
    </row>
    <row r="66" spans="1:17" ht="15.75" thickBot="1">
      <c r="A66" s="1853"/>
      <c r="B66" s="1861"/>
      <c r="C66" s="1862">
        <v>100</v>
      </c>
      <c r="D66" s="1862">
        <f t="shared" ref="D66:I66" si="17">C66-$K10</f>
        <v>100</v>
      </c>
      <c r="E66" s="1862">
        <f t="shared" si="17"/>
        <v>100</v>
      </c>
      <c r="F66" s="1862">
        <f t="shared" si="17"/>
        <v>100</v>
      </c>
      <c r="G66" s="1862">
        <f t="shared" si="17"/>
        <v>100</v>
      </c>
      <c r="H66" s="1862">
        <f t="shared" si="17"/>
        <v>100</v>
      </c>
      <c r="I66" s="1862">
        <f t="shared" si="17"/>
        <v>100</v>
      </c>
      <c r="J66" s="1862"/>
      <c r="K66" s="1862"/>
      <c r="L66" s="1862"/>
      <c r="M66" s="1863"/>
      <c r="N66" s="1857"/>
      <c r="O66" s="1857"/>
      <c r="P66" s="1852"/>
      <c r="Q66" s="1821"/>
    </row>
    <row r="67" spans="1:17" ht="15.75" thickTop="1">
      <c r="A67" s="1853"/>
      <c r="B67" s="1864" t="s">
        <v>2267</v>
      </c>
      <c r="C67" s="1865" t="str">
        <f>C68&amp;"（含）"&amp;"-"&amp;D68</f>
        <v>（含）-</v>
      </c>
      <c r="D67" s="1865" t="str">
        <f t="shared" ref="D67:L67" si="18">D68&amp;"（含）"&amp;"-"&amp;E68</f>
        <v>（含）-</v>
      </c>
      <c r="E67" s="1865" t="str">
        <f t="shared" si="18"/>
        <v>（含）-</v>
      </c>
      <c r="F67" s="1865" t="str">
        <f t="shared" si="18"/>
        <v>（含）-</v>
      </c>
      <c r="G67" s="1865" t="str">
        <f t="shared" si="18"/>
        <v>（含）-</v>
      </c>
      <c r="H67" s="1865" t="str">
        <f t="shared" si="18"/>
        <v>（含）-</v>
      </c>
      <c r="I67" s="1865" t="str">
        <f t="shared" si="18"/>
        <v>（含）-</v>
      </c>
      <c r="J67" s="1865" t="str">
        <f t="shared" si="18"/>
        <v>（含）-</v>
      </c>
      <c r="K67" s="1865" t="str">
        <f t="shared" si="18"/>
        <v>（含）-</v>
      </c>
      <c r="L67" s="1865" t="str">
        <f t="shared" si="18"/>
        <v>（含）-</v>
      </c>
      <c r="M67" s="1731" t="str">
        <f>M68&amp;"（含）"&amp;"-"&amp;P68</f>
        <v>（含）-</v>
      </c>
      <c r="N67" s="1857"/>
      <c r="O67" s="1857"/>
      <c r="P67" s="1852"/>
      <c r="Q67" s="1821"/>
    </row>
    <row r="68" spans="1:17" ht="15">
      <c r="A68" s="1853"/>
      <c r="B68" s="1866"/>
      <c r="C68" s="1867"/>
      <c r="D68" s="1867"/>
      <c r="E68" s="1867"/>
      <c r="F68" s="1867"/>
      <c r="G68" s="1867"/>
      <c r="H68" s="1867"/>
      <c r="I68" s="1867"/>
      <c r="J68" s="1867"/>
      <c r="K68" s="438"/>
      <c r="L68" s="438"/>
      <c r="M68" s="1868"/>
      <c r="N68" s="1851"/>
      <c r="O68" s="1851"/>
      <c r="P68" s="1852"/>
      <c r="Q68" s="1821"/>
    </row>
    <row r="69" spans="1:17" ht="15.75" thickBot="1">
      <c r="A69" s="1853"/>
      <c r="B69" s="1854"/>
      <c r="C69" s="1862">
        <v>100</v>
      </c>
      <c r="D69" s="1862">
        <f t="shared" ref="D69:M69" si="19">C69-$K11</f>
        <v>100</v>
      </c>
      <c r="E69" s="1862">
        <f t="shared" si="19"/>
        <v>100</v>
      </c>
      <c r="F69" s="1862">
        <f t="shared" si="19"/>
        <v>100</v>
      </c>
      <c r="G69" s="1862">
        <f t="shared" si="19"/>
        <v>100</v>
      </c>
      <c r="H69" s="1862">
        <f t="shared" si="19"/>
        <v>100</v>
      </c>
      <c r="I69" s="1862">
        <f t="shared" si="19"/>
        <v>100</v>
      </c>
      <c r="J69" s="1862">
        <f t="shared" si="19"/>
        <v>100</v>
      </c>
      <c r="K69" s="1862">
        <f t="shared" si="19"/>
        <v>100</v>
      </c>
      <c r="L69" s="1862">
        <f t="shared" si="19"/>
        <v>100</v>
      </c>
      <c r="M69" s="1863">
        <f t="shared" si="19"/>
        <v>100</v>
      </c>
      <c r="N69" s="1857"/>
      <c r="O69" s="1857"/>
      <c r="P69" s="1852"/>
      <c r="Q69" s="1821"/>
    </row>
    <row r="70" spans="1:17" s="1771" customFormat="1" ht="15.75" thickTop="1">
      <c r="A70" s="1869"/>
      <c r="B70" s="1858">
        <f>B12</f>
        <v>111</v>
      </c>
      <c r="C70" s="468"/>
      <c r="D70" s="468"/>
      <c r="E70" s="468"/>
      <c r="F70" s="468"/>
      <c r="G70" s="468"/>
      <c r="H70" s="443"/>
      <c r="I70" s="443"/>
      <c r="J70" s="443"/>
      <c r="K70" s="443"/>
      <c r="L70" s="443"/>
      <c r="M70" s="1870"/>
      <c r="N70" s="1871"/>
      <c r="O70" s="1871"/>
      <c r="P70" s="1872"/>
      <c r="Q70" s="1873"/>
    </row>
    <row r="71" spans="1:17" s="1771" customFormat="1" ht="15.75" thickBot="1">
      <c r="A71" s="1869"/>
      <c r="B71" s="1861"/>
      <c r="C71" s="1874"/>
      <c r="D71" s="1855"/>
      <c r="E71" s="1855"/>
      <c r="F71" s="1855"/>
      <c r="G71" s="1855"/>
      <c r="H71" s="1855"/>
      <c r="I71" s="1855"/>
      <c r="J71" s="1855"/>
      <c r="K71" s="1855"/>
      <c r="L71" s="1855"/>
      <c r="M71" s="1856"/>
      <c r="N71" s="1857"/>
      <c r="O71" s="1857"/>
      <c r="P71" s="1872"/>
      <c r="Q71" s="1873"/>
    </row>
    <row r="72" spans="1:17" s="1771" customFormat="1" ht="15.75" thickTop="1">
      <c r="A72" s="1869"/>
      <c r="B72" s="1858">
        <f>B13</f>
        <v>111</v>
      </c>
      <c r="C72" s="468"/>
      <c r="D72" s="468"/>
      <c r="E72" s="468"/>
      <c r="F72" s="468"/>
      <c r="G72" s="468"/>
      <c r="H72" s="443"/>
      <c r="I72" s="443"/>
      <c r="J72" s="443"/>
      <c r="K72" s="443"/>
      <c r="L72" s="443"/>
      <c r="M72" s="1870"/>
      <c r="N72" s="1871"/>
      <c r="O72" s="1871"/>
      <c r="P72" s="1875"/>
      <c r="Q72" s="1876"/>
    </row>
    <row r="73" spans="1:17" s="1771" customFormat="1" ht="15.75" thickBot="1">
      <c r="A73" s="1869"/>
      <c r="B73" s="1861"/>
      <c r="C73" s="1874"/>
      <c r="D73" s="1874"/>
      <c r="E73" s="1874"/>
      <c r="F73" s="1874"/>
      <c r="G73" s="1874"/>
      <c r="H73" s="1877"/>
      <c r="I73" s="1877"/>
      <c r="J73" s="1877"/>
      <c r="K73" s="1877"/>
      <c r="L73" s="1877"/>
      <c r="M73" s="1878"/>
      <c r="N73" s="1871"/>
      <c r="O73" s="1871"/>
      <c r="P73" s="1872"/>
      <c r="Q73" s="1873"/>
    </row>
    <row r="74" spans="1:17" s="1771" customFormat="1" ht="15.75" thickTop="1">
      <c r="A74" s="1869"/>
      <c r="B74" s="1864">
        <f>B14</f>
        <v>111</v>
      </c>
      <c r="C74" s="468"/>
      <c r="D74" s="468"/>
      <c r="E74" s="468"/>
      <c r="F74" s="468"/>
      <c r="G74" s="409"/>
      <c r="H74" s="453"/>
      <c r="I74" s="453"/>
      <c r="J74" s="453"/>
      <c r="K74" s="453"/>
      <c r="L74" s="453"/>
      <c r="M74" s="1879"/>
      <c r="N74" s="1871"/>
      <c r="O74" s="1871"/>
      <c r="P74" s="1872"/>
      <c r="Q74" s="1873"/>
    </row>
    <row r="75" spans="1:17" s="1771" customFormat="1" ht="15.75" thickBot="1">
      <c r="A75" s="1880"/>
      <c r="B75" s="1881"/>
      <c r="C75" s="1882"/>
      <c r="D75" s="1882"/>
      <c r="E75" s="1882"/>
      <c r="F75" s="1882"/>
      <c r="G75" s="1882"/>
      <c r="H75" s="1883"/>
      <c r="I75" s="1883"/>
      <c r="J75" s="1883"/>
      <c r="K75" s="1883"/>
      <c r="L75" s="1883"/>
      <c r="M75" s="1884"/>
      <c r="N75" s="1871"/>
      <c r="O75" s="1871"/>
      <c r="P75" s="1872"/>
      <c r="Q75" s="1873"/>
    </row>
    <row r="76" spans="1:17">
      <c r="A76" s="1846" t="s">
        <v>2268</v>
      </c>
      <c r="B76" s="1847" t="s">
        <v>2306</v>
      </c>
      <c r="C76" s="1885" t="s">
        <v>2307</v>
      </c>
      <c r="D76" s="1885" t="s">
        <v>2308</v>
      </c>
      <c r="E76" s="1885" t="s">
        <v>2309</v>
      </c>
      <c r="F76" s="1885" t="s">
        <v>2310</v>
      </c>
      <c r="G76" s="1885" t="s">
        <v>2311</v>
      </c>
      <c r="H76" s="1848"/>
      <c r="I76" s="1848"/>
      <c r="J76" s="1848"/>
      <c r="K76" s="463"/>
      <c r="L76" s="463"/>
      <c r="M76" s="1886"/>
      <c r="N76" s="1851"/>
      <c r="O76" s="1851"/>
      <c r="P76" s="1852"/>
      <c r="Q76" s="1821"/>
    </row>
    <row r="77" spans="1:17" ht="15.75" thickBot="1">
      <c r="A77" s="1853"/>
      <c r="B77" s="1861"/>
      <c r="C77" s="1862">
        <v>100</v>
      </c>
      <c r="D77" s="1862">
        <f>C77-$K15</f>
        <v>100</v>
      </c>
      <c r="E77" s="1862">
        <f>D77-$K15</f>
        <v>100</v>
      </c>
      <c r="F77" s="1862">
        <f>E77-$K15</f>
        <v>100</v>
      </c>
      <c r="G77" s="1862">
        <f>F77-$K15</f>
        <v>100</v>
      </c>
      <c r="H77" s="1862"/>
      <c r="I77" s="1862"/>
      <c r="J77" s="1862"/>
      <c r="K77" s="1862"/>
      <c r="L77" s="1862"/>
      <c r="M77" s="1863"/>
      <c r="N77" s="1857"/>
      <c r="O77" s="1857"/>
      <c r="P77" s="1852"/>
      <c r="Q77" s="1821"/>
    </row>
    <row r="78" spans="1:17" ht="15.75" thickTop="1">
      <c r="A78" s="1853"/>
      <c r="B78" s="1858" t="s">
        <v>2312</v>
      </c>
      <c r="C78" s="579" t="s">
        <v>2307</v>
      </c>
      <c r="D78" s="579" t="s">
        <v>2308</v>
      </c>
      <c r="E78" s="579" t="s">
        <v>2309</v>
      </c>
      <c r="F78" s="579" t="s">
        <v>2310</v>
      </c>
      <c r="G78" s="579" t="s">
        <v>2311</v>
      </c>
      <c r="H78" s="1859"/>
      <c r="I78" s="1859"/>
      <c r="J78" s="1859"/>
      <c r="K78" s="428"/>
      <c r="L78" s="428"/>
      <c r="M78" s="1860"/>
      <c r="N78" s="1851"/>
      <c r="O78" s="1851"/>
      <c r="P78" s="1852"/>
      <c r="Q78" s="1821"/>
    </row>
    <row r="79" spans="1:17" ht="15.75" thickBot="1">
      <c r="A79" s="1853"/>
      <c r="B79" s="1861"/>
      <c r="C79" s="1862">
        <v>100</v>
      </c>
      <c r="D79" s="1862">
        <f>C79-$K17</f>
        <v>100</v>
      </c>
      <c r="E79" s="1862">
        <f>D79-$K17</f>
        <v>100</v>
      </c>
      <c r="F79" s="1862">
        <f>E79-$K17</f>
        <v>100</v>
      </c>
      <c r="G79" s="1862">
        <f>F79-$K17</f>
        <v>100</v>
      </c>
      <c r="H79" s="1862"/>
      <c r="I79" s="1862"/>
      <c r="J79" s="1862"/>
      <c r="K79" s="1862"/>
      <c r="L79" s="1862"/>
      <c r="M79" s="1863"/>
      <c r="N79" s="1857"/>
      <c r="O79" s="1857"/>
      <c r="P79" s="1852"/>
      <c r="Q79" s="1821"/>
    </row>
    <row r="80" spans="1:17" ht="15.75" thickTop="1">
      <c r="A80" s="1853"/>
      <c r="B80" s="1858" t="s">
        <v>2313</v>
      </c>
      <c r="C80" s="579" t="s">
        <v>2307</v>
      </c>
      <c r="D80" s="579" t="s">
        <v>2308</v>
      </c>
      <c r="E80" s="579" t="s">
        <v>2309</v>
      </c>
      <c r="F80" s="579" t="s">
        <v>2310</v>
      </c>
      <c r="G80" s="579" t="s">
        <v>2311</v>
      </c>
      <c r="H80" s="1859"/>
      <c r="I80" s="1859"/>
      <c r="J80" s="1859"/>
      <c r="K80" s="428"/>
      <c r="L80" s="428"/>
      <c r="M80" s="1860"/>
      <c r="N80" s="1851"/>
      <c r="O80" s="1851"/>
      <c r="P80" s="1852"/>
      <c r="Q80" s="1821"/>
    </row>
    <row r="81" spans="1:17" ht="15.75" thickBot="1">
      <c r="A81" s="1853"/>
      <c r="B81" s="1861"/>
      <c r="C81" s="1862">
        <v>100</v>
      </c>
      <c r="D81" s="1862">
        <f>C81-$K19</f>
        <v>100</v>
      </c>
      <c r="E81" s="1862">
        <f>D81-$K19</f>
        <v>100</v>
      </c>
      <c r="F81" s="1862">
        <f>E81-$K19</f>
        <v>100</v>
      </c>
      <c r="G81" s="1862">
        <f>F81-$K19</f>
        <v>100</v>
      </c>
      <c r="H81" s="1862"/>
      <c r="I81" s="1862"/>
      <c r="J81" s="1862"/>
      <c r="K81" s="1862"/>
      <c r="L81" s="1862"/>
      <c r="M81" s="1863"/>
      <c r="N81" s="1857"/>
      <c r="O81" s="1857"/>
      <c r="P81" s="1852"/>
      <c r="Q81" s="1821"/>
    </row>
    <row r="82" spans="1:17" ht="15.75" thickTop="1">
      <c r="A82" s="1853"/>
      <c r="B82" s="1864" t="s">
        <v>1705</v>
      </c>
      <c r="C82" s="1859" t="s">
        <v>2314</v>
      </c>
      <c r="D82" s="1859" t="s">
        <v>2315</v>
      </c>
      <c r="E82" s="1859" t="s">
        <v>2316</v>
      </c>
      <c r="F82" s="1859" t="s">
        <v>2317</v>
      </c>
      <c r="G82" s="1859" t="s">
        <v>2318</v>
      </c>
      <c r="H82" s="1859"/>
      <c r="I82" s="1859"/>
      <c r="J82" s="1859"/>
      <c r="K82" s="1859"/>
      <c r="L82" s="1859"/>
      <c r="M82" s="1887"/>
      <c r="N82" s="1857"/>
      <c r="O82" s="1857"/>
      <c r="P82" s="1852"/>
      <c r="Q82" s="1821"/>
    </row>
    <row r="83" spans="1:17" ht="15.75" thickBot="1">
      <c r="A83" s="1853"/>
      <c r="B83" s="1864"/>
      <c r="C83" s="1862">
        <v>100</v>
      </c>
      <c r="D83" s="1862">
        <f>C83-$K21</f>
        <v>100</v>
      </c>
      <c r="E83" s="1862">
        <f>D83-$K21</f>
        <v>100</v>
      </c>
      <c r="F83" s="1862">
        <f>E83-$K21</f>
        <v>100</v>
      </c>
      <c r="G83" s="1862">
        <f>F83-$K21</f>
        <v>100</v>
      </c>
      <c r="H83" s="1888"/>
      <c r="I83" s="1888"/>
      <c r="J83" s="1888"/>
      <c r="K83" s="1888"/>
      <c r="L83" s="1888"/>
      <c r="M83" s="1735"/>
      <c r="N83" s="1857"/>
      <c r="O83" s="1857"/>
      <c r="P83" s="1852"/>
      <c r="Q83" s="1821"/>
    </row>
    <row r="84" spans="1:17" ht="15.75" thickTop="1">
      <c r="A84" s="1853"/>
      <c r="B84" s="1858" t="s">
        <v>2319</v>
      </c>
      <c r="C84" s="579" t="s">
        <v>2307</v>
      </c>
      <c r="D84" s="579" t="s">
        <v>2308</v>
      </c>
      <c r="E84" s="579" t="s">
        <v>2309</v>
      </c>
      <c r="F84" s="579" t="s">
        <v>2310</v>
      </c>
      <c r="G84" s="579" t="s">
        <v>2311</v>
      </c>
      <c r="H84" s="1859"/>
      <c r="I84" s="1859"/>
      <c r="J84" s="1859"/>
      <c r="K84" s="428"/>
      <c r="L84" s="428"/>
      <c r="M84" s="1860"/>
      <c r="N84" s="1851"/>
      <c r="O84" s="1851"/>
      <c r="P84" s="1852"/>
      <c r="Q84" s="1821"/>
    </row>
    <row r="85" spans="1:17" ht="15.75" thickBot="1">
      <c r="A85" s="1853"/>
      <c r="B85" s="1861"/>
      <c r="C85" s="1862">
        <v>100</v>
      </c>
      <c r="D85" s="1862">
        <f>C85-$K23</f>
        <v>100</v>
      </c>
      <c r="E85" s="1862">
        <f>D85-$K23</f>
        <v>100</v>
      </c>
      <c r="F85" s="1862">
        <f>E85-$K23</f>
        <v>100</v>
      </c>
      <c r="G85" s="1862">
        <f>F85-$K23</f>
        <v>100</v>
      </c>
      <c r="H85" s="1862"/>
      <c r="I85" s="1862"/>
      <c r="J85" s="1862"/>
      <c r="K85" s="1862"/>
      <c r="L85" s="1862"/>
      <c r="M85" s="1863"/>
      <c r="N85" s="1857"/>
      <c r="O85" s="1857"/>
      <c r="P85" s="1852"/>
      <c r="Q85" s="1821"/>
    </row>
    <row r="86" spans="1:17" s="1684" customFormat="1" ht="15.75" thickTop="1">
      <c r="A86" s="1889"/>
      <c r="B86" s="1858" t="s">
        <v>2320</v>
      </c>
      <c r="C86" s="468"/>
      <c r="D86" s="468"/>
      <c r="E86" s="468"/>
      <c r="F86" s="468"/>
      <c r="G86" s="468"/>
      <c r="H86" s="468"/>
      <c r="I86" s="468"/>
      <c r="J86" s="468"/>
      <c r="K86" s="468"/>
      <c r="L86" s="468"/>
      <c r="M86" s="1890"/>
      <c r="N86" s="1842"/>
      <c r="O86" s="1842"/>
      <c r="P86" s="1852"/>
      <c r="Q86" s="1821"/>
    </row>
    <row r="87" spans="1:17" s="1684" customFormat="1" ht="15.75" thickBot="1">
      <c r="A87" s="1889"/>
      <c r="B87" s="1861"/>
      <c r="C87" s="1891">
        <v>100</v>
      </c>
      <c r="D87" s="1862">
        <f>$C$87-($C$86-D86)*$K$25</f>
        <v>100</v>
      </c>
      <c r="E87" s="1862">
        <f t="shared" ref="E87:M87" si="20">$C$87-($C$86-E86)*$K$25</f>
        <v>100</v>
      </c>
      <c r="F87" s="1862">
        <f t="shared" si="20"/>
        <v>100</v>
      </c>
      <c r="G87" s="1862">
        <f t="shared" si="20"/>
        <v>100</v>
      </c>
      <c r="H87" s="1862">
        <f t="shared" si="20"/>
        <v>100</v>
      </c>
      <c r="I87" s="1862">
        <f t="shared" si="20"/>
        <v>100</v>
      </c>
      <c r="J87" s="1862">
        <f t="shared" si="20"/>
        <v>100</v>
      </c>
      <c r="K87" s="1862">
        <f t="shared" si="20"/>
        <v>100</v>
      </c>
      <c r="L87" s="1862">
        <f t="shared" si="20"/>
        <v>100</v>
      </c>
      <c r="M87" s="1862">
        <f t="shared" si="20"/>
        <v>100</v>
      </c>
      <c r="N87" s="1857"/>
      <c r="O87" s="1857"/>
      <c r="P87" s="1852"/>
      <c r="Q87" s="1821"/>
    </row>
    <row r="88" spans="1:17" s="1684" customFormat="1" ht="15.75" thickTop="1">
      <c r="A88" s="1889"/>
      <c r="B88" s="1858" t="s">
        <v>2321</v>
      </c>
      <c r="C88" s="468"/>
      <c r="D88" s="468"/>
      <c r="E88" s="468"/>
      <c r="F88" s="1892"/>
      <c r="G88" s="468"/>
      <c r="H88" s="468"/>
      <c r="I88" s="468"/>
      <c r="J88" s="468"/>
      <c r="K88" s="468"/>
      <c r="L88" s="468"/>
      <c r="M88" s="1890"/>
      <c r="N88" s="1842"/>
      <c r="O88" s="1842"/>
      <c r="P88" s="1852"/>
      <c r="Q88" s="1821"/>
    </row>
    <row r="89" spans="1:17" s="1684" customFormat="1" ht="15.75" thickBot="1">
      <c r="A89" s="1889"/>
      <c r="B89" s="1861"/>
      <c r="C89" s="1891">
        <v>100</v>
      </c>
      <c r="D89" s="1862">
        <f t="shared" ref="D89:M89" si="21">C89-$K26</f>
        <v>100</v>
      </c>
      <c r="E89" s="1862">
        <f t="shared" si="21"/>
        <v>100</v>
      </c>
      <c r="F89" s="1862">
        <f t="shared" si="21"/>
        <v>100</v>
      </c>
      <c r="G89" s="1862">
        <f t="shared" si="21"/>
        <v>100</v>
      </c>
      <c r="H89" s="1862">
        <f t="shared" si="21"/>
        <v>100</v>
      </c>
      <c r="I89" s="1862">
        <f t="shared" si="21"/>
        <v>100</v>
      </c>
      <c r="J89" s="1862">
        <f t="shared" si="21"/>
        <v>100</v>
      </c>
      <c r="K89" s="1862">
        <f t="shared" si="21"/>
        <v>100</v>
      </c>
      <c r="L89" s="1862">
        <f t="shared" si="21"/>
        <v>100</v>
      </c>
      <c r="M89" s="1862">
        <f t="shared" si="21"/>
        <v>100</v>
      </c>
      <c r="N89" s="1857"/>
      <c r="O89" s="1857"/>
      <c r="P89" s="1852"/>
      <c r="Q89" s="1821"/>
    </row>
    <row r="90" spans="1:17" s="1771" customFormat="1" ht="15.75" thickTop="1">
      <c r="A90" s="1869"/>
      <c r="B90" s="1858" t="str">
        <f>B27</f>
        <v>道路级别</v>
      </c>
      <c r="C90" s="468"/>
      <c r="D90" s="468"/>
      <c r="E90" s="468"/>
      <c r="F90" s="468"/>
      <c r="G90" s="468"/>
      <c r="H90" s="443"/>
      <c r="I90" s="443"/>
      <c r="J90" s="443"/>
      <c r="K90" s="443"/>
      <c r="L90" s="443"/>
      <c r="M90" s="1870"/>
      <c r="N90" s="1871"/>
      <c r="O90" s="1871"/>
      <c r="P90" s="1872"/>
      <c r="Q90" s="1873"/>
    </row>
    <row r="91" spans="1:17" s="1771" customFormat="1" ht="15.75" thickBot="1">
      <c r="A91" s="1869"/>
      <c r="B91" s="1861"/>
      <c r="C91" s="1874"/>
      <c r="D91" s="1874"/>
      <c r="E91" s="1874"/>
      <c r="F91" s="1874"/>
      <c r="G91" s="1874"/>
      <c r="H91" s="1877"/>
      <c r="I91" s="1877"/>
      <c r="J91" s="1877"/>
      <c r="K91" s="1877"/>
      <c r="L91" s="1877"/>
      <c r="M91" s="1878"/>
      <c r="N91" s="1871"/>
      <c r="O91" s="1871"/>
      <c r="P91" s="1872"/>
      <c r="Q91" s="1873"/>
    </row>
    <row r="92" spans="1:17" ht="15.75" thickTop="1">
      <c r="A92" s="1853"/>
      <c r="B92" s="1858">
        <f>B28</f>
        <v>111</v>
      </c>
      <c r="C92" s="468"/>
      <c r="D92" s="468"/>
      <c r="E92" s="468"/>
      <c r="F92" s="468"/>
      <c r="G92" s="1578"/>
      <c r="H92" s="1578"/>
      <c r="I92" s="1578"/>
      <c r="J92" s="1578"/>
      <c r="K92" s="473"/>
      <c r="L92" s="473"/>
      <c r="M92" s="1893"/>
      <c r="N92" s="1851"/>
      <c r="O92" s="1851"/>
      <c r="P92" s="1852"/>
      <c r="Q92" s="1821"/>
    </row>
    <row r="93" spans="1:17" ht="15.75" thickBot="1">
      <c r="A93" s="1853"/>
      <c r="B93" s="1861"/>
      <c r="C93" s="1874"/>
      <c r="D93" s="1855"/>
      <c r="E93" s="1855"/>
      <c r="F93" s="1855"/>
      <c r="G93" s="1855"/>
      <c r="H93" s="1855"/>
      <c r="I93" s="1855"/>
      <c r="J93" s="1855"/>
      <c r="K93" s="1855"/>
      <c r="L93" s="1855"/>
      <c r="M93" s="1856"/>
      <c r="N93" s="1857"/>
      <c r="O93" s="1857"/>
      <c r="P93" s="1852"/>
      <c r="Q93" s="1821"/>
    </row>
    <row r="94" spans="1:17" ht="15.75" thickTop="1">
      <c r="A94" s="1853"/>
      <c r="B94" s="1858">
        <f>B29</f>
        <v>111</v>
      </c>
      <c r="C94" s="468"/>
      <c r="D94" s="468"/>
      <c r="E94" s="468"/>
      <c r="F94" s="468"/>
      <c r="G94" s="1578"/>
      <c r="H94" s="1578"/>
      <c r="I94" s="1578"/>
      <c r="J94" s="1578"/>
      <c r="K94" s="473"/>
      <c r="L94" s="473"/>
      <c r="M94" s="1893"/>
      <c r="N94" s="1851"/>
      <c r="O94" s="1851"/>
      <c r="P94" s="1852"/>
      <c r="Q94" s="1821"/>
    </row>
    <row r="95" spans="1:17" ht="15.75" thickBot="1">
      <c r="A95" s="1853"/>
      <c r="B95" s="1861"/>
      <c r="C95" s="1874"/>
      <c r="D95" s="1874"/>
      <c r="E95" s="1874"/>
      <c r="F95" s="1874"/>
      <c r="G95" s="1855"/>
      <c r="H95" s="1855"/>
      <c r="I95" s="1855"/>
      <c r="J95" s="1855"/>
      <c r="K95" s="1855"/>
      <c r="L95" s="1855"/>
      <c r="M95" s="1856"/>
      <c r="N95" s="1857"/>
      <c r="O95" s="1857"/>
      <c r="P95" s="1852"/>
      <c r="Q95" s="1821"/>
    </row>
    <row r="96" spans="1:17" ht="15.75" thickTop="1">
      <c r="A96" s="1853"/>
      <c r="B96" s="1858">
        <f>B30</f>
        <v>111</v>
      </c>
      <c r="C96" s="468"/>
      <c r="D96" s="468"/>
      <c r="E96" s="468"/>
      <c r="F96" s="468"/>
      <c r="G96" s="1578"/>
      <c r="H96" s="1578"/>
      <c r="I96" s="1578"/>
      <c r="J96" s="1578"/>
      <c r="K96" s="473"/>
      <c r="L96" s="473"/>
      <c r="M96" s="1893"/>
      <c r="N96" s="1851"/>
      <c r="O96" s="1851"/>
      <c r="P96" s="1852"/>
      <c r="Q96" s="1821"/>
    </row>
    <row r="97" spans="1:17" ht="15.75" thickBot="1">
      <c r="A97" s="1853"/>
      <c r="B97" s="1861"/>
      <c r="C97" s="1882"/>
      <c r="D97" s="1882"/>
      <c r="E97" s="1882"/>
      <c r="F97" s="1882"/>
      <c r="G97" s="1855"/>
      <c r="H97" s="1855"/>
      <c r="I97" s="1855"/>
      <c r="J97" s="1855"/>
      <c r="K97" s="1855"/>
      <c r="L97" s="1855"/>
      <c r="M97" s="1856"/>
      <c r="N97" s="1857"/>
      <c r="O97" s="1857"/>
      <c r="P97" s="1852"/>
      <c r="Q97" s="1821"/>
    </row>
    <row r="98" spans="1:17" ht="15.75" thickTop="1">
      <c r="A98" s="1853"/>
      <c r="B98" s="1864">
        <f>B31</f>
        <v>111</v>
      </c>
      <c r="C98" s="1894"/>
      <c r="D98" s="1894"/>
      <c r="E98" s="1894"/>
      <c r="F98" s="1894"/>
      <c r="G98" s="1894"/>
      <c r="H98" s="1894"/>
      <c r="I98" s="1894"/>
      <c r="J98" s="1894"/>
      <c r="K98" s="477"/>
      <c r="L98" s="477"/>
      <c r="M98" s="1895"/>
      <c r="N98" s="1851"/>
      <c r="O98" s="1851"/>
      <c r="P98" s="1852"/>
      <c r="Q98" s="1821"/>
    </row>
    <row r="99" spans="1:17" ht="15.75" thickBot="1">
      <c r="A99" s="1896"/>
      <c r="B99" s="1881"/>
      <c r="C99" s="1897"/>
      <c r="D99" s="1897"/>
      <c r="E99" s="1897"/>
      <c r="F99" s="1897"/>
      <c r="G99" s="1897"/>
      <c r="H99" s="1897"/>
      <c r="I99" s="1897"/>
      <c r="J99" s="1897"/>
      <c r="K99" s="1897"/>
      <c r="L99" s="1897"/>
      <c r="M99" s="1898"/>
      <c r="N99" s="1857"/>
      <c r="O99" s="1857"/>
      <c r="P99" s="1852"/>
      <c r="Q99" s="1821"/>
    </row>
    <row r="100" spans="1:17">
      <c r="A100" s="1846" t="s">
        <v>2273</v>
      </c>
      <c r="B100" s="1847" t="s">
        <v>2322</v>
      </c>
      <c r="C100" s="1849"/>
      <c r="D100" s="1849"/>
      <c r="E100" s="1849"/>
      <c r="F100" s="1849"/>
      <c r="G100" s="1849"/>
      <c r="H100" s="1849"/>
      <c r="I100" s="1849"/>
      <c r="J100" s="1849"/>
      <c r="K100" s="417"/>
      <c r="L100" s="417"/>
      <c r="M100" s="1850"/>
      <c r="N100" s="1851"/>
      <c r="O100" s="1851"/>
      <c r="P100" s="1852"/>
      <c r="Q100" s="1821"/>
    </row>
    <row r="101" spans="1:17" ht="15.75" thickBot="1">
      <c r="A101" s="1853"/>
      <c r="B101" s="1861"/>
      <c r="C101" s="1862">
        <v>100</v>
      </c>
      <c r="D101" s="1862">
        <f t="shared" ref="D101:M101" si="22">C101-$K32</f>
        <v>100</v>
      </c>
      <c r="E101" s="1862">
        <f t="shared" si="22"/>
        <v>100</v>
      </c>
      <c r="F101" s="1862">
        <f t="shared" si="22"/>
        <v>100</v>
      </c>
      <c r="G101" s="1862">
        <f t="shared" si="22"/>
        <v>100</v>
      </c>
      <c r="H101" s="1862">
        <f t="shared" si="22"/>
        <v>100</v>
      </c>
      <c r="I101" s="1862">
        <f t="shared" si="22"/>
        <v>100</v>
      </c>
      <c r="J101" s="1862">
        <f t="shared" si="22"/>
        <v>100</v>
      </c>
      <c r="K101" s="1862">
        <f t="shared" si="22"/>
        <v>100</v>
      </c>
      <c r="L101" s="1862">
        <f t="shared" si="22"/>
        <v>100</v>
      </c>
      <c r="M101" s="1862">
        <f t="shared" si="22"/>
        <v>100</v>
      </c>
      <c r="N101" s="1857"/>
      <c r="O101" s="1857"/>
      <c r="P101" s="1852"/>
      <c r="Q101" s="1821"/>
    </row>
    <row r="102" spans="1:17" ht="15.75" thickTop="1">
      <c r="A102" s="1853"/>
      <c r="B102" s="1858" t="s">
        <v>2323</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42"/>
      <c r="O102" s="1842"/>
      <c r="P102" s="1852"/>
      <c r="Q102" s="1821"/>
    </row>
    <row r="103" spans="1:17" s="1771" customFormat="1">
      <c r="A103" s="1899"/>
      <c r="B103" s="1900"/>
      <c r="C103" s="1901"/>
      <c r="D103" s="1901"/>
      <c r="E103" s="1901"/>
      <c r="F103" s="1901"/>
      <c r="G103" s="1901"/>
      <c r="H103" s="1901"/>
      <c r="I103" s="1901"/>
      <c r="J103" s="485"/>
      <c r="K103" s="485"/>
      <c r="L103" s="485"/>
      <c r="M103" s="1902"/>
      <c r="N103" s="1871"/>
      <c r="O103" s="1871"/>
      <c r="P103" s="1872"/>
      <c r="Q103" s="1873"/>
    </row>
    <row r="104" spans="1:17" s="1771" customFormat="1" ht="15.75" thickBot="1">
      <c r="A104" s="1869"/>
      <c r="B104" s="1861"/>
      <c r="C104" s="1874"/>
      <c r="D104" s="1855"/>
      <c r="E104" s="1855"/>
      <c r="F104" s="1855"/>
      <c r="G104" s="1855"/>
      <c r="H104" s="1855"/>
      <c r="I104" s="1855"/>
      <c r="J104" s="1855"/>
      <c r="K104" s="1855"/>
      <c r="L104" s="1855"/>
      <c r="M104" s="1855"/>
      <c r="N104" s="1857"/>
      <c r="O104" s="1857"/>
      <c r="P104" s="1872"/>
      <c r="Q104" s="1873"/>
    </row>
    <row r="105" spans="1:17" ht="15" thickTop="1">
      <c r="A105" s="1903"/>
      <c r="B105" s="1858" t="s">
        <v>2324</v>
      </c>
      <c r="C105" s="468"/>
      <c r="D105" s="468"/>
      <c r="E105" s="1578"/>
      <c r="F105" s="1578"/>
      <c r="G105" s="1578"/>
      <c r="H105" s="1578"/>
      <c r="I105" s="1578"/>
      <c r="J105" s="1578"/>
      <c r="K105" s="473"/>
      <c r="L105" s="473"/>
      <c r="M105" s="1893"/>
      <c r="N105" s="1851"/>
      <c r="O105" s="1851"/>
      <c r="P105" s="1852"/>
      <c r="Q105" s="1821"/>
    </row>
    <row r="106" spans="1:17" ht="15.75" thickBot="1">
      <c r="A106" s="1853"/>
      <c r="B106" s="1861"/>
      <c r="C106" s="1862">
        <v>100</v>
      </c>
      <c r="D106" s="1862">
        <f t="shared" ref="D106:M106" si="24">C106-$K34</f>
        <v>100</v>
      </c>
      <c r="E106" s="1862">
        <f t="shared" si="24"/>
        <v>100</v>
      </c>
      <c r="F106" s="1862">
        <f t="shared" si="24"/>
        <v>100</v>
      </c>
      <c r="G106" s="1862">
        <f t="shared" si="24"/>
        <v>100</v>
      </c>
      <c r="H106" s="1862">
        <f t="shared" si="24"/>
        <v>100</v>
      </c>
      <c r="I106" s="1862">
        <f t="shared" si="24"/>
        <v>100</v>
      </c>
      <c r="J106" s="1862">
        <f t="shared" si="24"/>
        <v>100</v>
      </c>
      <c r="K106" s="1862">
        <f t="shared" si="24"/>
        <v>100</v>
      </c>
      <c r="L106" s="1862">
        <f t="shared" si="24"/>
        <v>100</v>
      </c>
      <c r="M106" s="1862">
        <f t="shared" si="24"/>
        <v>100</v>
      </c>
      <c r="N106" s="1857"/>
      <c r="O106" s="1857"/>
      <c r="P106" s="1852"/>
      <c r="Q106" s="1821"/>
    </row>
    <row r="107" spans="1:17" ht="15" thickTop="1">
      <c r="A107" s="1903"/>
      <c r="B107" s="1858" t="s">
        <v>2325</v>
      </c>
      <c r="C107" s="1578"/>
      <c r="D107" s="1578"/>
      <c r="E107" s="1578"/>
      <c r="F107" s="1578"/>
      <c r="G107" s="1578"/>
      <c r="H107" s="1578"/>
      <c r="I107" s="1578"/>
      <c r="J107" s="1578"/>
      <c r="K107" s="473"/>
      <c r="L107" s="473"/>
      <c r="M107" s="1893"/>
      <c r="N107" s="1851"/>
      <c r="O107" s="1851"/>
      <c r="P107" s="1852"/>
      <c r="Q107" s="1821"/>
    </row>
    <row r="108" spans="1:17" ht="15.75" thickBot="1">
      <c r="A108" s="1853"/>
      <c r="B108" s="1861"/>
      <c r="C108" s="1862">
        <v>100</v>
      </c>
      <c r="D108" s="1862">
        <f t="shared" ref="D108:M108" si="25">C108-$K35</f>
        <v>100</v>
      </c>
      <c r="E108" s="1862">
        <f t="shared" si="25"/>
        <v>100</v>
      </c>
      <c r="F108" s="1862">
        <f t="shared" si="25"/>
        <v>100</v>
      </c>
      <c r="G108" s="1862">
        <f t="shared" si="25"/>
        <v>100</v>
      </c>
      <c r="H108" s="1862">
        <f t="shared" si="25"/>
        <v>100</v>
      </c>
      <c r="I108" s="1862">
        <f t="shared" si="25"/>
        <v>100</v>
      </c>
      <c r="J108" s="1862">
        <f t="shared" si="25"/>
        <v>100</v>
      </c>
      <c r="K108" s="1862">
        <f t="shared" si="25"/>
        <v>100</v>
      </c>
      <c r="L108" s="1862">
        <f t="shared" si="25"/>
        <v>100</v>
      </c>
      <c r="M108" s="1862">
        <f t="shared" si="25"/>
        <v>100</v>
      </c>
      <c r="N108" s="1857"/>
      <c r="O108" s="1857"/>
      <c r="P108" s="1852"/>
      <c r="Q108" s="1821"/>
    </row>
    <row r="109" spans="1:17" ht="15" thickTop="1">
      <c r="A109" s="1903"/>
      <c r="B109" s="1858" t="s">
        <v>2326</v>
      </c>
      <c r="C109" s="468"/>
      <c r="D109" s="468"/>
      <c r="E109" s="468"/>
      <c r="F109" s="1578"/>
      <c r="G109" s="1578"/>
      <c r="H109" s="1578"/>
      <c r="I109" s="1578"/>
      <c r="J109" s="1578"/>
      <c r="K109" s="473"/>
      <c r="L109" s="473"/>
      <c r="M109" s="1893"/>
      <c r="N109" s="1851"/>
      <c r="O109" s="1851"/>
      <c r="P109" s="1852"/>
      <c r="Q109" s="1821"/>
    </row>
    <row r="110" spans="1:17" ht="15.75" thickBot="1">
      <c r="A110" s="1853"/>
      <c r="B110" s="1861"/>
      <c r="C110" s="1862">
        <v>100</v>
      </c>
      <c r="D110" s="1862">
        <f t="shared" ref="D110:M110" si="26">C110-$K36</f>
        <v>100</v>
      </c>
      <c r="E110" s="1862">
        <f t="shared" si="26"/>
        <v>100</v>
      </c>
      <c r="F110" s="1862">
        <f t="shared" si="26"/>
        <v>100</v>
      </c>
      <c r="G110" s="1862">
        <f t="shared" si="26"/>
        <v>100</v>
      </c>
      <c r="H110" s="1862">
        <f t="shared" si="26"/>
        <v>100</v>
      </c>
      <c r="I110" s="1862">
        <f t="shared" si="26"/>
        <v>100</v>
      </c>
      <c r="J110" s="1862">
        <f t="shared" si="26"/>
        <v>100</v>
      </c>
      <c r="K110" s="1862">
        <f t="shared" si="26"/>
        <v>100</v>
      </c>
      <c r="L110" s="1862">
        <f t="shared" si="26"/>
        <v>100</v>
      </c>
      <c r="M110" s="1862">
        <f t="shared" si="26"/>
        <v>100</v>
      </c>
      <c r="N110" s="1857"/>
      <c r="O110" s="1857"/>
      <c r="P110" s="1852"/>
      <c r="Q110" s="1821"/>
    </row>
    <row r="111" spans="1:17" s="1771" customFormat="1" ht="15" thickTop="1">
      <c r="A111" s="1899"/>
      <c r="B111" s="1858" t="s">
        <v>2327</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4"/>
      <c r="N111" s="1871"/>
      <c r="O111" s="1871"/>
      <c r="P111" s="1872"/>
      <c r="Q111" s="1873"/>
    </row>
    <row r="112" spans="1:17" s="1771" customFormat="1">
      <c r="A112" s="1899"/>
      <c r="B112" s="1864"/>
      <c r="C112" s="1905">
        <v>0.5</v>
      </c>
      <c r="D112" s="1905">
        <v>0.6</v>
      </c>
      <c r="E112" s="1905">
        <v>0.7</v>
      </c>
      <c r="F112" s="1905">
        <v>0.8</v>
      </c>
      <c r="G112" s="1905">
        <v>0.9</v>
      </c>
      <c r="H112" s="1905">
        <v>1.0001</v>
      </c>
      <c r="I112" s="1905"/>
      <c r="J112" s="492"/>
      <c r="K112" s="492"/>
      <c r="L112" s="492"/>
      <c r="M112" s="1906"/>
      <c r="N112" s="1871"/>
      <c r="O112" s="1871"/>
      <c r="P112" s="1872"/>
      <c r="Q112" s="1873"/>
    </row>
    <row r="113" spans="1:17" s="1771" customFormat="1" ht="15.75" thickBot="1">
      <c r="A113" s="1869"/>
      <c r="B113" s="1861"/>
      <c r="C113" s="1891">
        <v>100</v>
      </c>
      <c r="D113" s="1862">
        <f>C113+$K37</f>
        <v>100</v>
      </c>
      <c r="E113" s="1862">
        <f>D113+$K37</f>
        <v>100</v>
      </c>
      <c r="F113" s="1862">
        <f>E113+$K37</f>
        <v>100</v>
      </c>
      <c r="G113" s="1862">
        <f>F113+$K37</f>
        <v>100</v>
      </c>
      <c r="H113" s="1862">
        <f>G113+$K37</f>
        <v>100</v>
      </c>
      <c r="I113" s="1891"/>
      <c r="J113" s="1907"/>
      <c r="K113" s="1907"/>
      <c r="L113" s="1907"/>
      <c r="M113" s="1908"/>
      <c r="N113" s="1871"/>
      <c r="O113" s="1871"/>
      <c r="P113" s="1872"/>
      <c r="Q113" s="1873"/>
    </row>
    <row r="114" spans="1:17" ht="15" thickTop="1">
      <c r="A114" s="1903"/>
      <c r="B114" s="1858" t="s">
        <v>2328</v>
      </c>
      <c r="C114" s="468"/>
      <c r="D114" s="468"/>
      <c r="E114" s="1578"/>
      <c r="F114" s="1578"/>
      <c r="G114" s="1578"/>
      <c r="H114" s="1578"/>
      <c r="I114" s="1578"/>
      <c r="J114" s="1578"/>
      <c r="K114" s="473"/>
      <c r="L114" s="473"/>
      <c r="M114" s="1893"/>
      <c r="N114" s="1851"/>
      <c r="O114" s="1851"/>
      <c r="P114" s="1852"/>
      <c r="Q114" s="1821"/>
    </row>
    <row r="115" spans="1:17" ht="15.75" thickBot="1">
      <c r="A115" s="1853"/>
      <c r="B115" s="1861"/>
      <c r="C115" s="1862">
        <v>100</v>
      </c>
      <c r="D115" s="1862">
        <f t="shared" ref="D115:M115" si="27">C115-$K38</f>
        <v>100</v>
      </c>
      <c r="E115" s="1862">
        <f t="shared" si="27"/>
        <v>100</v>
      </c>
      <c r="F115" s="1862">
        <f t="shared" si="27"/>
        <v>100</v>
      </c>
      <c r="G115" s="1862">
        <f t="shared" si="27"/>
        <v>100</v>
      </c>
      <c r="H115" s="1862">
        <f t="shared" si="27"/>
        <v>100</v>
      </c>
      <c r="I115" s="1862">
        <f t="shared" si="27"/>
        <v>100</v>
      </c>
      <c r="J115" s="1862">
        <f t="shared" si="27"/>
        <v>100</v>
      </c>
      <c r="K115" s="1862">
        <f t="shared" si="27"/>
        <v>100</v>
      </c>
      <c r="L115" s="1862">
        <f t="shared" si="27"/>
        <v>100</v>
      </c>
      <c r="M115" s="1862">
        <f t="shared" si="27"/>
        <v>100</v>
      </c>
      <c r="N115" s="1857"/>
      <c r="O115" s="1857"/>
      <c r="P115" s="1852"/>
      <c r="Q115" s="1821"/>
    </row>
    <row r="116" spans="1:17" ht="15" thickTop="1">
      <c r="A116" s="1903"/>
      <c r="B116" s="1858" t="s">
        <v>2329</v>
      </c>
      <c r="C116" s="468"/>
      <c r="D116" s="468"/>
      <c r="E116" s="468"/>
      <c r="F116" s="468"/>
      <c r="G116" s="468"/>
      <c r="H116" s="1578"/>
      <c r="I116" s="1578"/>
      <c r="J116" s="1578"/>
      <c r="K116" s="473"/>
      <c r="L116" s="473"/>
      <c r="M116" s="1893"/>
      <c r="N116" s="1851"/>
      <c r="O116" s="1851"/>
      <c r="P116" s="1852"/>
      <c r="Q116" s="1821"/>
    </row>
    <row r="117" spans="1:17" ht="15.75" thickBot="1">
      <c r="A117" s="1853"/>
      <c r="B117" s="1861"/>
      <c r="C117" s="1862">
        <v>100</v>
      </c>
      <c r="D117" s="1862">
        <f>C117-$K39</f>
        <v>100</v>
      </c>
      <c r="E117" s="1862">
        <f>D117-$K39</f>
        <v>100</v>
      </c>
      <c r="F117" s="1862">
        <f>E117-$K39</f>
        <v>100</v>
      </c>
      <c r="G117" s="1862">
        <f>F117-$K39</f>
        <v>100</v>
      </c>
      <c r="H117" s="1862"/>
      <c r="I117" s="1862"/>
      <c r="J117" s="1862"/>
      <c r="K117" s="1862"/>
      <c r="L117" s="1862"/>
      <c r="M117" s="1863"/>
      <c r="N117" s="1857"/>
      <c r="O117" s="1857"/>
      <c r="P117" s="1852"/>
      <c r="Q117" s="1821"/>
    </row>
    <row r="118" spans="1:17" ht="15" thickTop="1">
      <c r="A118" s="1903"/>
      <c r="B118" s="1858" t="s">
        <v>2330</v>
      </c>
      <c r="C118" s="1578"/>
      <c r="D118" s="1578"/>
      <c r="E118" s="1578"/>
      <c r="F118" s="1578"/>
      <c r="G118" s="1578"/>
      <c r="H118" s="1578"/>
      <c r="I118" s="1578"/>
      <c r="J118" s="1578"/>
      <c r="K118" s="473"/>
      <c r="L118" s="473"/>
      <c r="M118" s="1893"/>
      <c r="N118" s="1851"/>
      <c r="O118" s="1851"/>
      <c r="P118" s="1852"/>
      <c r="Q118" s="1821"/>
    </row>
    <row r="119" spans="1:17" ht="15.75" thickBot="1">
      <c r="A119" s="1853"/>
      <c r="B119" s="1861"/>
      <c r="C119" s="1862">
        <v>100</v>
      </c>
      <c r="D119" s="1862">
        <f t="shared" ref="D119:M119" si="28">C119-$K40</f>
        <v>100</v>
      </c>
      <c r="E119" s="1862">
        <f t="shared" si="28"/>
        <v>100</v>
      </c>
      <c r="F119" s="1862">
        <f t="shared" si="28"/>
        <v>100</v>
      </c>
      <c r="G119" s="1862">
        <f t="shared" si="28"/>
        <v>100</v>
      </c>
      <c r="H119" s="1862">
        <f t="shared" si="28"/>
        <v>100</v>
      </c>
      <c r="I119" s="1862">
        <f t="shared" si="28"/>
        <v>100</v>
      </c>
      <c r="J119" s="1862">
        <f t="shared" si="28"/>
        <v>100</v>
      </c>
      <c r="K119" s="1862">
        <f t="shared" si="28"/>
        <v>100</v>
      </c>
      <c r="L119" s="1862">
        <f t="shared" si="28"/>
        <v>100</v>
      </c>
      <c r="M119" s="1862">
        <f t="shared" si="28"/>
        <v>100</v>
      </c>
      <c r="N119" s="1857"/>
      <c r="O119" s="1857"/>
      <c r="P119" s="1852"/>
      <c r="Q119" s="1821"/>
    </row>
    <row r="120" spans="1:17" s="1771" customFormat="1" ht="28.5" thickTop="1">
      <c r="A120" s="1899"/>
      <c r="B120" s="1858" t="s">
        <v>2284</v>
      </c>
      <c r="C120" s="468"/>
      <c r="D120" s="468"/>
      <c r="E120" s="468"/>
      <c r="F120" s="468"/>
      <c r="G120" s="468"/>
      <c r="H120" s="468"/>
      <c r="I120" s="468"/>
      <c r="J120" s="468"/>
      <c r="K120" s="468"/>
      <c r="L120" s="468"/>
      <c r="M120" s="1890"/>
      <c r="N120" s="1871"/>
      <c r="O120" s="1871"/>
      <c r="P120" s="1872"/>
      <c r="Q120" s="1873"/>
    </row>
    <row r="121" spans="1:17" s="1771" customFormat="1" ht="15.75" thickBot="1">
      <c r="A121" s="1869"/>
      <c r="B121" s="1854"/>
      <c r="C121" s="1874"/>
      <c r="D121" s="1855"/>
      <c r="E121" s="1855"/>
      <c r="F121" s="1855"/>
      <c r="G121" s="1855"/>
      <c r="H121" s="1855"/>
      <c r="I121" s="1855"/>
      <c r="J121" s="1855"/>
      <c r="K121" s="1855"/>
      <c r="L121" s="1855"/>
      <c r="M121" s="1855"/>
      <c r="N121" s="1871"/>
      <c r="O121" s="1871"/>
      <c r="P121" s="1872"/>
      <c r="Q121" s="1873"/>
    </row>
    <row r="122" spans="1:17" ht="15" thickTop="1">
      <c r="A122" s="1903"/>
      <c r="B122" s="1858" t="s">
        <v>2331</v>
      </c>
      <c r="C122" s="468"/>
      <c r="D122" s="468"/>
      <c r="E122" s="468"/>
      <c r="F122" s="1578"/>
      <c r="G122" s="1578"/>
      <c r="H122" s="1578"/>
      <c r="I122" s="1578"/>
      <c r="J122" s="1578"/>
      <c r="K122" s="473"/>
      <c r="L122" s="473"/>
      <c r="M122" s="1893"/>
      <c r="N122" s="1851"/>
      <c r="O122" s="1851"/>
      <c r="P122" s="1852"/>
      <c r="Q122" s="1821"/>
    </row>
    <row r="123" spans="1:17" ht="15.75" thickBot="1">
      <c r="A123" s="1853"/>
      <c r="B123" s="1861"/>
      <c r="C123" s="1862">
        <v>100</v>
      </c>
      <c r="D123" s="1862">
        <f t="shared" ref="D123:M123" si="29">C123-$K42</f>
        <v>100</v>
      </c>
      <c r="E123" s="1862">
        <f t="shared" si="29"/>
        <v>100</v>
      </c>
      <c r="F123" s="1862">
        <f t="shared" si="29"/>
        <v>100</v>
      </c>
      <c r="G123" s="1862">
        <f t="shared" si="29"/>
        <v>100</v>
      </c>
      <c r="H123" s="1862">
        <f t="shared" si="29"/>
        <v>100</v>
      </c>
      <c r="I123" s="1862">
        <f t="shared" si="29"/>
        <v>100</v>
      </c>
      <c r="J123" s="1862">
        <f t="shared" si="29"/>
        <v>100</v>
      </c>
      <c r="K123" s="1862">
        <f t="shared" si="29"/>
        <v>100</v>
      </c>
      <c r="L123" s="1862">
        <f t="shared" si="29"/>
        <v>100</v>
      </c>
      <c r="M123" s="1862">
        <f t="shared" si="29"/>
        <v>100</v>
      </c>
      <c r="N123" s="1857"/>
      <c r="O123" s="1857"/>
      <c r="P123" s="1852"/>
      <c r="Q123" s="1821"/>
    </row>
    <row r="124" spans="1:17" ht="15" thickTop="1">
      <c r="A124" s="1903"/>
      <c r="B124" s="1858" t="s">
        <v>2332</v>
      </c>
      <c r="C124" s="579" t="s">
        <v>2307</v>
      </c>
      <c r="D124" s="579" t="s">
        <v>2308</v>
      </c>
      <c r="E124" s="579" t="s">
        <v>2309</v>
      </c>
      <c r="F124" s="579" t="s">
        <v>2310</v>
      </c>
      <c r="G124" s="579" t="s">
        <v>2311</v>
      </c>
      <c r="H124" s="1859"/>
      <c r="I124" s="1859"/>
      <c r="J124" s="1859"/>
      <c r="K124" s="428"/>
      <c r="L124" s="428"/>
      <c r="M124" s="1860"/>
      <c r="N124" s="1851"/>
      <c r="O124" s="1851"/>
      <c r="P124" s="1872"/>
      <c r="Q124" s="1821"/>
    </row>
    <row r="125" spans="1:17" ht="15.75" thickBot="1">
      <c r="A125" s="1853"/>
      <c r="B125" s="1861"/>
      <c r="C125" s="1862">
        <v>100</v>
      </c>
      <c r="D125" s="1862">
        <f>C125-$K43</f>
        <v>100</v>
      </c>
      <c r="E125" s="1862">
        <f>D125-$K43</f>
        <v>100</v>
      </c>
      <c r="F125" s="1862">
        <f>E125-$K43</f>
        <v>100</v>
      </c>
      <c r="G125" s="1862">
        <f>F125-$K43</f>
        <v>100</v>
      </c>
      <c r="H125" s="1862"/>
      <c r="I125" s="1862"/>
      <c r="J125" s="1862"/>
      <c r="K125" s="1862"/>
      <c r="L125" s="1862"/>
      <c r="M125" s="1863"/>
      <c r="N125" s="1857"/>
      <c r="O125" s="1857"/>
      <c r="P125" s="1852"/>
      <c r="Q125" s="1821"/>
    </row>
    <row r="126" spans="1:17" s="1771" customFormat="1" ht="15" thickTop="1">
      <c r="A126" s="1899"/>
      <c r="B126" s="1858">
        <f>B44</f>
        <v>111</v>
      </c>
      <c r="C126" s="468"/>
      <c r="D126" s="468"/>
      <c r="E126" s="468"/>
      <c r="F126" s="468"/>
      <c r="G126" s="468"/>
      <c r="H126" s="443"/>
      <c r="I126" s="443"/>
      <c r="J126" s="443"/>
      <c r="K126" s="443"/>
      <c r="L126" s="443"/>
      <c r="M126" s="1870"/>
      <c r="N126" s="1871"/>
      <c r="O126" s="1871"/>
      <c r="P126" s="1872"/>
      <c r="Q126" s="1873"/>
    </row>
    <row r="127" spans="1:17" s="1771" customFormat="1" ht="15.75" thickBot="1">
      <c r="A127" s="1869"/>
      <c r="B127" s="1861"/>
      <c r="C127" s="1874"/>
      <c r="D127" s="1855"/>
      <c r="E127" s="1855"/>
      <c r="F127" s="1855"/>
      <c r="G127" s="1874"/>
      <c r="H127" s="1877"/>
      <c r="I127" s="1877"/>
      <c r="J127" s="1877"/>
      <c r="K127" s="1877"/>
      <c r="L127" s="1877"/>
      <c r="M127" s="1878"/>
      <c r="N127" s="1871"/>
      <c r="O127" s="1871"/>
      <c r="P127" s="1872"/>
      <c r="Q127" s="1873"/>
    </row>
    <row r="128" spans="1:17" ht="15" thickTop="1">
      <c r="A128" s="1903"/>
      <c r="B128" s="1858">
        <f>B45</f>
        <v>111</v>
      </c>
      <c r="C128" s="468"/>
      <c r="D128" s="468"/>
      <c r="E128" s="468"/>
      <c r="F128" s="468"/>
      <c r="G128" s="1578"/>
      <c r="H128" s="1578"/>
      <c r="I128" s="1578"/>
      <c r="J128" s="1578"/>
      <c r="K128" s="473"/>
      <c r="L128" s="473"/>
      <c r="M128" s="1893"/>
      <c r="N128" s="1851"/>
      <c r="O128" s="1851"/>
      <c r="P128" s="1852"/>
      <c r="Q128" s="1821"/>
    </row>
    <row r="129" spans="1:17" ht="15.75" thickBot="1">
      <c r="A129" s="1853"/>
      <c r="B129" s="1861"/>
      <c r="C129" s="1874"/>
      <c r="D129" s="1874"/>
      <c r="E129" s="1874"/>
      <c r="F129" s="1874"/>
      <c r="G129" s="1855"/>
      <c r="H129" s="1855"/>
      <c r="I129" s="1855"/>
      <c r="J129" s="1855"/>
      <c r="K129" s="1855"/>
      <c r="L129" s="1855"/>
      <c r="M129" s="1856"/>
      <c r="N129" s="1857"/>
      <c r="O129" s="1857"/>
      <c r="P129" s="1852"/>
      <c r="Q129" s="1821"/>
    </row>
    <row r="130" spans="1:17" ht="15" thickTop="1">
      <c r="A130" s="1903"/>
      <c r="B130" s="1864">
        <f>B46</f>
        <v>111</v>
      </c>
      <c r="C130" s="468"/>
      <c r="D130" s="468"/>
      <c r="E130" s="468"/>
      <c r="F130" s="468"/>
      <c r="G130" s="1894"/>
      <c r="H130" s="1894"/>
      <c r="I130" s="1894"/>
      <c r="J130" s="1894"/>
      <c r="K130" s="409"/>
      <c r="L130" s="409"/>
      <c r="M130" s="1895"/>
      <c r="N130" s="1851"/>
      <c r="O130" s="1851"/>
      <c r="P130" s="1852"/>
      <c r="Q130" s="1821"/>
    </row>
    <row r="131" spans="1:17" ht="15.75" thickBot="1">
      <c r="A131" s="1896"/>
      <c r="B131" s="1881"/>
      <c r="C131" s="1882"/>
      <c r="D131" s="1882"/>
      <c r="E131" s="1882"/>
      <c r="F131" s="1882"/>
      <c r="G131" s="1897"/>
      <c r="H131" s="1897"/>
      <c r="I131" s="1897"/>
      <c r="J131" s="1897"/>
      <c r="K131" s="1897"/>
      <c r="L131" s="1897"/>
      <c r="M131" s="1898"/>
      <c r="N131" s="1857"/>
      <c r="O131" s="1857"/>
      <c r="P131" s="1852"/>
      <c r="Q131" s="1821"/>
    </row>
    <row r="136" spans="1:17" ht="15" thickBot="1">
      <c r="B136" s="1573" t="s">
        <v>2333</v>
      </c>
    </row>
    <row r="137" spans="1:17" ht="15">
      <c r="B137" s="1911" t="s">
        <v>2334</v>
      </c>
      <c r="C137" s="1912"/>
      <c r="D137" s="1912"/>
      <c r="E137" s="1912"/>
      <c r="F137" s="1912"/>
      <c r="G137" s="1913"/>
      <c r="H137" s="1914"/>
      <c r="I137" s="1915" t="s">
        <v>2335</v>
      </c>
      <c r="J137" s="1912"/>
      <c r="K137" s="1916"/>
    </row>
    <row r="138" spans="1:17" ht="15">
      <c r="B138" s="1917"/>
      <c r="C138" s="1918" t="s">
        <v>2336</v>
      </c>
      <c r="D138" s="1918" t="s">
        <v>2337</v>
      </c>
      <c r="E138" s="1919" t="s">
        <v>2338</v>
      </c>
      <c r="F138" s="1920" t="s">
        <v>2339</v>
      </c>
      <c r="G138" s="1918" t="s">
        <v>2337</v>
      </c>
      <c r="H138" s="1921" t="s">
        <v>2338</v>
      </c>
      <c r="I138" s="1922"/>
      <c r="J138" s="1918" t="s">
        <v>2340</v>
      </c>
      <c r="K138" s="1921" t="s">
        <v>2341</v>
      </c>
    </row>
    <row r="139" spans="1:17" ht="15">
      <c r="B139" s="1923">
        <v>6</v>
      </c>
      <c r="C139" s="1924">
        <v>96</v>
      </c>
      <c r="D139" s="1925" t="s">
        <v>2342</v>
      </c>
      <c r="E139" s="1926">
        <v>100</v>
      </c>
      <c r="F139" s="1927">
        <v>102.5</v>
      </c>
      <c r="G139" s="1925" t="s">
        <v>2342</v>
      </c>
      <c r="H139" s="1928">
        <v>105</v>
      </c>
      <c r="I139" s="1929" t="s">
        <v>2343</v>
      </c>
      <c r="J139" s="1924">
        <v>20</v>
      </c>
      <c r="K139" s="1930">
        <f>C145/(J139-2)</f>
        <v>4.0555555555555553E-3</v>
      </c>
    </row>
    <row r="140" spans="1:17" ht="15">
      <c r="B140" s="1931">
        <v>5</v>
      </c>
      <c r="C140" s="1932">
        <v>100</v>
      </c>
      <c r="D140" s="1932"/>
      <c r="E140" s="1933"/>
      <c r="F140" s="1934">
        <v>102</v>
      </c>
      <c r="G140" s="1932"/>
      <c r="H140" s="1935"/>
      <c r="I140" s="1936" t="s">
        <v>2344</v>
      </c>
      <c r="J140" s="1937">
        <f>ROUNDUP((J139-1)/2,0)</f>
        <v>10</v>
      </c>
      <c r="K140" s="1938">
        <v>100</v>
      </c>
    </row>
    <row r="141" spans="1:17" ht="15">
      <c r="B141" s="1931">
        <v>4</v>
      </c>
      <c r="C141" s="1932">
        <v>102</v>
      </c>
      <c r="D141" s="1932"/>
      <c r="E141" s="1933"/>
      <c r="F141" s="1934">
        <v>101.5</v>
      </c>
      <c r="G141" s="1932"/>
      <c r="H141" s="1935"/>
      <c r="I141" s="1936" t="s">
        <v>2345</v>
      </c>
      <c r="J141" s="1937">
        <v>1</v>
      </c>
      <c r="K141" s="1939">
        <f>ROUND(100+(J141-J140)*K139*100,1)</f>
        <v>96.4</v>
      </c>
    </row>
    <row r="142" spans="1:17" ht="15">
      <c r="B142" s="1931">
        <v>3</v>
      </c>
      <c r="C142" s="1932">
        <v>103</v>
      </c>
      <c r="D142" s="1932"/>
      <c r="E142" s="1933"/>
      <c r="F142" s="1934">
        <v>101</v>
      </c>
      <c r="G142" s="1932"/>
      <c r="H142" s="1935"/>
      <c r="I142" s="1936" t="s">
        <v>2346</v>
      </c>
      <c r="J142" s="1937">
        <f>J139</f>
        <v>20</v>
      </c>
      <c r="K142" s="1940">
        <v>95</v>
      </c>
    </row>
    <row r="143" spans="1:17" ht="15">
      <c r="B143" s="1931">
        <v>2</v>
      </c>
      <c r="C143" s="1932">
        <v>100</v>
      </c>
      <c r="D143" s="1932"/>
      <c r="E143" s="1933"/>
      <c r="F143" s="1934">
        <v>100.5</v>
      </c>
      <c r="G143" s="1932"/>
      <c r="H143" s="1935"/>
      <c r="I143" s="1936" t="s">
        <v>2347</v>
      </c>
      <c r="J143" s="1932">
        <v>15</v>
      </c>
      <c r="K143" s="1939">
        <f>ROUND(100+(J143-J140)*K139*100,1)</f>
        <v>102</v>
      </c>
    </row>
    <row r="144" spans="1:17" ht="15">
      <c r="B144" s="1931">
        <v>1</v>
      </c>
      <c r="C144" s="1932">
        <v>98</v>
      </c>
      <c r="D144" s="1420" t="s">
        <v>2348</v>
      </c>
      <c r="E144" s="1933">
        <v>102</v>
      </c>
      <c r="F144" s="1941">
        <v>100</v>
      </c>
      <c r="G144" s="1420" t="s">
        <v>2348</v>
      </c>
      <c r="H144" s="1935">
        <v>105</v>
      </c>
      <c r="I144" s="1936" t="s">
        <v>2347</v>
      </c>
      <c r="J144" s="1932">
        <v>18</v>
      </c>
      <c r="K144" s="1939">
        <f>ROUND(100+(J144-J140)*K139*100,1)</f>
        <v>103.2</v>
      </c>
    </row>
    <row r="145" spans="2:11" ht="15.75" thickBot="1">
      <c r="B145" s="1942" t="s">
        <v>2349</v>
      </c>
      <c r="C145" s="1943">
        <f>ROUND(MAX(C139:C144)/MIN(C139:C144)-1,3)</f>
        <v>7.2999999999999995E-2</v>
      </c>
      <c r="D145" s="1944"/>
      <c r="E145" s="1944"/>
      <c r="F145" s="1574" t="s">
        <v>2350</v>
      </c>
      <c r="G145" s="1945"/>
      <c r="H145" s="1946"/>
      <c r="I145" s="1947" t="s">
        <v>2347</v>
      </c>
      <c r="J145" s="1948">
        <v>8</v>
      </c>
      <c r="K145" s="1949">
        <f>ROUND(100+(J145-J140)*K139*100,1)</f>
        <v>99.2</v>
      </c>
    </row>
    <row r="147" spans="2:11">
      <c r="B147" s="1573" t="s">
        <v>2351</v>
      </c>
    </row>
    <row r="148" spans="2:11">
      <c r="B148" s="1573" t="s">
        <v>2352</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1" type="noConversion"/>
  <conditionalFormatting sqref="F52 H52 J52">
    <cfRule type="containsText" dxfId="217" priority="20" stopIfTrue="1" operator="containsText" text="超过">
      <formula>NOT(ISERROR(SEARCH("超过",F52)))</formula>
    </cfRule>
  </conditionalFormatting>
  <conditionalFormatting sqref="J54">
    <cfRule type="containsText" dxfId="216" priority="19" stopIfTrue="1" operator="containsText" text="超过">
      <formula>NOT(ISERROR(SEARCH("超过",J54)))</formula>
    </cfRule>
  </conditionalFormatting>
  <conditionalFormatting sqref="H54">
    <cfRule type="containsText" dxfId="215" priority="18" stopIfTrue="1" operator="containsText" text="超过">
      <formula>NOT(ISERROR(SEARCH("超过",H54)))</formula>
    </cfRule>
  </conditionalFormatting>
  <conditionalFormatting sqref="F54">
    <cfRule type="containsText" dxfId="214" priority="17" stopIfTrue="1" operator="containsText" text="超过">
      <formula>NOT(ISERROR(SEARCH("超过",F54)))</formula>
    </cfRule>
  </conditionalFormatting>
  <conditionalFormatting sqref="F53 H53 J53">
    <cfRule type="containsText" dxfId="213" priority="16" stopIfTrue="1" operator="containsText" text="超过">
      <formula>NOT(ISERROR(SEARCH("超过",F53)))</formula>
    </cfRule>
  </conditionalFormatting>
  <conditionalFormatting sqref="E52">
    <cfRule type="expression" dxfId="212" priority="15" stopIfTrue="1">
      <formula>$F$52="超过30%"</formula>
    </cfRule>
  </conditionalFormatting>
  <conditionalFormatting sqref="G54">
    <cfRule type="expression" dxfId="211" priority="13" stopIfTrue="1">
      <formula>$H$54="超过30%"</formula>
    </cfRule>
  </conditionalFormatting>
  <conditionalFormatting sqref="E53">
    <cfRule type="expression" dxfId="210" priority="12" stopIfTrue="1">
      <formula>$F$53="超过20%"</formula>
    </cfRule>
  </conditionalFormatting>
  <conditionalFormatting sqref="E54">
    <cfRule type="expression" dxfId="209" priority="11" stopIfTrue="1">
      <formula>$F$54="超过30%"</formula>
    </cfRule>
  </conditionalFormatting>
  <conditionalFormatting sqref="G52">
    <cfRule type="expression" dxfId="208" priority="10" stopIfTrue="1">
      <formula>$H$52="超过30%"</formula>
    </cfRule>
  </conditionalFormatting>
  <conditionalFormatting sqref="G53">
    <cfRule type="expression" dxfId="207" priority="9" stopIfTrue="1">
      <formula>$H$53="超过20%"</formula>
    </cfRule>
  </conditionalFormatting>
  <conditionalFormatting sqref="I52">
    <cfRule type="expression" dxfId="206" priority="8" stopIfTrue="1">
      <formula>$J$52="超过30%"</formula>
    </cfRule>
  </conditionalFormatting>
  <conditionalFormatting sqref="I53">
    <cfRule type="expression" dxfId="205" priority="7" stopIfTrue="1">
      <formula>$J$53="超过20%"</formula>
    </cfRule>
  </conditionalFormatting>
  <conditionalFormatting sqref="I54">
    <cfRule type="expression" dxfId="204" priority="6" stopIfTrue="1">
      <formula>$J$54="超过30%"</formula>
    </cfRule>
  </conditionalFormatting>
  <conditionalFormatting sqref="F48">
    <cfRule type="expression" dxfId="203" priority="4">
      <formula>$D$48="简单平均"</formula>
    </cfRule>
  </conditionalFormatting>
  <conditionalFormatting sqref="H48">
    <cfRule type="expression" dxfId="202" priority="3">
      <formula>$D$48="简单平均"</formula>
    </cfRule>
  </conditionalFormatting>
  <conditionalFormatting sqref="J48">
    <cfRule type="expression" dxfId="201" priority="2">
      <formula>$D$48="简单平均"</formula>
    </cfRule>
  </conditionalFormatting>
  <conditionalFormatting sqref="F7:F46 H7:H46 J7:J46">
    <cfRule type="cellIs" dxfId="200" priority="1" operator="notEqual">
      <formula>100</formula>
    </cfRule>
  </conditionalFormatting>
  <dataValidations count="24">
    <dataValidation type="list" allowBlank="1" showInputMessage="1" showErrorMessage="1" sqref="E24 G24 I24 C24" xr:uid="{00000000-0002-0000-1300-000000000000}">
      <formula1>环境</formula1>
    </dataValidation>
    <dataValidation type="list" allowBlank="1" showInputMessage="1" showErrorMessage="1" sqref="E16 G16 I16 C16" xr:uid="{00000000-0002-0000-1300-000001000000}">
      <formula1>居住社区成熟度</formula1>
    </dataValidation>
    <dataValidation type="list" allowBlank="1" showInputMessage="1" showErrorMessage="1" sqref="E18 G18 I18 C18" xr:uid="{00000000-0002-0000-1300-000002000000}">
      <formula1>交通便捷度</formula1>
    </dataValidation>
    <dataValidation type="list" allowBlank="1" showInputMessage="1" showErrorMessage="1" sqref="C20 G20 I20 E20" xr:uid="{00000000-0002-0000-1300-000003000000}">
      <formula1>公共配套设施</formula1>
    </dataValidation>
    <dataValidation type="list" allowBlank="1" showInputMessage="1" showErrorMessage="1" sqref="E25 G25 I25 C25" xr:uid="{00000000-0002-0000-1300-000004000000}">
      <formula1>住宅楼层</formula1>
    </dataValidation>
    <dataValidation type="list" allowBlank="1" showInputMessage="1" showErrorMessage="1" sqref="E26 G26 I26 C26" xr:uid="{00000000-0002-0000-1300-000005000000}">
      <formula1>住宅朝向</formula1>
    </dataValidation>
    <dataValidation type="list" allowBlank="1" showInputMessage="1" showErrorMessage="1" sqref="E32 G32 I32 C32" xr:uid="{00000000-0002-0000-1300-000006000000}">
      <formula1>住宅建筑类型</formula1>
    </dataValidation>
    <dataValidation type="list" allowBlank="1" showInputMessage="1" showErrorMessage="1" sqref="E34 G34 I34 C34" xr:uid="{00000000-0002-0000-1300-000007000000}">
      <formula1>住宅建筑结构</formula1>
    </dataValidation>
    <dataValidation type="list" allowBlank="1" showInputMessage="1" showErrorMessage="1" sqref="E35 G35 I35 C35" xr:uid="{00000000-0002-0000-1300-000008000000}">
      <formula1>住宅建筑品质</formula1>
    </dataValidation>
    <dataValidation type="list" allowBlank="1" showInputMessage="1" showErrorMessage="1" sqref="E36 G36 I36 C36" xr:uid="{00000000-0002-0000-1300-000009000000}">
      <formula1>住宅公共部分装修</formula1>
    </dataValidation>
    <dataValidation type="list" allowBlank="1" showInputMessage="1" showErrorMessage="1" sqref="E38 G38 I38 C38" xr:uid="{00000000-0002-0000-1300-00000A000000}">
      <formula1>住宅物业管理</formula1>
    </dataValidation>
    <dataValidation type="list" allowBlank="1" showInputMessage="1" showErrorMessage="1" sqref="E39 G39 I39 C39" xr:uid="{00000000-0002-0000-1300-00000B000000}">
      <formula1>住宅基础设施水平</formula1>
    </dataValidation>
    <dataValidation type="list" allowBlank="1" showInputMessage="1" showErrorMessage="1" sqref="E40 G40 I40 C40" xr:uid="{00000000-0002-0000-1300-00000C000000}">
      <formula1>住宅房型</formula1>
    </dataValidation>
    <dataValidation type="list" allowBlank="1" showInputMessage="1" showErrorMessage="1" sqref="E42 G42 I42 C42" xr:uid="{00000000-0002-0000-1300-00000D000000}">
      <formula1>住宅内部装修</formula1>
    </dataValidation>
    <dataValidation type="list" allowBlank="1" showInputMessage="1" showErrorMessage="1" sqref="E43 G43 I43 C43" xr:uid="{00000000-0002-0000-1300-00000E000000}">
      <formula1>内部装修维护情况</formula1>
    </dataValidation>
    <dataValidation type="list" allowBlank="1" showInputMessage="1" showErrorMessage="1" sqref="E8 G8 I8 C8" xr:uid="{00000000-0002-0000-1300-00000F000000}">
      <formula1>住宅交易情况</formula1>
    </dataValidation>
    <dataValidation type="list" allowBlank="1" showInputMessage="1" showErrorMessage="1" sqref="C10 E10 G10 I10" xr:uid="{00000000-0002-0000-1300-000010000000}">
      <formula1>土地年限区间</formula1>
    </dataValidation>
    <dataValidation type="list" allowBlank="1" showInputMessage="1" showErrorMessage="1" sqref="E9 G9 I9" xr:uid="{00000000-0002-0000-1300-000011000000}">
      <formula1>住宅用途</formula1>
    </dataValidation>
    <dataValidation type="list" allowBlank="1" showInputMessage="1" showErrorMessage="1" sqref="C1" xr:uid="{00000000-0002-0000-1300-000012000000}">
      <formula1>"估价对象,仅计算典型户型"</formula1>
    </dataValidation>
    <dataValidation type="list" allowBlank="1" showInputMessage="1" showErrorMessage="1" sqref="C22 E22 G22 I22" xr:uid="{00000000-0002-0000-1300-000013000000}">
      <formula1>基础设施水平</formula1>
    </dataValidation>
    <dataValidation type="list" allowBlank="1" showInputMessage="1" showErrorMessage="1" sqref="E1" xr:uid="{00000000-0002-0000-1300-000014000000}">
      <formula1>"售价,租金"</formula1>
    </dataValidation>
    <dataValidation type="list" allowBlank="1" showInputMessage="1" showErrorMessage="1" sqref="D2" xr:uid="{00000000-0002-0000-1300-000015000000}">
      <formula1>"需扣减承租人权益,——"</formula1>
    </dataValidation>
    <dataValidation type="list" allowBlank="1" showInputMessage="1" showErrorMessage="1" sqref="G2" xr:uid="{00000000-0002-0000-1300-000016000000}">
      <formula1>估价方法</formula1>
    </dataValidation>
    <dataValidation type="list" allowBlank="1" showInputMessage="1" showErrorMessage="1" sqref="D48" xr:uid="{00000000-0002-0000-1300-000017000000}">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6" customWidth="1"/>
    <col min="2" max="2" width="15.625" style="1666" customWidth="1"/>
    <col min="3" max="3" width="14.375" style="1666" customWidth="1"/>
    <col min="4" max="4" width="12.125" style="1666" customWidth="1"/>
    <col min="5" max="5" width="14.375" style="1666" customWidth="1"/>
    <col min="6" max="6" width="12.125" style="1666" customWidth="1"/>
    <col min="7" max="7" width="14.5" style="1666" customWidth="1"/>
    <col min="8" max="8" width="12.125" style="1666" customWidth="1"/>
    <col min="9" max="9" width="14.5" style="1666" customWidth="1"/>
    <col min="10" max="10" width="12.125" style="1666" customWidth="1"/>
    <col min="11" max="11" width="12.125" style="1909" customWidth="1"/>
    <col min="12" max="12" width="12.125" style="1910" customWidth="1"/>
    <col min="13" max="15" width="12.125" style="1666" customWidth="1"/>
    <col min="16" max="16" width="4.625" style="1806" customWidth="1"/>
    <col min="17" max="17" width="19.5" style="1666" customWidth="1"/>
    <col min="18" max="22" width="6.125" style="1666" customWidth="1"/>
    <col min="23" max="23" width="5.625" style="1666" customWidth="1"/>
    <col min="24" max="24" width="4.125" style="1666" customWidth="1"/>
    <col min="25" max="25" width="3.5" style="1666" customWidth="1"/>
    <col min="26" max="26" width="19.625" style="1666" customWidth="1"/>
    <col min="27" max="28" width="9.375" style="1666" customWidth="1"/>
    <col min="29" max="16384" width="9" style="1666"/>
  </cols>
  <sheetData>
    <row r="1" spans="1:29" s="1647" customFormat="1" ht="28.5" customHeight="1" thickBot="1">
      <c r="A1" s="1636" t="s">
        <v>2240</v>
      </c>
      <c r="B1" s="1637" t="s">
        <v>2353</v>
      </c>
      <c r="C1" s="1638"/>
      <c r="D1" s="2468"/>
      <c r="E1" s="1640"/>
      <c r="F1" s="1641" t="s">
        <v>2242</v>
      </c>
      <c r="G1" s="1637"/>
      <c r="H1" s="1637"/>
      <c r="I1" s="1637"/>
      <c r="J1" s="1637"/>
      <c r="K1" s="1642"/>
      <c r="L1" s="1643"/>
      <c r="M1" s="1637"/>
      <c r="N1" s="1637"/>
      <c r="O1" s="1637"/>
      <c r="P1" s="1644"/>
      <c r="Q1" s="1645"/>
      <c r="R1" s="1645"/>
      <c r="S1" s="1645"/>
      <c r="T1" s="1645"/>
      <c r="U1" s="1645"/>
      <c r="V1" s="1645"/>
      <c r="W1" s="1645"/>
      <c r="X1" s="1645"/>
      <c r="Y1" s="1645"/>
      <c r="Z1" s="1645"/>
      <c r="AA1" s="1645"/>
      <c r="AB1" s="1645"/>
      <c r="AC1" s="1646"/>
    </row>
    <row r="2" spans="1:29" s="1959" customFormat="1" ht="28.5" customHeight="1" thickTop="1">
      <c r="A2" s="1648" t="s">
        <v>1912</v>
      </c>
      <c r="B2" s="1649" t="e">
        <f ca="1">IF(D2="——",IF(C2="元",ROUND(C49*D3,0),ROUND(C49*D3/10000,0)),IF(C2="元",ROUND(C49*D3,0),ROUND(C49*D3/10000,0))-E2)</f>
        <v>#DIV/0!</v>
      </c>
      <c r="C2" s="1650" t="str">
        <f>'数据-取费表'!B3</f>
        <v>元</v>
      </c>
      <c r="D2" s="1651"/>
      <c r="E2" s="2469" t="e">
        <f ca="1">SUMIF(INDIRECT("'"&amp;G2&amp;"'"&amp;"!A:A"),"承租人权益价值",INDIRECT("'"&amp;G2&amp;"'"&amp;"!c:c"))</f>
        <v>#REF!</v>
      </c>
      <c r="F2" s="1653" t="str">
        <f>C2</f>
        <v>元</v>
      </c>
      <c r="G2" s="1654"/>
      <c r="H2" s="3010"/>
      <c r="I2" s="3010"/>
      <c r="J2" s="3010"/>
      <c r="K2" s="3010"/>
      <c r="L2" s="3012"/>
      <c r="M2" s="3010"/>
      <c r="N2" s="3010"/>
      <c r="O2" s="3010"/>
      <c r="P2" s="2470"/>
      <c r="Q2" s="1956"/>
      <c r="R2" s="1956"/>
      <c r="S2" s="1956"/>
      <c r="T2" s="1956"/>
      <c r="U2" s="1956"/>
      <c r="V2" s="1956"/>
      <c r="W2" s="1956"/>
      <c r="X2" s="1956"/>
      <c r="Y2" s="1956"/>
      <c r="Z2" s="1956"/>
      <c r="AA2" s="1956"/>
      <c r="AB2" s="1956"/>
      <c r="AC2" s="1957"/>
    </row>
    <row r="3" spans="1:29" s="1959" customFormat="1" ht="28.5" customHeight="1" thickBot="1">
      <c r="A3" s="1658" t="s">
        <v>1913</v>
      </c>
      <c r="B3" s="1962" t="e">
        <f ca="1">ROUND(IF(D2="——",C49,IF(C2="万元",B2*10000/D3,B2/D3)),0)</f>
        <v>#DIV/0!</v>
      </c>
      <c r="C3" s="1659" t="s">
        <v>2243</v>
      </c>
      <c r="D3" s="1659">
        <f>IF(C1="仅计算典型户型",'数据-取费表'!E5,'数据-取费表'!B5)</f>
        <v>1088.48</v>
      </c>
      <c r="F3" s="3009"/>
      <c r="G3" s="3010"/>
      <c r="H3" s="3010"/>
      <c r="I3" s="3010"/>
      <c r="J3" s="3010"/>
      <c r="K3" s="3011"/>
      <c r="L3" s="3012"/>
      <c r="M3" s="3010"/>
      <c r="N3" s="3010"/>
      <c r="O3" s="3010"/>
      <c r="P3" s="2470"/>
      <c r="Q3" s="1956"/>
      <c r="R3" s="1956"/>
      <c r="S3" s="1956"/>
      <c r="T3" s="1956"/>
      <c r="U3" s="1956"/>
      <c r="V3" s="1956"/>
      <c r="W3" s="1956"/>
      <c r="X3" s="1956"/>
      <c r="Y3" s="1956"/>
      <c r="Z3" s="1956"/>
      <c r="AA3" s="1956"/>
      <c r="AB3" s="1956"/>
      <c r="AC3" s="1964"/>
    </row>
    <row r="4" spans="1:29" ht="15">
      <c r="A4" s="1662" t="s">
        <v>2244</v>
      </c>
      <c r="B4" s="1663"/>
      <c r="C4" s="4515" t="s">
        <v>2245</v>
      </c>
      <c r="D4" s="4516"/>
      <c r="E4" s="4517" t="s">
        <v>2246</v>
      </c>
      <c r="F4" s="4518"/>
      <c r="G4" s="4515" t="s">
        <v>2247</v>
      </c>
      <c r="H4" s="4516"/>
      <c r="I4" s="4515" t="s">
        <v>2248</v>
      </c>
      <c r="J4" s="4516"/>
      <c r="K4" s="1965" t="s">
        <v>2249</v>
      </c>
      <c r="L4" s="2995"/>
      <c r="M4" s="2996"/>
      <c r="N4" s="2996"/>
      <c r="O4" s="2996"/>
      <c r="P4" s="4519" t="s">
        <v>2250</v>
      </c>
      <c r="Q4" s="4520"/>
      <c r="R4" s="4504" t="s">
        <v>2246</v>
      </c>
      <c r="S4" s="4505"/>
      <c r="T4" s="4504" t="s">
        <v>2247</v>
      </c>
      <c r="U4" s="4505"/>
      <c r="V4" s="4525" t="s">
        <v>2248</v>
      </c>
      <c r="W4" s="4525"/>
      <c r="X4" s="2074"/>
      <c r="Y4" s="4504" t="s">
        <v>2250</v>
      </c>
      <c r="Z4" s="4505"/>
      <c r="AA4" s="4512" t="s">
        <v>2246</v>
      </c>
      <c r="AB4" s="4525" t="s">
        <v>2247</v>
      </c>
      <c r="AC4" s="4512" t="s">
        <v>2248</v>
      </c>
    </row>
    <row r="5" spans="1:29" ht="15">
      <c r="A5" s="1667"/>
      <c r="B5" s="1668"/>
      <c r="C5" s="4500" t="s">
        <v>2251</v>
      </c>
      <c r="D5" s="4501"/>
      <c r="E5" s="4526" t="s">
        <v>2252</v>
      </c>
      <c r="F5" s="4527"/>
      <c r="G5" s="4500" t="s">
        <v>2253</v>
      </c>
      <c r="H5" s="4501"/>
      <c r="I5" s="4500" t="s">
        <v>2254</v>
      </c>
      <c r="J5" s="4501"/>
      <c r="K5" s="1965"/>
      <c r="L5" s="2995"/>
      <c r="M5" s="2996"/>
      <c r="N5" s="2996"/>
      <c r="O5" s="2996"/>
      <c r="P5" s="4521"/>
      <c r="Q5" s="4522"/>
      <c r="R5" s="4506"/>
      <c r="S5" s="4507"/>
      <c r="T5" s="4506"/>
      <c r="U5" s="4507"/>
      <c r="V5" s="4525"/>
      <c r="W5" s="4525"/>
      <c r="X5" s="2074"/>
      <c r="Y5" s="4506"/>
      <c r="Z5" s="4507"/>
      <c r="AA5" s="4513"/>
      <c r="AB5" s="4525"/>
      <c r="AC5" s="4513"/>
    </row>
    <row r="6" spans="1:29" ht="15.75" thickBot="1">
      <c r="A6" s="1670"/>
      <c r="B6" s="1671"/>
      <c r="C6" s="4498" t="s">
        <v>2255</v>
      </c>
      <c r="D6" s="4499"/>
      <c r="E6" s="4528" t="s">
        <v>2255</v>
      </c>
      <c r="F6" s="4529"/>
      <c r="G6" s="4498" t="s">
        <v>2255</v>
      </c>
      <c r="H6" s="4499"/>
      <c r="I6" s="4498" t="s">
        <v>2255</v>
      </c>
      <c r="J6" s="4499"/>
      <c r="K6" s="1965" t="s">
        <v>2256</v>
      </c>
      <c r="L6" s="2995"/>
      <c r="M6" s="2996"/>
      <c r="N6" s="2996"/>
      <c r="O6" s="2996"/>
      <c r="P6" s="4523"/>
      <c r="Q6" s="4524"/>
      <c r="R6" s="4506"/>
      <c r="S6" s="4507"/>
      <c r="T6" s="4508"/>
      <c r="U6" s="4509"/>
      <c r="V6" s="4525"/>
      <c r="W6" s="4525"/>
      <c r="X6" s="2074"/>
      <c r="Y6" s="4508"/>
      <c r="Z6" s="4509"/>
      <c r="AA6" s="4514"/>
      <c r="AB6" s="4525"/>
      <c r="AC6" s="4514"/>
    </row>
    <row r="7" spans="1:29" s="1684" customFormat="1" ht="15.75" thickBot="1">
      <c r="A7" s="1672" t="s">
        <v>2257</v>
      </c>
      <c r="B7" s="1673"/>
      <c r="C7" s="1674">
        <f>'数据-取费表'!B2</f>
        <v>42402</v>
      </c>
      <c r="D7" s="1675">
        <v>100</v>
      </c>
      <c r="E7" s="1676"/>
      <c r="F7" s="1677">
        <f>SUMIF(58:58,YEAR(E7)&amp;"-"&amp;MONTH(E7),59:59)</f>
        <v>0</v>
      </c>
      <c r="G7" s="1676"/>
      <c r="H7" s="1675">
        <f>SUMIF(58:58,YEAR(G7)&amp;"-"&amp;MONTH(G7),59:59)</f>
        <v>0</v>
      </c>
      <c r="I7" s="1676"/>
      <c r="J7" s="1675">
        <f>SUMIF(58:58,YEAR(I7)&amp;"-"&amp;MONTH(I7),59:59)</f>
        <v>0</v>
      </c>
      <c r="K7" s="1967"/>
      <c r="L7" s="2995"/>
      <c r="M7" s="2968"/>
      <c r="N7" s="2968"/>
      <c r="O7" s="2968"/>
      <c r="P7" s="4502" t="s">
        <v>2258</v>
      </c>
      <c r="Q7" s="4510"/>
      <c r="R7" s="1680" t="s">
        <v>25</v>
      </c>
      <c r="S7" s="1681">
        <f t="shared" ref="S7:S15" si="0">F7</f>
        <v>0</v>
      </c>
      <c r="T7" s="1680" t="s">
        <v>25</v>
      </c>
      <c r="U7" s="1681">
        <f t="shared" ref="U7:U15" si="1">H7</f>
        <v>0</v>
      </c>
      <c r="V7" s="1680" t="s">
        <v>25</v>
      </c>
      <c r="W7" s="1681">
        <f t="shared" ref="W7:W15" si="2">J7</f>
        <v>0</v>
      </c>
      <c r="X7" s="1682"/>
      <c r="Y7" s="4502" t="s">
        <v>2258</v>
      </c>
      <c r="Z7" s="4503"/>
      <c r="AA7" s="1683" t="e">
        <f>D7/F7</f>
        <v>#DIV/0!</v>
      </c>
      <c r="AB7" s="1683" t="e">
        <f>D7/H7</f>
        <v>#DIV/0!</v>
      </c>
      <c r="AC7" s="1683" t="e">
        <f>D7/J7</f>
        <v>#DIV/0!</v>
      </c>
    </row>
    <row r="8" spans="1:29" s="1684" customFormat="1" ht="15.75" thickBot="1">
      <c r="A8" s="1672" t="s">
        <v>2259</v>
      </c>
      <c r="B8" s="1673"/>
      <c r="C8" s="1685" t="s">
        <v>2260</v>
      </c>
      <c r="D8" s="1675">
        <v>100</v>
      </c>
      <c r="E8" s="1685"/>
      <c r="F8" s="1677">
        <f>SUMIF(61:61,E8,62:62)-SUMIF(61:61,C8,62:62)+100</f>
        <v>0</v>
      </c>
      <c r="G8" s="1685"/>
      <c r="H8" s="1675">
        <f>SUMIF(61:61,G8,62:62)-SUMIF(61:61,C8,62:62)+100</f>
        <v>0</v>
      </c>
      <c r="I8" s="1685"/>
      <c r="J8" s="1675">
        <f>SUMIF(61:61,I8,62:62)-SUMIF(61:61,C8,62:62)+100</f>
        <v>0</v>
      </c>
      <c r="K8" s="1967"/>
      <c r="L8" s="2995"/>
      <c r="M8" s="2968"/>
      <c r="N8" s="2968"/>
      <c r="O8" s="2968"/>
      <c r="P8" s="4502" t="s">
        <v>2261</v>
      </c>
      <c r="Q8" s="4503"/>
      <c r="R8" s="1680" t="s">
        <v>25</v>
      </c>
      <c r="S8" s="1681">
        <f t="shared" si="0"/>
        <v>0</v>
      </c>
      <c r="T8" s="1680" t="s">
        <v>25</v>
      </c>
      <c r="U8" s="1681">
        <f t="shared" si="1"/>
        <v>0</v>
      </c>
      <c r="V8" s="1680" t="s">
        <v>25</v>
      </c>
      <c r="W8" s="1681">
        <f t="shared" si="2"/>
        <v>0</v>
      </c>
      <c r="X8" s="1682"/>
      <c r="Y8" s="4502" t="s">
        <v>2261</v>
      </c>
      <c r="Z8" s="4503"/>
      <c r="AA8" s="1683" t="e">
        <f t="shared" ref="AA8:AA46" si="3">D8/F8</f>
        <v>#DIV/0!</v>
      </c>
      <c r="AB8" s="1683" t="e">
        <f t="shared" ref="AB8:AB46" si="4">D8/H8</f>
        <v>#DIV/0!</v>
      </c>
      <c r="AC8" s="1683" t="e">
        <f t="shared" ref="AC8:AC46" si="5">D8/J8</f>
        <v>#DIV/0!</v>
      </c>
    </row>
    <row r="9" spans="1:29" s="1684" customFormat="1">
      <c r="A9" s="2066" t="s">
        <v>2262</v>
      </c>
      <c r="B9" s="1687" t="s">
        <v>2263</v>
      </c>
      <c r="C9" s="1688"/>
      <c r="D9" s="1689">
        <v>100</v>
      </c>
      <c r="E9" s="1690"/>
      <c r="F9" s="1691">
        <f>SUMIF(63:63,E9,64:64)-SUMIF(63:63,C9,64:64)+100</f>
        <v>100</v>
      </c>
      <c r="G9" s="1690"/>
      <c r="H9" s="1689">
        <f>SUMIF(63:63,G9,64:64)-SUMIF(63:63,C9,64:64)+100</f>
        <v>100</v>
      </c>
      <c r="I9" s="1690"/>
      <c r="J9" s="1689">
        <f>SUMIF(63:63,I9,64:64)-SUMIF(63:63,C9,64:64)+100</f>
        <v>100</v>
      </c>
      <c r="K9" s="1967"/>
      <c r="L9" s="2995"/>
      <c r="M9" s="2968"/>
      <c r="N9" s="2968"/>
      <c r="O9" s="2968"/>
      <c r="P9" s="4511" t="s">
        <v>2264</v>
      </c>
      <c r="Q9" s="2065" t="str">
        <f t="shared" ref="Q9:Q15" si="6">B9</f>
        <v>用途</v>
      </c>
      <c r="R9" s="1680" t="s">
        <v>25</v>
      </c>
      <c r="S9" s="1681">
        <f t="shared" si="0"/>
        <v>100</v>
      </c>
      <c r="T9" s="1680" t="s">
        <v>25</v>
      </c>
      <c r="U9" s="1681">
        <f t="shared" si="1"/>
        <v>100</v>
      </c>
      <c r="V9" s="1680" t="s">
        <v>25</v>
      </c>
      <c r="W9" s="1681">
        <f t="shared" si="2"/>
        <v>100</v>
      </c>
      <c r="X9" s="1682"/>
      <c r="Y9" s="4349" t="s">
        <v>2265</v>
      </c>
      <c r="Z9" s="1693" t="str">
        <f t="shared" ref="Z9:Z15" si="7">Q9</f>
        <v>用途</v>
      </c>
      <c r="AA9" s="1683">
        <f t="shared" si="3"/>
        <v>1</v>
      </c>
      <c r="AB9" s="1683">
        <f t="shared" si="4"/>
        <v>1</v>
      </c>
      <c r="AC9" s="1683">
        <f t="shared" si="5"/>
        <v>1</v>
      </c>
    </row>
    <row r="10" spans="1:29" s="1701" customFormat="1" ht="27">
      <c r="A10" s="1694"/>
      <c r="B10" s="1695" t="s">
        <v>2266</v>
      </c>
      <c r="C10" s="1696"/>
      <c r="D10" s="1697">
        <v>100</v>
      </c>
      <c r="E10" s="1698"/>
      <c r="F10" s="1699">
        <f>SUMIF(65:65,E10,66:66)-SUMIF(65:65,C10,66:66)+100</f>
        <v>100</v>
      </c>
      <c r="G10" s="1696"/>
      <c r="H10" s="1697">
        <f>SUMIF(65:65,G10,66:66)-SUMIF(65:65,C10,66:66)+100</f>
        <v>100</v>
      </c>
      <c r="I10" s="1696"/>
      <c r="J10" s="1697">
        <f>SUMIF(65:65,I10,66:66)-SUMIF(65:65,C10,66:66)+100</f>
        <v>100</v>
      </c>
      <c r="K10" s="1992"/>
      <c r="L10" s="2997"/>
      <c r="M10" s="2998"/>
      <c r="N10" s="2998"/>
      <c r="O10" s="2998"/>
      <c r="P10" s="4511"/>
      <c r="Q10" s="2065" t="str">
        <f t="shared" si="6"/>
        <v>土地使用年限（年）</v>
      </c>
      <c r="R10" s="1680" t="s">
        <v>25</v>
      </c>
      <c r="S10" s="1681">
        <f t="shared" si="0"/>
        <v>100</v>
      </c>
      <c r="T10" s="1680" t="s">
        <v>25</v>
      </c>
      <c r="U10" s="1681">
        <f t="shared" si="1"/>
        <v>100</v>
      </c>
      <c r="V10" s="1680" t="s">
        <v>25</v>
      </c>
      <c r="W10" s="1681">
        <f t="shared" si="2"/>
        <v>100</v>
      </c>
      <c r="X10" s="1682"/>
      <c r="Y10" s="4349"/>
      <c r="Z10" s="1693" t="str">
        <f t="shared" si="7"/>
        <v>土地使用年限（年）</v>
      </c>
      <c r="AA10" s="1683">
        <f t="shared" si="3"/>
        <v>1</v>
      </c>
      <c r="AB10" s="1683">
        <f t="shared" si="4"/>
        <v>1</v>
      </c>
      <c r="AC10" s="1683">
        <f t="shared" si="5"/>
        <v>1</v>
      </c>
    </row>
    <row r="11" spans="1:29" ht="15">
      <c r="A11" s="1702"/>
      <c r="B11" s="1695" t="s">
        <v>2267</v>
      </c>
      <c r="C11" s="1703"/>
      <c r="D11" s="1697">
        <v>100</v>
      </c>
      <c r="E11" s="1704"/>
      <c r="F11" s="1699" t="e">
        <f>LOOKUP(E11,68:68,69:69)-LOOKUP(C11,68:68,69:69)+100</f>
        <v>#N/A</v>
      </c>
      <c r="G11" s="1703"/>
      <c r="H11" s="1697" t="e">
        <f>LOOKUP(G11,68:68,69:69)-LOOKUP(C11,68:68,69:69)+100</f>
        <v>#N/A</v>
      </c>
      <c r="I11" s="1703"/>
      <c r="J11" s="1697" t="e">
        <f>LOOKUP(I11,68:68,69:69)-LOOKUP(C11,68:68,69:69)+100</f>
        <v>#N/A</v>
      </c>
      <c r="K11" s="1992"/>
      <c r="L11" s="2999"/>
      <c r="M11" s="2996"/>
      <c r="N11" s="2996"/>
      <c r="O11" s="2996"/>
      <c r="P11" s="4511"/>
      <c r="Q11" s="2065" t="str">
        <f t="shared" si="6"/>
        <v>容积率</v>
      </c>
      <c r="R11" s="1680" t="s">
        <v>25</v>
      </c>
      <c r="S11" s="1681" t="e">
        <f t="shared" si="0"/>
        <v>#N/A</v>
      </c>
      <c r="T11" s="1680" t="s">
        <v>25</v>
      </c>
      <c r="U11" s="1681" t="e">
        <f t="shared" si="1"/>
        <v>#N/A</v>
      </c>
      <c r="V11" s="1680" t="s">
        <v>25</v>
      </c>
      <c r="W11" s="1681" t="e">
        <f t="shared" si="2"/>
        <v>#N/A</v>
      </c>
      <c r="X11" s="1682"/>
      <c r="Y11" s="4349"/>
      <c r="Z11" s="1693" t="str">
        <f t="shared" si="7"/>
        <v>容积率</v>
      </c>
      <c r="AA11" s="1683" t="e">
        <f t="shared" si="3"/>
        <v>#N/A</v>
      </c>
      <c r="AB11" s="1683" t="e">
        <f t="shared" si="4"/>
        <v>#N/A</v>
      </c>
      <c r="AC11" s="1683" t="e">
        <f t="shared" si="5"/>
        <v>#N/A</v>
      </c>
    </row>
    <row r="12" spans="1:29" s="1684" customFormat="1" ht="15">
      <c r="A12" s="1705"/>
      <c r="B12" s="1706">
        <v>111</v>
      </c>
      <c r="C12" s="1707"/>
      <c r="D12" s="1708">
        <v>100</v>
      </c>
      <c r="E12" s="1710"/>
      <c r="F12" s="1699">
        <f>SUMIF(70:70,E12,71:71)-SUMIF(70:70,C12,71:71)+100</f>
        <v>100</v>
      </c>
      <c r="G12" s="1710"/>
      <c r="H12" s="1697">
        <f>SUMIF(70:70,G12,71:71)-SUMIF(70:70,C12,71:71)+100</f>
        <v>100</v>
      </c>
      <c r="I12" s="1710"/>
      <c r="J12" s="1697">
        <f>SUMIF(70:70,I12,71:71)-SUMIF(70:70,C12,71:71)+100</f>
        <v>100</v>
      </c>
      <c r="K12" s="1989"/>
      <c r="L12" s="2995"/>
      <c r="M12" s="2968"/>
      <c r="N12" s="2968"/>
      <c r="O12" s="2968"/>
      <c r="P12" s="4511"/>
      <c r="Q12" s="2065">
        <f t="shared" si="6"/>
        <v>111</v>
      </c>
      <c r="R12" s="1680" t="s">
        <v>25</v>
      </c>
      <c r="S12" s="1681">
        <f t="shared" si="0"/>
        <v>100</v>
      </c>
      <c r="T12" s="1680" t="s">
        <v>25</v>
      </c>
      <c r="U12" s="1681">
        <f t="shared" si="1"/>
        <v>100</v>
      </c>
      <c r="V12" s="1680" t="s">
        <v>25</v>
      </c>
      <c r="W12" s="1681">
        <f t="shared" si="2"/>
        <v>100</v>
      </c>
      <c r="X12" s="1682"/>
      <c r="Y12" s="4349"/>
      <c r="Z12" s="1693">
        <f t="shared" si="7"/>
        <v>111</v>
      </c>
      <c r="AA12" s="1683">
        <f>D12/F12</f>
        <v>1</v>
      </c>
      <c r="AB12" s="1683">
        <f>D12/H12</f>
        <v>1</v>
      </c>
      <c r="AC12" s="1683">
        <f>D12/J12</f>
        <v>1</v>
      </c>
    </row>
    <row r="13" spans="1:29" ht="15">
      <c r="A13" s="1702"/>
      <c r="B13" s="1706">
        <v>111</v>
      </c>
      <c r="C13" s="1710"/>
      <c r="D13" s="1711">
        <v>100</v>
      </c>
      <c r="E13" s="1710"/>
      <c r="F13" s="1699">
        <f>SUMIF(72:72,E13,73:73)-SUMIF(72:72,C13,73:73)+100</f>
        <v>100</v>
      </c>
      <c r="G13" s="1710"/>
      <c r="H13" s="1711">
        <f>SUMIF(72:72,G13,73:73)-SUMIF(72:72,C13,73:73)+100</f>
        <v>100</v>
      </c>
      <c r="I13" s="1710"/>
      <c r="J13" s="1711">
        <f>SUMIF(72:72,I13,73:73)-SUMIF(72:72,C13,73:73)+100</f>
        <v>100</v>
      </c>
      <c r="K13" s="1989"/>
      <c r="L13" s="3000"/>
      <c r="M13" s="2996"/>
      <c r="N13" s="2996"/>
      <c r="O13" s="2996"/>
      <c r="P13" s="4511"/>
      <c r="Q13" s="2065">
        <f t="shared" si="6"/>
        <v>111</v>
      </c>
      <c r="R13" s="1680" t="s">
        <v>25</v>
      </c>
      <c r="S13" s="1681">
        <f t="shared" si="0"/>
        <v>100</v>
      </c>
      <c r="T13" s="1680" t="s">
        <v>25</v>
      </c>
      <c r="U13" s="1681">
        <f t="shared" si="1"/>
        <v>100</v>
      </c>
      <c r="V13" s="1680" t="s">
        <v>25</v>
      </c>
      <c r="W13" s="1681">
        <f t="shared" si="2"/>
        <v>100</v>
      </c>
      <c r="X13" s="1682"/>
      <c r="Y13" s="4349"/>
      <c r="Z13" s="1693">
        <f t="shared" si="7"/>
        <v>111</v>
      </c>
      <c r="AA13" s="1683">
        <f t="shared" si="3"/>
        <v>1</v>
      </c>
      <c r="AB13" s="1683">
        <f t="shared" si="4"/>
        <v>1</v>
      </c>
      <c r="AC13" s="1683">
        <f t="shared" si="5"/>
        <v>1</v>
      </c>
    </row>
    <row r="14" spans="1:29" ht="15.75" thickBot="1">
      <c r="A14" s="1712"/>
      <c r="B14" s="1713">
        <v>111</v>
      </c>
      <c r="C14" s="1714"/>
      <c r="D14" s="1715">
        <v>100</v>
      </c>
      <c r="E14" s="1710"/>
      <c r="F14" s="1716">
        <f>SUMIF(74:74,E14,75:75)-SUMIF(74:74,C14,75:75)+100</f>
        <v>100</v>
      </c>
      <c r="G14" s="1710"/>
      <c r="H14" s="1715">
        <f>SUMIF(74:74,G14,75:75)-SUMIF(74:74,C14,75:75)+100</f>
        <v>100</v>
      </c>
      <c r="I14" s="1710"/>
      <c r="J14" s="1715">
        <f>SUMIF(74:74,I14,75:75)-SUMIF(74:74,C14,75:75)+100</f>
        <v>100</v>
      </c>
      <c r="K14" s="1989"/>
      <c r="L14" s="3000"/>
      <c r="M14" s="2996"/>
      <c r="N14" s="2996"/>
      <c r="O14" s="2996"/>
      <c r="P14" s="4511"/>
      <c r="Q14" s="2065">
        <f t="shared" si="6"/>
        <v>111</v>
      </c>
      <c r="R14" s="1680" t="s">
        <v>25</v>
      </c>
      <c r="S14" s="1681">
        <f t="shared" si="0"/>
        <v>100</v>
      </c>
      <c r="T14" s="1680" t="s">
        <v>25</v>
      </c>
      <c r="U14" s="1681">
        <f t="shared" si="1"/>
        <v>100</v>
      </c>
      <c r="V14" s="1680" t="s">
        <v>25</v>
      </c>
      <c r="W14" s="1681">
        <f t="shared" si="2"/>
        <v>100</v>
      </c>
      <c r="X14" s="1682"/>
      <c r="Y14" s="4349"/>
      <c r="Z14" s="1693">
        <f t="shared" si="7"/>
        <v>111</v>
      </c>
      <c r="AA14" s="1683">
        <f t="shared" si="3"/>
        <v>1</v>
      </c>
      <c r="AB14" s="1683">
        <f t="shared" si="4"/>
        <v>1</v>
      </c>
      <c r="AC14" s="1683">
        <f t="shared" si="5"/>
        <v>1</v>
      </c>
    </row>
    <row r="15" spans="1:29" ht="71.25">
      <c r="A15" s="1717" t="s">
        <v>2268</v>
      </c>
      <c r="B15" s="1718" t="s">
        <v>2354</v>
      </c>
      <c r="C15" s="1719" t="str">
        <f>估价对象房地状况!C4</f>
        <v>估价对象位于XX商圈，周边商业氛围成熟，人流量大，商业繁华度好</v>
      </c>
      <c r="D15" s="1720">
        <v>100</v>
      </c>
      <c r="E15" s="1721"/>
      <c r="F15" s="1722">
        <f>SUMIF(76:76,E16,77:77)-SUMIF(76:76,C16,77:77)+100</f>
        <v>100</v>
      </c>
      <c r="G15" s="1723"/>
      <c r="H15" s="1720">
        <f>SUMIF(76:76,G16,77:77)-SUMIF(76:76,C16,77:77)+100</f>
        <v>100</v>
      </c>
      <c r="I15" s="1721"/>
      <c r="J15" s="1720">
        <f>SUMIF(76:76,I16,77:77)-SUMIF(76:76,C16,77:77)+100</f>
        <v>100</v>
      </c>
      <c r="K15" s="2471"/>
      <c r="L15" s="3000"/>
      <c r="M15" s="2996"/>
      <c r="N15" s="2996"/>
      <c r="O15" s="2996"/>
      <c r="P15" s="4489" t="s">
        <v>2269</v>
      </c>
      <c r="Q15" s="2071" t="str">
        <f t="shared" si="6"/>
        <v>商业繁华度</v>
      </c>
      <c r="R15" s="1725" t="s">
        <v>25</v>
      </c>
      <c r="S15" s="1726">
        <f t="shared" si="0"/>
        <v>100</v>
      </c>
      <c r="T15" s="1725" t="s">
        <v>25</v>
      </c>
      <c r="U15" s="1726">
        <f t="shared" si="1"/>
        <v>100</v>
      </c>
      <c r="V15" s="1725" t="s">
        <v>25</v>
      </c>
      <c r="W15" s="1726">
        <f t="shared" si="2"/>
        <v>100</v>
      </c>
      <c r="X15" s="2074"/>
      <c r="Y15" s="4491" t="s">
        <v>2269</v>
      </c>
      <c r="Z15" s="2078" t="str">
        <f t="shared" si="7"/>
        <v>商业繁华度</v>
      </c>
      <c r="AA15" s="2069">
        <f t="shared" si="3"/>
        <v>1</v>
      </c>
      <c r="AB15" s="2069">
        <f t="shared" si="4"/>
        <v>1</v>
      </c>
      <c r="AC15" s="2069">
        <f t="shared" si="5"/>
        <v>1</v>
      </c>
    </row>
    <row r="16" spans="1:29" ht="15">
      <c r="A16" s="1702"/>
      <c r="B16" s="1729"/>
      <c r="C16" s="1730"/>
      <c r="D16" s="1731"/>
      <c r="E16" s="1730"/>
      <c r="F16" s="1733"/>
      <c r="G16" s="1730"/>
      <c r="H16" s="1735"/>
      <c r="I16" s="1730"/>
      <c r="J16" s="1731"/>
      <c r="K16" s="2472"/>
      <c r="L16" s="3000"/>
      <c r="M16" s="2996"/>
      <c r="N16" s="2996"/>
      <c r="O16" s="2996"/>
      <c r="P16" s="4490"/>
      <c r="Q16" s="2071"/>
      <c r="R16" s="1725"/>
      <c r="S16" s="1726"/>
      <c r="T16" s="1725"/>
      <c r="U16" s="1726"/>
      <c r="V16" s="1725"/>
      <c r="W16" s="1726"/>
      <c r="X16" s="2074"/>
      <c r="Y16" s="4492"/>
      <c r="Z16" s="2078"/>
      <c r="AA16" s="2069">
        <v>1</v>
      </c>
      <c r="AB16" s="2069">
        <v>1</v>
      </c>
      <c r="AC16" s="2069">
        <v>1</v>
      </c>
    </row>
    <row r="17" spans="1:29" ht="213.75">
      <c r="A17" s="1702"/>
      <c r="B17" s="1737" t="s">
        <v>1704</v>
      </c>
      <c r="C17" s="1738" t="str">
        <f>估价对象房地状况!C6</f>
        <v>估价对象临近高速路-京新高速，紧邻城市主干道-信息路，距离清河火车站、地铁昌平线、13号线清河站约900米，周边有320路、365路、446路、447路、495路等公交线路通达，停车便捷程度较好，综合评价交通便捷度好。</v>
      </c>
      <c r="D17" s="1735">
        <v>100</v>
      </c>
      <c r="E17" s="1739"/>
      <c r="F17" s="1740">
        <f>SUMIF(78:78,E18,79:79)-SUMIF(78:78,C18,79:79)+100</f>
        <v>100</v>
      </c>
      <c r="G17" s="1741"/>
      <c r="H17" s="1742">
        <f>SUMIF(78:78,G18,79:79)-SUMIF(78:78,C18,79:79)+100</f>
        <v>100</v>
      </c>
      <c r="I17" s="1739"/>
      <c r="J17" s="1742">
        <f>SUMIF(78:78,I18,79:79)-SUMIF(78:78,C18,79:79)+100</f>
        <v>100</v>
      </c>
      <c r="K17" s="2471"/>
      <c r="L17" s="3000"/>
      <c r="M17" s="2996"/>
      <c r="N17" s="2996"/>
      <c r="O17" s="2996"/>
      <c r="P17" s="4490"/>
      <c r="Q17" s="2071" t="str">
        <f>B17</f>
        <v>交通便捷度</v>
      </c>
      <c r="R17" s="1725" t="s">
        <v>25</v>
      </c>
      <c r="S17" s="1726">
        <f>F17</f>
        <v>100</v>
      </c>
      <c r="T17" s="1725" t="s">
        <v>25</v>
      </c>
      <c r="U17" s="1726">
        <f>H17</f>
        <v>100</v>
      </c>
      <c r="V17" s="1725" t="s">
        <v>25</v>
      </c>
      <c r="W17" s="1726">
        <f>J17</f>
        <v>100</v>
      </c>
      <c r="X17" s="2074"/>
      <c r="Y17" s="4492"/>
      <c r="Z17" s="2078" t="str">
        <f>Q17</f>
        <v>交通便捷度</v>
      </c>
      <c r="AA17" s="2069">
        <f t="shared" si="3"/>
        <v>1</v>
      </c>
      <c r="AB17" s="2069">
        <f t="shared" si="4"/>
        <v>1</v>
      </c>
      <c r="AC17" s="2069">
        <f t="shared" si="5"/>
        <v>1</v>
      </c>
    </row>
    <row r="18" spans="1:29" ht="15">
      <c r="A18" s="1702"/>
      <c r="B18" s="1743"/>
      <c r="C18" s="1744"/>
      <c r="D18" s="1735"/>
      <c r="E18" s="1745"/>
      <c r="F18" s="1740"/>
      <c r="G18" s="1746"/>
      <c r="H18" s="1731"/>
      <c r="I18" s="1745"/>
      <c r="J18" s="1731"/>
      <c r="K18" s="2472"/>
      <c r="L18" s="3000"/>
      <c r="M18" s="2996"/>
      <c r="N18" s="2996"/>
      <c r="O18" s="2996"/>
      <c r="P18" s="4490"/>
      <c r="Q18" s="2071"/>
      <c r="R18" s="1725"/>
      <c r="S18" s="1726"/>
      <c r="T18" s="1725"/>
      <c r="U18" s="1726"/>
      <c r="V18" s="1725"/>
      <c r="W18" s="1726"/>
      <c r="X18" s="2074"/>
      <c r="Y18" s="4492"/>
      <c r="Z18" s="2078"/>
      <c r="AA18" s="2069">
        <v>1</v>
      </c>
      <c r="AB18" s="2069">
        <v>1</v>
      </c>
      <c r="AC18" s="2069">
        <v>1</v>
      </c>
    </row>
    <row r="19" spans="1:29" ht="409.5">
      <c r="A19" s="1702"/>
      <c r="B19" s="1737" t="s">
        <v>2355</v>
      </c>
      <c r="C19" s="1738" t="str">
        <f>估价对象房地状况!C7</f>
        <v>银行：农村商业银行、北京银行（上地支行）、中国工商银行（北京中关村支行）、中国银行（北京上地信息路支行）等金融场所；
商业设施：北京华联上地购物中心、数字山谷下沉商业广场等商业设施；
教育机构：北京八维研修学院、北京市上地实验学校、中关村第一小学（西二旗分校）、北京市海淀区第二实验小学（当代校区）、美和园幼儿园（智学苑分园）等教育机构；
医疗机构：北京市上地医院、北京市海淀区清河街道西二旗社区卫生服务站等医疗机构；
估价对象所在区域公共配套设施齐备情况较好。</v>
      </c>
      <c r="D19" s="1742">
        <v>100</v>
      </c>
      <c r="E19" s="1747"/>
      <c r="F19" s="1748">
        <f>SUMIF(80:80,E20,81:81)-SUMIF(80:80,C20,81:81)+100</f>
        <v>100</v>
      </c>
      <c r="G19" s="1749"/>
      <c r="H19" s="1735">
        <f>SUMIF(80:80,G20,81:81)-SUMIF(80:80,C20,81:81)+100</f>
        <v>100</v>
      </c>
      <c r="I19" s="1747"/>
      <c r="J19" s="1735">
        <f>SUMIF(80:80,I20,81:81)-SUMIF(80:80,C20,81:81)+100</f>
        <v>100</v>
      </c>
      <c r="K19" s="2471"/>
      <c r="L19" s="3000"/>
      <c r="M19" s="2996"/>
      <c r="N19" s="2996"/>
      <c r="O19" s="2996"/>
      <c r="P19" s="4490"/>
      <c r="Q19" s="2071" t="str">
        <f>B19</f>
        <v>公共配套设施</v>
      </c>
      <c r="R19" s="1725" t="s">
        <v>25</v>
      </c>
      <c r="S19" s="1726">
        <f>F19</f>
        <v>100</v>
      </c>
      <c r="T19" s="1725" t="s">
        <v>25</v>
      </c>
      <c r="U19" s="1726">
        <f>H19</f>
        <v>100</v>
      </c>
      <c r="V19" s="1725" t="s">
        <v>25</v>
      </c>
      <c r="W19" s="1726">
        <f>J19</f>
        <v>100</v>
      </c>
      <c r="X19" s="2074"/>
      <c r="Y19" s="4492"/>
      <c r="Z19" s="2078" t="str">
        <f>Q19</f>
        <v>公共配套设施</v>
      </c>
      <c r="AA19" s="2069">
        <f t="shared" si="3"/>
        <v>1</v>
      </c>
      <c r="AB19" s="2069">
        <f t="shared" si="4"/>
        <v>1</v>
      </c>
      <c r="AC19" s="2069">
        <f t="shared" si="5"/>
        <v>1</v>
      </c>
    </row>
    <row r="20" spans="1:29" ht="15">
      <c r="A20" s="1702"/>
      <c r="B20" s="1743"/>
      <c r="C20" s="1730"/>
      <c r="D20" s="1731"/>
      <c r="E20" s="1732"/>
      <c r="F20" s="1733"/>
      <c r="G20" s="1734"/>
      <c r="H20" s="1731"/>
      <c r="I20" s="1732"/>
      <c r="J20" s="1731"/>
      <c r="K20" s="2472"/>
      <c r="L20" s="3000"/>
      <c r="M20" s="2996"/>
      <c r="N20" s="2996"/>
      <c r="O20" s="2996"/>
      <c r="P20" s="4490"/>
      <c r="Q20" s="2071"/>
      <c r="R20" s="1725"/>
      <c r="S20" s="1726"/>
      <c r="T20" s="1725"/>
      <c r="U20" s="1726"/>
      <c r="V20" s="1725"/>
      <c r="W20" s="1726"/>
      <c r="X20" s="2074"/>
      <c r="Y20" s="4492"/>
      <c r="Z20" s="2078"/>
      <c r="AA20" s="2069">
        <v>1</v>
      </c>
      <c r="AB20" s="2069">
        <v>1</v>
      </c>
      <c r="AC20" s="2069">
        <v>1</v>
      </c>
    </row>
    <row r="21" spans="1:29" ht="42.75">
      <c r="A21" s="1702"/>
      <c r="B21" s="1750" t="s">
        <v>2356</v>
      </c>
      <c r="C21" s="1738" t="str">
        <f>估价对象房地状况!C8</f>
        <v>估价对象所在区域基础设施水平-七通</v>
      </c>
      <c r="D21" s="1742">
        <v>100</v>
      </c>
      <c r="E21" s="1747"/>
      <c r="F21" s="1748">
        <f>SUMIF(82:82,E22,83:83)-SUMIF(82:82,C22,83:83)+100</f>
        <v>100</v>
      </c>
      <c r="G21" s="1749"/>
      <c r="H21" s="1735">
        <f>SUMIF(82:82,G22,83:83)-SUMIF(82:82,C22,83:83)+100</f>
        <v>100</v>
      </c>
      <c r="I21" s="1747"/>
      <c r="J21" s="1735">
        <f>SUMIF(82:82,I22,83:83)-SUMIF(82:82,C22,83:83)+100</f>
        <v>100</v>
      </c>
      <c r="K21" s="2471"/>
      <c r="L21" s="3000"/>
      <c r="M21" s="2996"/>
      <c r="N21" s="2996"/>
      <c r="O21" s="2996"/>
      <c r="P21" s="4490"/>
      <c r="Q21" s="2071" t="str">
        <f>B21</f>
        <v>基础设施水平</v>
      </c>
      <c r="R21" s="1725" t="s">
        <v>25</v>
      </c>
      <c r="S21" s="1726">
        <f>F21</f>
        <v>100</v>
      </c>
      <c r="T21" s="1725" t="s">
        <v>25</v>
      </c>
      <c r="U21" s="1726">
        <f>H21</f>
        <v>100</v>
      </c>
      <c r="V21" s="1725" t="s">
        <v>25</v>
      </c>
      <c r="W21" s="1726">
        <f>J21</f>
        <v>100</v>
      </c>
      <c r="X21" s="2074"/>
      <c r="Y21" s="4492"/>
      <c r="Z21" s="2078" t="str">
        <f>Q21</f>
        <v>基础设施水平</v>
      </c>
      <c r="AA21" s="2069">
        <f t="shared" ref="AA21" si="8">D21/F21</f>
        <v>1</v>
      </c>
      <c r="AB21" s="2069">
        <f t="shared" ref="AB21" si="9">D21/H21</f>
        <v>1</v>
      </c>
      <c r="AC21" s="2069">
        <f t="shared" ref="AC21" si="10">D21/J21</f>
        <v>1</v>
      </c>
    </row>
    <row r="22" spans="1:29" ht="15">
      <c r="A22" s="1702"/>
      <c r="B22" s="1750"/>
      <c r="C22" s="1744"/>
      <c r="D22" s="1731"/>
      <c r="E22" s="1730"/>
      <c r="F22" s="1733"/>
      <c r="G22" s="1730"/>
      <c r="H22" s="1731"/>
      <c r="I22" s="1730"/>
      <c r="J22" s="1731"/>
      <c r="K22" s="2473"/>
      <c r="L22" s="3000"/>
      <c r="M22" s="2996"/>
      <c r="N22" s="2996"/>
      <c r="O22" s="2996"/>
      <c r="P22" s="4490"/>
      <c r="Q22" s="2071"/>
      <c r="R22" s="1725"/>
      <c r="S22" s="1726"/>
      <c r="T22" s="1725"/>
      <c r="U22" s="1726"/>
      <c r="V22" s="1725"/>
      <c r="W22" s="1726"/>
      <c r="X22" s="2074"/>
      <c r="Y22" s="4492"/>
      <c r="Z22" s="2078"/>
      <c r="AA22" s="2069">
        <v>1</v>
      </c>
      <c r="AB22" s="2069">
        <v>1</v>
      </c>
      <c r="AC22" s="2069">
        <v>1</v>
      </c>
    </row>
    <row r="23" spans="1:29" ht="114">
      <c r="A23" s="1702"/>
      <c r="B23" s="1737" t="s">
        <v>1706</v>
      </c>
      <c r="C23" s="2474" t="str">
        <f>估价对象房地状况!C9</f>
        <v>区域自然环境：上地公园、快乐成长家庭人口文化园等；人文环境；周边人文设施较少；
综合评价环境状况一般。</v>
      </c>
      <c r="D23" s="1735">
        <v>100</v>
      </c>
      <c r="E23" s="1739"/>
      <c r="F23" s="1740">
        <f>SUMIF(84:84,E24,85:85)-SUMIF(84:84,C24,85:85)+100</f>
        <v>100</v>
      </c>
      <c r="G23" s="1741"/>
      <c r="H23" s="1735">
        <f>SUMIF(84:84,G24,85:85)-SUMIF(84:84,C24,85:85)+100</f>
        <v>100</v>
      </c>
      <c r="I23" s="1739"/>
      <c r="J23" s="1735">
        <f>SUMIF(84:84,I24,85:85)-SUMIF(84:84,C24,85:85)+100</f>
        <v>100</v>
      </c>
      <c r="K23" s="2471"/>
      <c r="L23" s="3000"/>
      <c r="M23" s="2996"/>
      <c r="N23" s="2996"/>
      <c r="O23" s="2996"/>
      <c r="P23" s="4490"/>
      <c r="Q23" s="2071" t="str">
        <f>B23</f>
        <v>自然及人文环境</v>
      </c>
      <c r="R23" s="1725" t="s">
        <v>25</v>
      </c>
      <c r="S23" s="1726">
        <f>F23</f>
        <v>100</v>
      </c>
      <c r="T23" s="1725" t="s">
        <v>25</v>
      </c>
      <c r="U23" s="1726">
        <f>H23</f>
        <v>100</v>
      </c>
      <c r="V23" s="1725" t="s">
        <v>25</v>
      </c>
      <c r="W23" s="1726">
        <f>J23</f>
        <v>100</v>
      </c>
      <c r="X23" s="2074"/>
      <c r="Y23" s="4492"/>
      <c r="Z23" s="2078" t="str">
        <f>Q23</f>
        <v>自然及人文环境</v>
      </c>
      <c r="AA23" s="2069">
        <f t="shared" si="3"/>
        <v>1</v>
      </c>
      <c r="AB23" s="2069">
        <f t="shared" si="4"/>
        <v>1</v>
      </c>
      <c r="AC23" s="2069">
        <f t="shared" si="5"/>
        <v>1</v>
      </c>
    </row>
    <row r="24" spans="1:29" ht="15">
      <c r="A24" s="1702"/>
      <c r="B24" s="1743"/>
      <c r="C24" s="1730"/>
      <c r="D24" s="1731"/>
      <c r="E24" s="1732"/>
      <c r="F24" s="1733"/>
      <c r="G24" s="1734"/>
      <c r="H24" s="1731"/>
      <c r="I24" s="1732"/>
      <c r="J24" s="1731"/>
      <c r="K24" s="2472"/>
      <c r="L24" s="3000"/>
      <c r="M24" s="2996"/>
      <c r="N24" s="2996"/>
      <c r="O24" s="2996"/>
      <c r="P24" s="4490"/>
      <c r="Q24" s="2071"/>
      <c r="R24" s="1725"/>
      <c r="S24" s="1726"/>
      <c r="T24" s="1725"/>
      <c r="U24" s="1726"/>
      <c r="V24" s="1725"/>
      <c r="W24" s="1726"/>
      <c r="X24" s="2074"/>
      <c r="Y24" s="4492"/>
      <c r="Z24" s="2078"/>
      <c r="AA24" s="2069">
        <v>1</v>
      </c>
      <c r="AB24" s="2069">
        <v>1</v>
      </c>
      <c r="AC24" s="2069">
        <v>1</v>
      </c>
    </row>
    <row r="25" spans="1:29" ht="15">
      <c r="A25" s="1702"/>
      <c r="B25" s="1695" t="s">
        <v>2357</v>
      </c>
      <c r="C25" s="1991"/>
      <c r="D25" s="1711">
        <v>100</v>
      </c>
      <c r="E25" s="1991"/>
      <c r="F25" s="1754">
        <f>SUMIF(86:86,E25,87:87)-SUMIF(86:86,C25,87:87)+100</f>
        <v>100</v>
      </c>
      <c r="G25" s="1991"/>
      <c r="H25" s="1711">
        <f>SUMIF(86:86,G25,87:87)-SUMIF(86:86,C25,87:87)+100</f>
        <v>100</v>
      </c>
      <c r="I25" s="1991"/>
      <c r="J25" s="1711">
        <f>SUMIF(86:86,I25,87:87)-SUMIF(86:86,C25,87:87)+100</f>
        <v>100</v>
      </c>
      <c r="K25" s="1992"/>
      <c r="L25" s="3000"/>
      <c r="M25" s="2996"/>
      <c r="N25" s="2996"/>
      <c r="O25" s="2996"/>
      <c r="P25" s="4490"/>
      <c r="Q25" s="2071" t="str">
        <f t="shared" ref="Q25:Q46" si="11">B25</f>
        <v>临街状况</v>
      </c>
      <c r="R25" s="1725" t="s">
        <v>25</v>
      </c>
      <c r="S25" s="1726">
        <f>F25</f>
        <v>100</v>
      </c>
      <c r="T25" s="1725" t="s">
        <v>25</v>
      </c>
      <c r="U25" s="1726">
        <f>H25</f>
        <v>100</v>
      </c>
      <c r="V25" s="1725" t="s">
        <v>25</v>
      </c>
      <c r="W25" s="1726">
        <f>J25</f>
        <v>100</v>
      </c>
      <c r="X25" s="2074"/>
      <c r="Y25" s="4492"/>
      <c r="Z25" s="2078" t="str">
        <f>Q25</f>
        <v>临街状况</v>
      </c>
      <c r="AA25" s="2069">
        <f t="shared" si="3"/>
        <v>1</v>
      </c>
      <c r="AB25" s="2069">
        <f t="shared" si="4"/>
        <v>1</v>
      </c>
      <c r="AC25" s="2069">
        <f t="shared" si="5"/>
        <v>1</v>
      </c>
    </row>
    <row r="26" spans="1:29" ht="15">
      <c r="A26" s="1702"/>
      <c r="B26" s="1760" t="s">
        <v>2358</v>
      </c>
      <c r="C26" s="1710"/>
      <c r="D26" s="1711">
        <v>100</v>
      </c>
      <c r="E26" s="1710"/>
      <c r="F26" s="1754">
        <f>SUMIF(88:88,E26,89:89)-SUMIF(88:88,C26,89:89)+100</f>
        <v>100</v>
      </c>
      <c r="G26" s="1710"/>
      <c r="H26" s="1711">
        <f>SUMIF(88:88,G26,89:89)-SUMIF(88:88,C26,89:89)+100</f>
        <v>100</v>
      </c>
      <c r="I26" s="1710"/>
      <c r="J26" s="1711">
        <f>SUMIF(88:88,I26,89:89)-SUMIF(88:88,C26,89:89)+100</f>
        <v>100</v>
      </c>
      <c r="K26" s="1989"/>
      <c r="L26" s="3000"/>
      <c r="M26" s="2996"/>
      <c r="N26" s="2996"/>
      <c r="O26" s="2996"/>
      <c r="P26" s="4490"/>
      <c r="Q26" s="2071" t="str">
        <f t="shared" si="11"/>
        <v>平面位置/可视性</v>
      </c>
      <c r="R26" s="1725" t="s">
        <v>25</v>
      </c>
      <c r="S26" s="1726">
        <f>F26</f>
        <v>100</v>
      </c>
      <c r="T26" s="1725" t="s">
        <v>25</v>
      </c>
      <c r="U26" s="1726">
        <f>H26</f>
        <v>100</v>
      </c>
      <c r="V26" s="1725" t="s">
        <v>25</v>
      </c>
      <c r="W26" s="1726">
        <f>J26</f>
        <v>100</v>
      </c>
      <c r="X26" s="2074"/>
      <c r="Y26" s="4492"/>
      <c r="Z26" s="2078" t="str">
        <f>Q26</f>
        <v>平面位置/可视性</v>
      </c>
      <c r="AA26" s="2069">
        <f t="shared" si="3"/>
        <v>1</v>
      </c>
      <c r="AB26" s="2069">
        <f t="shared" si="4"/>
        <v>1</v>
      </c>
      <c r="AC26" s="2069">
        <f t="shared" si="5"/>
        <v>1</v>
      </c>
    </row>
    <row r="27" spans="1:29" s="1684" customFormat="1" ht="15">
      <c r="A27" s="1705"/>
      <c r="B27" s="1737" t="s">
        <v>2359</v>
      </c>
      <c r="C27" s="2475"/>
      <c r="D27" s="1756">
        <v>100</v>
      </c>
      <c r="E27" s="2475"/>
      <c r="F27" s="1758">
        <f>SUMIF(90:90,E27,91:91)-SUMIF(90:90,C27,91:91)+100</f>
        <v>100</v>
      </c>
      <c r="G27" s="2475"/>
      <c r="H27" s="1756">
        <f>SUMIF(90:90,G27,91:91)-SUMIF(90:90,C27,91:91)+100</f>
        <v>100</v>
      </c>
      <c r="I27" s="2475"/>
      <c r="J27" s="1756">
        <f>SUMIF(90:90,I27,91:91)-SUMIF(90:90,C27,91:91)+100</f>
        <v>100</v>
      </c>
      <c r="K27" s="1992"/>
      <c r="L27" s="2995"/>
      <c r="M27" s="2968"/>
      <c r="N27" s="2968"/>
      <c r="O27" s="2968"/>
      <c r="P27" s="4490"/>
      <c r="Q27" s="2065" t="str">
        <f t="shared" si="11"/>
        <v>人流量</v>
      </c>
      <c r="R27" s="1680" t="s">
        <v>25</v>
      </c>
      <c r="S27" s="1681">
        <f>F27</f>
        <v>100</v>
      </c>
      <c r="T27" s="1680" t="s">
        <v>25</v>
      </c>
      <c r="U27" s="1681">
        <f>H27</f>
        <v>100</v>
      </c>
      <c r="V27" s="1680" t="s">
        <v>25</v>
      </c>
      <c r="W27" s="1681">
        <f>J27</f>
        <v>100</v>
      </c>
      <c r="X27" s="1682"/>
      <c r="Y27" s="4492"/>
      <c r="Z27" s="1693" t="str">
        <f>Q27</f>
        <v>人流量</v>
      </c>
      <c r="AA27" s="2069">
        <f>D27/F27</f>
        <v>1</v>
      </c>
      <c r="AB27" s="2069">
        <f>D27/H27</f>
        <v>1</v>
      </c>
      <c r="AC27" s="2069">
        <f>D27/J27</f>
        <v>1</v>
      </c>
    </row>
    <row r="28" spans="1:29" ht="15">
      <c r="A28" s="1702"/>
      <c r="B28" s="1695" t="s">
        <v>2360</v>
      </c>
      <c r="C28" s="1991"/>
      <c r="D28" s="1711">
        <v>100</v>
      </c>
      <c r="E28" s="1991"/>
      <c r="F28" s="1754">
        <f>SUMIF(92:92,E28,93:93)-SUMIF(92:92,C28,93:93)+100</f>
        <v>100</v>
      </c>
      <c r="G28" s="1991"/>
      <c r="H28" s="1711">
        <f>SUMIF(92:92,G28,93:93)-SUMIF(92:92,C28,93:93)+100</f>
        <v>100</v>
      </c>
      <c r="I28" s="1991"/>
      <c r="J28" s="1711">
        <f>SUMIF(92:92,I28,93:93)-SUMIF(92:92,C28,93:93)+100</f>
        <v>100</v>
      </c>
      <c r="K28" s="1989"/>
      <c r="L28" s="3000"/>
      <c r="M28" s="2996"/>
      <c r="N28" s="2996"/>
      <c r="O28" s="2996"/>
      <c r="P28" s="4490"/>
      <c r="Q28" s="2071" t="str">
        <f t="shared" si="11"/>
        <v>楼层</v>
      </c>
      <c r="R28" s="1725" t="s">
        <v>25</v>
      </c>
      <c r="S28" s="1726">
        <f t="shared" ref="S28:S46" si="12">F28</f>
        <v>100</v>
      </c>
      <c r="T28" s="1725" t="s">
        <v>25</v>
      </c>
      <c r="U28" s="1726">
        <f t="shared" ref="U28:U46" si="13">H28</f>
        <v>100</v>
      </c>
      <c r="V28" s="1725" t="s">
        <v>25</v>
      </c>
      <c r="W28" s="1726">
        <f t="shared" ref="W28:W46" si="14">J28</f>
        <v>100</v>
      </c>
      <c r="X28" s="2074"/>
      <c r="Y28" s="4492"/>
      <c r="Z28" s="2078" t="str">
        <f t="shared" ref="Z28:Z46" si="15">Q28</f>
        <v>楼层</v>
      </c>
      <c r="AA28" s="2069">
        <f t="shared" si="3"/>
        <v>1</v>
      </c>
      <c r="AB28" s="2069">
        <f t="shared" si="4"/>
        <v>1</v>
      </c>
      <c r="AC28" s="2069">
        <f t="shared" si="5"/>
        <v>1</v>
      </c>
    </row>
    <row r="29" spans="1:29" ht="15">
      <c r="A29" s="1702"/>
      <c r="B29" s="1760">
        <v>111</v>
      </c>
      <c r="C29" s="1710"/>
      <c r="D29" s="1711">
        <v>100</v>
      </c>
      <c r="E29" s="1710"/>
      <c r="F29" s="1754">
        <f>SUMIF(94:94,E29,95:95)-SUMIF(94:94,C29,95:95)+100</f>
        <v>100</v>
      </c>
      <c r="G29" s="1710"/>
      <c r="H29" s="1711">
        <f>SUMIF(94:94,G29,95:95)-SUMIF(94:94,C29,95:95)+100</f>
        <v>100</v>
      </c>
      <c r="I29" s="1710"/>
      <c r="J29" s="1711">
        <f>SUMIF(94:94,I29,95:95)-SUMIF(94:94,C29,95:95)+100</f>
        <v>100</v>
      </c>
      <c r="K29" s="1989"/>
      <c r="L29" s="3000"/>
      <c r="M29" s="2996"/>
      <c r="N29" s="2996"/>
      <c r="O29" s="2996"/>
      <c r="P29" s="4490"/>
      <c r="Q29" s="2071">
        <f t="shared" si="11"/>
        <v>111</v>
      </c>
      <c r="R29" s="1725" t="s">
        <v>25</v>
      </c>
      <c r="S29" s="1726">
        <f t="shared" si="12"/>
        <v>100</v>
      </c>
      <c r="T29" s="1725" t="s">
        <v>25</v>
      </c>
      <c r="U29" s="1726">
        <f t="shared" si="13"/>
        <v>100</v>
      </c>
      <c r="V29" s="1725" t="s">
        <v>25</v>
      </c>
      <c r="W29" s="1726">
        <f t="shared" si="14"/>
        <v>100</v>
      </c>
      <c r="X29" s="2074"/>
      <c r="Y29" s="4492"/>
      <c r="Z29" s="2078">
        <f t="shared" si="15"/>
        <v>111</v>
      </c>
      <c r="AA29" s="2069">
        <f t="shared" si="3"/>
        <v>1</v>
      </c>
      <c r="AB29" s="2069">
        <f t="shared" si="4"/>
        <v>1</v>
      </c>
      <c r="AC29" s="2069">
        <f t="shared" si="5"/>
        <v>1</v>
      </c>
    </row>
    <row r="30" spans="1:29" ht="15">
      <c r="A30" s="1702"/>
      <c r="B30" s="1760">
        <v>111</v>
      </c>
      <c r="C30" s="1710"/>
      <c r="D30" s="1711">
        <v>100</v>
      </c>
      <c r="E30" s="1710"/>
      <c r="F30" s="1754">
        <f>SUMIF(96:96,E30,97:97)-SUMIF(96:96,C30,97:97)+100</f>
        <v>100</v>
      </c>
      <c r="G30" s="1710"/>
      <c r="H30" s="1711">
        <f>SUMIF(96:96,G30,97:97)-SUMIF(96:96,C30,97:97)+100</f>
        <v>100</v>
      </c>
      <c r="I30" s="1710"/>
      <c r="J30" s="1711">
        <f>SUMIF(96:96,I30,97:97)-SUMIF(96:96,C30,97:97)+100</f>
        <v>100</v>
      </c>
      <c r="K30" s="1989"/>
      <c r="L30" s="3000"/>
      <c r="M30" s="2996"/>
      <c r="N30" s="2996"/>
      <c r="O30" s="2996"/>
      <c r="P30" s="4490"/>
      <c r="Q30" s="2071">
        <f t="shared" si="11"/>
        <v>111</v>
      </c>
      <c r="R30" s="1725" t="s">
        <v>25</v>
      </c>
      <c r="S30" s="1726">
        <f t="shared" si="12"/>
        <v>100</v>
      </c>
      <c r="T30" s="1725" t="s">
        <v>25</v>
      </c>
      <c r="U30" s="1726">
        <f t="shared" si="13"/>
        <v>100</v>
      </c>
      <c r="V30" s="1725" t="s">
        <v>25</v>
      </c>
      <c r="W30" s="1726">
        <f t="shared" si="14"/>
        <v>100</v>
      </c>
      <c r="X30" s="2074"/>
      <c r="Y30" s="4492"/>
      <c r="Z30" s="2078">
        <f t="shared" si="15"/>
        <v>111</v>
      </c>
      <c r="AA30" s="2069">
        <f t="shared" si="3"/>
        <v>1</v>
      </c>
      <c r="AB30" s="2069">
        <f t="shared" si="4"/>
        <v>1</v>
      </c>
      <c r="AC30" s="2069">
        <f t="shared" si="5"/>
        <v>1</v>
      </c>
    </row>
    <row r="31" spans="1:29" ht="15.75" thickBot="1">
      <c r="A31" s="1712"/>
      <c r="B31" s="1760">
        <v>111</v>
      </c>
      <c r="C31" s="1714"/>
      <c r="D31" s="1715">
        <v>100</v>
      </c>
      <c r="E31" s="1710"/>
      <c r="F31" s="1716">
        <f>SUMIF(98:98,E31,99:99)-SUMIF(98:98,C31,99:99)+100</f>
        <v>100</v>
      </c>
      <c r="G31" s="1710"/>
      <c r="H31" s="1715">
        <f>SUMIF(98:98,G31,99:99)-SUMIF(98:98,C31,99:99)+100</f>
        <v>100</v>
      </c>
      <c r="I31" s="1710"/>
      <c r="J31" s="1715">
        <f>SUMIF(98:98,I31,99:99)-SUMIF(98:98,C31,99:99)+100</f>
        <v>100</v>
      </c>
      <c r="K31" s="1989"/>
      <c r="L31" s="3000"/>
      <c r="M31" s="2996"/>
      <c r="N31" s="2996"/>
      <c r="O31" s="2996"/>
      <c r="P31" s="4490"/>
      <c r="Q31" s="2071">
        <f t="shared" si="11"/>
        <v>111</v>
      </c>
      <c r="R31" s="1725" t="s">
        <v>25</v>
      </c>
      <c r="S31" s="1726">
        <f t="shared" si="12"/>
        <v>100</v>
      </c>
      <c r="T31" s="1725" t="s">
        <v>25</v>
      </c>
      <c r="U31" s="1726">
        <f t="shared" si="13"/>
        <v>100</v>
      </c>
      <c r="V31" s="1725" t="s">
        <v>25</v>
      </c>
      <c r="W31" s="1726">
        <f t="shared" si="14"/>
        <v>100</v>
      </c>
      <c r="X31" s="2074"/>
      <c r="Y31" s="4492"/>
      <c r="Z31" s="2078">
        <f t="shared" si="15"/>
        <v>111</v>
      </c>
      <c r="AA31" s="2069">
        <f t="shared" si="3"/>
        <v>1</v>
      </c>
      <c r="AB31" s="2069">
        <f t="shared" si="4"/>
        <v>1</v>
      </c>
      <c r="AC31" s="2069">
        <f t="shared" si="5"/>
        <v>1</v>
      </c>
    </row>
    <row r="32" spans="1:29" ht="15">
      <c r="A32" s="1717" t="s">
        <v>2273</v>
      </c>
      <c r="B32" s="1687" t="s">
        <v>2361</v>
      </c>
      <c r="C32" s="1761"/>
      <c r="D32" s="1762">
        <v>100</v>
      </c>
      <c r="E32" s="1761"/>
      <c r="F32" s="1754">
        <f>SUMIF(100:100,E32,101:101)-SUMIF(100:100,C32,101:101)+100</f>
        <v>100</v>
      </c>
      <c r="G32" s="1761"/>
      <c r="H32" s="1711">
        <f>SUMIF(100:100,G32,101:101)-SUMIF(100:100,C32,101:101)+100</f>
        <v>100</v>
      </c>
      <c r="I32" s="1761"/>
      <c r="J32" s="1762">
        <f>SUMIF(100:100,I32,101:101)-SUMIF(100:100,C32,101:101)+100</f>
        <v>100</v>
      </c>
      <c r="K32" s="1992"/>
      <c r="L32" s="3000"/>
      <c r="M32" s="2996"/>
      <c r="N32" s="2996"/>
      <c r="O32" s="2996"/>
      <c r="P32" s="4493" t="s">
        <v>2275</v>
      </c>
      <c r="Q32" s="2071" t="str">
        <f t="shared" si="11"/>
        <v>商业类型</v>
      </c>
      <c r="R32" s="1725" t="s">
        <v>25</v>
      </c>
      <c r="S32" s="1726">
        <f t="shared" si="12"/>
        <v>100</v>
      </c>
      <c r="T32" s="1725" t="s">
        <v>25</v>
      </c>
      <c r="U32" s="1726">
        <f t="shared" si="13"/>
        <v>100</v>
      </c>
      <c r="V32" s="1725" t="s">
        <v>25</v>
      </c>
      <c r="W32" s="1726">
        <f t="shared" si="14"/>
        <v>100</v>
      </c>
      <c r="X32" s="2074"/>
      <c r="Y32" s="4496" t="s">
        <v>2275</v>
      </c>
      <c r="Z32" s="2078" t="str">
        <f t="shared" si="15"/>
        <v>商业类型</v>
      </c>
      <c r="AA32" s="2069">
        <f t="shared" si="3"/>
        <v>1</v>
      </c>
      <c r="AB32" s="2069">
        <f t="shared" si="4"/>
        <v>1</v>
      </c>
      <c r="AC32" s="2069">
        <f t="shared" si="5"/>
        <v>1</v>
      </c>
    </row>
    <row r="33" spans="1:29" s="1771" customFormat="1" ht="15">
      <c r="A33" s="1764"/>
      <c r="B33" s="1695" t="s">
        <v>2276</v>
      </c>
      <c r="C33" s="1765"/>
      <c r="D33" s="1697">
        <v>100</v>
      </c>
      <c r="E33" s="1704"/>
      <c r="F33" s="1699" t="e">
        <f>LOOKUP(E33,103:103,104:104)-LOOKUP(C33,103:103,104:104)+100</f>
        <v>#N/A</v>
      </c>
      <c r="G33" s="1703"/>
      <c r="H33" s="1697" t="e">
        <f>LOOKUP(G33,103:103,104:104)-LOOKUP(C33,103:103,104:104)+100</f>
        <v>#N/A</v>
      </c>
      <c r="I33" s="1703"/>
      <c r="J33" s="1697" t="e">
        <f>LOOKUP(I33,103:103,104:104)-LOOKUP(C33,103:103,104:104)+100</f>
        <v>#N/A</v>
      </c>
      <c r="K33" s="1989"/>
      <c r="L33" s="2999"/>
      <c r="M33" s="2059"/>
      <c r="N33" s="2059"/>
      <c r="O33" s="2059"/>
      <c r="P33" s="4494"/>
      <c r="Q33" s="1766" t="str">
        <f t="shared" si="11"/>
        <v>项目建筑规模</v>
      </c>
      <c r="R33" s="1767" t="s">
        <v>25</v>
      </c>
      <c r="S33" s="1768" t="e">
        <f t="shared" si="12"/>
        <v>#N/A</v>
      </c>
      <c r="T33" s="1767" t="s">
        <v>25</v>
      </c>
      <c r="U33" s="1768" t="e">
        <f t="shared" si="13"/>
        <v>#N/A</v>
      </c>
      <c r="V33" s="1767" t="s">
        <v>25</v>
      </c>
      <c r="W33" s="1768" t="e">
        <f t="shared" si="14"/>
        <v>#N/A</v>
      </c>
      <c r="X33" s="1769"/>
      <c r="Y33" s="4496"/>
      <c r="Z33" s="1770" t="str">
        <f t="shared" si="15"/>
        <v>项目建筑规模</v>
      </c>
      <c r="AA33" s="2069" t="e">
        <f t="shared" si="3"/>
        <v>#N/A</v>
      </c>
      <c r="AB33" s="2069" t="e">
        <f t="shared" si="4"/>
        <v>#N/A</v>
      </c>
      <c r="AC33" s="2069" t="e">
        <f t="shared" si="5"/>
        <v>#N/A</v>
      </c>
    </row>
    <row r="34" spans="1:29" ht="15">
      <c r="A34" s="1772"/>
      <c r="B34" s="1695" t="s">
        <v>2277</v>
      </c>
      <c r="C34" s="1773"/>
      <c r="D34" s="1711">
        <v>100</v>
      </c>
      <c r="E34" s="1774"/>
      <c r="F34" s="1754">
        <f>SUMIF(105:105,E34,106:106)-SUMIF(105:105,C34,106:106)+100</f>
        <v>100</v>
      </c>
      <c r="G34" s="1773"/>
      <c r="H34" s="1711">
        <f>SUMIF(105:105,G34,106:106)-SUMIF(105:105,C34,106:106)+100</f>
        <v>100</v>
      </c>
      <c r="I34" s="1773"/>
      <c r="J34" s="1711">
        <f>SUMIF(105:105,I34,106:106)-SUMIF(105:105,C34,106:106)+100</f>
        <v>100</v>
      </c>
      <c r="K34" s="1992"/>
      <c r="L34" s="3000"/>
      <c r="M34" s="2996"/>
      <c r="N34" s="2996"/>
      <c r="O34" s="2996"/>
      <c r="P34" s="4494"/>
      <c r="Q34" s="2071" t="str">
        <f t="shared" si="11"/>
        <v>建筑结构</v>
      </c>
      <c r="R34" s="1725" t="s">
        <v>25</v>
      </c>
      <c r="S34" s="1726">
        <f t="shared" si="12"/>
        <v>100</v>
      </c>
      <c r="T34" s="1725" t="s">
        <v>25</v>
      </c>
      <c r="U34" s="1726">
        <f t="shared" si="13"/>
        <v>100</v>
      </c>
      <c r="V34" s="1725" t="s">
        <v>25</v>
      </c>
      <c r="W34" s="1726">
        <f t="shared" si="14"/>
        <v>100</v>
      </c>
      <c r="X34" s="2074"/>
      <c r="Y34" s="4496"/>
      <c r="Z34" s="2078" t="str">
        <f t="shared" si="15"/>
        <v>建筑结构</v>
      </c>
      <c r="AA34" s="2069">
        <f t="shared" si="3"/>
        <v>1</v>
      </c>
      <c r="AB34" s="2069">
        <f t="shared" si="4"/>
        <v>1</v>
      </c>
      <c r="AC34" s="2069">
        <f t="shared" si="5"/>
        <v>1</v>
      </c>
    </row>
    <row r="35" spans="1:29" ht="15">
      <c r="A35" s="1772"/>
      <c r="B35" s="1695" t="s">
        <v>2362</v>
      </c>
      <c r="C35" s="1755"/>
      <c r="D35" s="1711">
        <v>100</v>
      </c>
      <c r="E35" s="1755"/>
      <c r="F35" s="1754">
        <f>SUMIF(107:107,E35,108:108)-SUMIF(107:107,C35,108:108)+100</f>
        <v>100</v>
      </c>
      <c r="G35" s="1755"/>
      <c r="H35" s="1711">
        <f>SUMIF(107:107,G35,108:108)-SUMIF(107:107,C35,108:108)+100</f>
        <v>100</v>
      </c>
      <c r="I35" s="1755"/>
      <c r="J35" s="1711">
        <f>SUMIF(107:107,I35,108:108)-SUMIF(107:107,C35,108:108)+100</f>
        <v>100</v>
      </c>
      <c r="K35" s="1992"/>
      <c r="L35" s="3000"/>
      <c r="M35" s="2996"/>
      <c r="N35" s="2996"/>
      <c r="O35" s="2996"/>
      <c r="P35" s="4494"/>
      <c r="Q35" s="2071" t="str">
        <f t="shared" si="11"/>
        <v>公共部分装修</v>
      </c>
      <c r="R35" s="1725" t="s">
        <v>25</v>
      </c>
      <c r="S35" s="1726">
        <f t="shared" si="12"/>
        <v>100</v>
      </c>
      <c r="T35" s="1725" t="s">
        <v>25</v>
      </c>
      <c r="U35" s="1726">
        <f t="shared" si="13"/>
        <v>100</v>
      </c>
      <c r="V35" s="1725" t="s">
        <v>25</v>
      </c>
      <c r="W35" s="1726">
        <f t="shared" si="14"/>
        <v>100</v>
      </c>
      <c r="X35" s="2074"/>
      <c r="Y35" s="4496"/>
      <c r="Z35" s="2078" t="str">
        <f t="shared" si="15"/>
        <v>公共部分装修</v>
      </c>
      <c r="AA35" s="2069">
        <f t="shared" si="3"/>
        <v>1</v>
      </c>
      <c r="AB35" s="2069">
        <f t="shared" si="4"/>
        <v>1</v>
      </c>
      <c r="AC35" s="2069">
        <f t="shared" si="5"/>
        <v>1</v>
      </c>
    </row>
    <row r="36" spans="1:29" ht="15">
      <c r="A36" s="1772"/>
      <c r="B36" s="1695" t="s">
        <v>2363</v>
      </c>
      <c r="C36" s="1776"/>
      <c r="D36" s="1711">
        <v>100</v>
      </c>
      <c r="E36" s="1776"/>
      <c r="F36" s="1754" t="e">
        <f>LOOKUP(E36,110:110,111:111)-LOOKUP(C36,110:110,111:111)+100</f>
        <v>#N/A</v>
      </c>
      <c r="G36" s="1776"/>
      <c r="H36" s="1754" t="e">
        <f>LOOKUP(G36,110:110,111:111)-LOOKUP(C36,110:110,111:111)+100</f>
        <v>#N/A</v>
      </c>
      <c r="I36" s="1776"/>
      <c r="J36" s="1711" t="e">
        <f>LOOKUP(I36,110:110,111:111)-LOOKUP(C36,110:110,111:111)+100</f>
        <v>#N/A</v>
      </c>
      <c r="K36" s="1992"/>
      <c r="L36" s="3000"/>
      <c r="M36" s="2996"/>
      <c r="N36" s="2996"/>
      <c r="O36" s="2996"/>
      <c r="P36" s="4494"/>
      <c r="Q36" s="2071" t="str">
        <f t="shared" si="11"/>
        <v>成新度</v>
      </c>
      <c r="R36" s="1725" t="s">
        <v>25</v>
      </c>
      <c r="S36" s="1726" t="e">
        <f t="shared" si="12"/>
        <v>#N/A</v>
      </c>
      <c r="T36" s="1725" t="s">
        <v>25</v>
      </c>
      <c r="U36" s="1726" t="e">
        <f t="shared" si="13"/>
        <v>#N/A</v>
      </c>
      <c r="V36" s="1725" t="s">
        <v>25</v>
      </c>
      <c r="W36" s="1726" t="e">
        <f t="shared" si="14"/>
        <v>#N/A</v>
      </c>
      <c r="X36" s="2074"/>
      <c r="Y36" s="4496"/>
      <c r="Z36" s="2078" t="str">
        <f t="shared" si="15"/>
        <v>成新度</v>
      </c>
      <c r="AA36" s="2069" t="e">
        <f t="shared" si="3"/>
        <v>#N/A</v>
      </c>
      <c r="AB36" s="2069" t="e">
        <f t="shared" si="4"/>
        <v>#N/A</v>
      </c>
      <c r="AC36" s="2069" t="e">
        <f t="shared" si="5"/>
        <v>#N/A</v>
      </c>
    </row>
    <row r="37" spans="1:29" s="1684" customFormat="1" ht="15">
      <c r="A37" s="1775"/>
      <c r="B37" s="1695" t="s">
        <v>2364</v>
      </c>
      <c r="C37" s="1755"/>
      <c r="D37" s="1697">
        <v>100</v>
      </c>
      <c r="E37" s="1755"/>
      <c r="F37" s="1754">
        <f>SUMIF(112:112,E37,113:113)-SUMIF(112:112,C37,113:113)+100</f>
        <v>100</v>
      </c>
      <c r="G37" s="1755"/>
      <c r="H37" s="1711">
        <f>SUMIF(112:112,G37,113:113)-SUMIF(112:112,C37,113:113)+100</f>
        <v>100</v>
      </c>
      <c r="I37" s="1755"/>
      <c r="J37" s="1711">
        <f>SUMIF(112:112,I37,113:113)-SUMIF(112:112,C37,113:113)+100</f>
        <v>100</v>
      </c>
      <c r="K37" s="1992"/>
      <c r="L37" s="2995"/>
      <c r="M37" s="2968"/>
      <c r="N37" s="2968"/>
      <c r="O37" s="2968"/>
      <c r="P37" s="4494"/>
      <c r="Q37" s="2065" t="str">
        <f t="shared" si="11"/>
        <v>市政基础设施</v>
      </c>
      <c r="R37" s="1680" t="s">
        <v>25</v>
      </c>
      <c r="S37" s="1681">
        <f t="shared" si="12"/>
        <v>100</v>
      </c>
      <c r="T37" s="1680" t="s">
        <v>25</v>
      </c>
      <c r="U37" s="1681">
        <f t="shared" si="13"/>
        <v>100</v>
      </c>
      <c r="V37" s="1680" t="s">
        <v>25</v>
      </c>
      <c r="W37" s="1681">
        <f t="shared" si="14"/>
        <v>100</v>
      </c>
      <c r="X37" s="1682"/>
      <c r="Y37" s="4496"/>
      <c r="Z37" s="1693" t="str">
        <f t="shared" si="15"/>
        <v>市政基础设施</v>
      </c>
      <c r="AA37" s="1683">
        <f t="shared" si="3"/>
        <v>1</v>
      </c>
      <c r="AB37" s="1683">
        <f t="shared" si="4"/>
        <v>1</v>
      </c>
      <c r="AC37" s="1683">
        <f t="shared" si="5"/>
        <v>1</v>
      </c>
    </row>
    <row r="38" spans="1:29" ht="15">
      <c r="A38" s="1772"/>
      <c r="B38" s="1695" t="s">
        <v>2365</v>
      </c>
      <c r="C38" s="1755"/>
      <c r="D38" s="1711">
        <v>100</v>
      </c>
      <c r="E38" s="1755"/>
      <c r="F38" s="1754">
        <f>SUMIF(114:114,E38,115:115)-SUMIF(114:114,C38,115:115)+100</f>
        <v>100</v>
      </c>
      <c r="G38" s="1755"/>
      <c r="H38" s="1711">
        <f>SUMIF(114:114,G38,115:115)-SUMIF(114:114,C38,115:115)+100</f>
        <v>100</v>
      </c>
      <c r="I38" s="1755"/>
      <c r="J38" s="1711">
        <f>SUMIF(114:114,I38,115:115)-SUMIF(114:114,C38,115:115)+100</f>
        <v>100</v>
      </c>
      <c r="K38" s="1992"/>
      <c r="L38" s="3000"/>
      <c r="M38" s="2996"/>
      <c r="N38" s="2996"/>
      <c r="O38" s="2996"/>
      <c r="P38" s="4494" t="s">
        <v>2275</v>
      </c>
      <c r="Q38" s="2071" t="str">
        <f t="shared" si="11"/>
        <v>业态</v>
      </c>
      <c r="R38" s="1725" t="s">
        <v>25</v>
      </c>
      <c r="S38" s="1726">
        <f t="shared" si="12"/>
        <v>100</v>
      </c>
      <c r="T38" s="1725" t="s">
        <v>25</v>
      </c>
      <c r="U38" s="1726">
        <f t="shared" si="13"/>
        <v>100</v>
      </c>
      <c r="V38" s="1725" t="s">
        <v>25</v>
      </c>
      <c r="W38" s="1726">
        <f t="shared" si="14"/>
        <v>100</v>
      </c>
      <c r="X38" s="2074"/>
      <c r="Y38" s="4496" t="s">
        <v>2275</v>
      </c>
      <c r="Z38" s="2078" t="str">
        <f t="shared" si="15"/>
        <v>业态</v>
      </c>
      <c r="AA38" s="2069">
        <f t="shared" si="3"/>
        <v>1</v>
      </c>
      <c r="AB38" s="2069">
        <f t="shared" si="4"/>
        <v>1</v>
      </c>
      <c r="AC38" s="2069">
        <f t="shared" si="5"/>
        <v>1</v>
      </c>
    </row>
    <row r="39" spans="1:29" ht="15">
      <c r="A39" s="1772"/>
      <c r="B39" s="1695" t="s">
        <v>2366</v>
      </c>
      <c r="C39" s="1755"/>
      <c r="D39" s="1711">
        <v>100</v>
      </c>
      <c r="E39" s="1755"/>
      <c r="F39" s="1754">
        <f>SUMIF(116:116,E39,117:117)-SUMIF(116:116,C39,117:117)+100</f>
        <v>100</v>
      </c>
      <c r="G39" s="1755"/>
      <c r="H39" s="1711">
        <f>SUMIF(116:116,G39,117:117)-SUMIF(116:116,C39,117:117)+100</f>
        <v>100</v>
      </c>
      <c r="I39" s="1755"/>
      <c r="J39" s="1711">
        <f>SUMIF(116:116,I39,117:117)-SUMIF(116:116,C39,117:117)+100</f>
        <v>100</v>
      </c>
      <c r="K39" s="1992"/>
      <c r="L39" s="3000"/>
      <c r="M39" s="2996"/>
      <c r="N39" s="2996"/>
      <c r="O39" s="2996"/>
      <c r="P39" s="4494"/>
      <c r="Q39" s="2071" t="str">
        <f t="shared" si="11"/>
        <v>层高</v>
      </c>
      <c r="R39" s="1725" t="s">
        <v>25</v>
      </c>
      <c r="S39" s="1726">
        <f t="shared" si="12"/>
        <v>100</v>
      </c>
      <c r="T39" s="1725" t="s">
        <v>25</v>
      </c>
      <c r="U39" s="1726">
        <f t="shared" si="13"/>
        <v>100</v>
      </c>
      <c r="V39" s="1725" t="s">
        <v>25</v>
      </c>
      <c r="W39" s="1726">
        <f t="shared" si="14"/>
        <v>100</v>
      </c>
      <c r="X39" s="2074"/>
      <c r="Y39" s="4496"/>
      <c r="Z39" s="2078" t="str">
        <f t="shared" si="15"/>
        <v>层高</v>
      </c>
      <c r="AA39" s="2069">
        <f t="shared" si="3"/>
        <v>1</v>
      </c>
      <c r="AB39" s="2069">
        <f t="shared" si="4"/>
        <v>1</v>
      </c>
      <c r="AC39" s="2069">
        <f t="shared" si="5"/>
        <v>1</v>
      </c>
    </row>
    <row r="40" spans="1:29" ht="15">
      <c r="A40" s="1772"/>
      <c r="B40" s="1695" t="s">
        <v>2367</v>
      </c>
      <c r="C40" s="2476"/>
      <c r="D40" s="1711">
        <v>100</v>
      </c>
      <c r="E40" s="2477"/>
      <c r="F40" s="1754">
        <f>SUMIF(118:118,E40,119:119)-SUMIF(118:118,C40,119:119)+100</f>
        <v>100</v>
      </c>
      <c r="G40" s="2477"/>
      <c r="H40" s="1711">
        <f>SUMIF(118:118,G40,119:119)-SUMIF(118:118,C40,119:119)+100</f>
        <v>100</v>
      </c>
      <c r="I40" s="2477"/>
      <c r="J40" s="1711">
        <f>SUMIF(118:118,I40,119:119)-SUMIF(118:118,C40,119:119)+100</f>
        <v>100</v>
      </c>
      <c r="K40" s="1989"/>
      <c r="L40" s="3000"/>
      <c r="M40" s="2996"/>
      <c r="N40" s="2996"/>
      <c r="O40" s="2996"/>
      <c r="P40" s="4494"/>
      <c r="Q40" s="2071" t="str">
        <f t="shared" si="11"/>
        <v>单套建筑面积</v>
      </c>
      <c r="R40" s="1725" t="s">
        <v>25</v>
      </c>
      <c r="S40" s="1726">
        <f t="shared" si="12"/>
        <v>100</v>
      </c>
      <c r="T40" s="1725" t="s">
        <v>25</v>
      </c>
      <c r="U40" s="1726">
        <f t="shared" si="13"/>
        <v>100</v>
      </c>
      <c r="V40" s="1725" t="s">
        <v>25</v>
      </c>
      <c r="W40" s="1726">
        <f t="shared" si="14"/>
        <v>100</v>
      </c>
      <c r="X40" s="2074"/>
      <c r="Y40" s="4496"/>
      <c r="Z40" s="2078" t="str">
        <f t="shared" si="15"/>
        <v>单套建筑面积</v>
      </c>
      <c r="AA40" s="2069">
        <f t="shared" si="3"/>
        <v>1</v>
      </c>
      <c r="AB40" s="2069">
        <f t="shared" si="4"/>
        <v>1</v>
      </c>
      <c r="AC40" s="2069">
        <f t="shared" si="5"/>
        <v>1</v>
      </c>
    </row>
    <row r="41" spans="1:29" s="1771" customFormat="1" ht="15">
      <c r="A41" s="1764"/>
      <c r="B41" s="2070" t="s">
        <v>2368</v>
      </c>
      <c r="C41" s="1991"/>
      <c r="D41" s="1711">
        <v>100</v>
      </c>
      <c r="E41" s="1991"/>
      <c r="F41" s="1754">
        <f>SUMIF(120:120,E41,121:121)-SUMIF(120:120,C41,121:121)+100</f>
        <v>100</v>
      </c>
      <c r="G41" s="1991"/>
      <c r="H41" s="1711">
        <f>SUMIF(120:120,G41,121:121)-SUMIF(120:120,C41,121:121)+100</f>
        <v>100</v>
      </c>
      <c r="I41" s="1991"/>
      <c r="J41" s="1711">
        <f>SUMIF(120:120,I41,121:121)-SUMIF(120:120,C41,121:121)+100</f>
        <v>100</v>
      </c>
      <c r="K41" s="1992"/>
      <c r="L41" s="2999"/>
      <c r="M41" s="2059"/>
      <c r="N41" s="2059"/>
      <c r="O41" s="2059"/>
      <c r="P41" s="4494"/>
      <c r="Q41" s="1766" t="str">
        <f t="shared" si="11"/>
        <v>进深比</v>
      </c>
      <c r="R41" s="1767" t="s">
        <v>25</v>
      </c>
      <c r="S41" s="1768">
        <f t="shared" si="12"/>
        <v>100</v>
      </c>
      <c r="T41" s="1767" t="s">
        <v>25</v>
      </c>
      <c r="U41" s="1768">
        <f t="shared" si="13"/>
        <v>100</v>
      </c>
      <c r="V41" s="1767" t="s">
        <v>25</v>
      </c>
      <c r="W41" s="1768">
        <f t="shared" si="14"/>
        <v>100</v>
      </c>
      <c r="X41" s="1769"/>
      <c r="Y41" s="4496"/>
      <c r="Z41" s="1770" t="str">
        <f t="shared" si="15"/>
        <v>进深比</v>
      </c>
      <c r="AA41" s="2069">
        <f t="shared" si="3"/>
        <v>1</v>
      </c>
      <c r="AB41" s="2069">
        <f t="shared" si="4"/>
        <v>1</v>
      </c>
      <c r="AC41" s="2069">
        <f t="shared" si="5"/>
        <v>1</v>
      </c>
    </row>
    <row r="42" spans="1:29" ht="15">
      <c r="A42" s="1772"/>
      <c r="B42" s="1695" t="s">
        <v>2369</v>
      </c>
      <c r="C42" s="1755"/>
      <c r="D42" s="1711">
        <v>100</v>
      </c>
      <c r="E42" s="1755"/>
      <c r="F42" s="1754">
        <f>SUMIF(122:122,E42,123:123)-SUMIF(122:122,C42,123:123)+100</f>
        <v>100</v>
      </c>
      <c r="G42" s="1755"/>
      <c r="H42" s="1711">
        <f>SUMIF(122:122,G42,123:123)-SUMIF(122:122,C42,123:123)+100</f>
        <v>100</v>
      </c>
      <c r="I42" s="1755"/>
      <c r="J42" s="1711">
        <f>SUMIF(122:122,I42,123:123)-SUMIF(122:122,C42,123:123)+100</f>
        <v>100</v>
      </c>
      <c r="K42" s="1992"/>
      <c r="L42" s="3000"/>
      <c r="M42" s="2996"/>
      <c r="N42" s="2996"/>
      <c r="O42" s="2996"/>
      <c r="P42" s="4494"/>
      <c r="Q42" s="2071" t="str">
        <f t="shared" si="11"/>
        <v>内部装修</v>
      </c>
      <c r="R42" s="1725" t="s">
        <v>25</v>
      </c>
      <c r="S42" s="1726">
        <f t="shared" si="12"/>
        <v>100</v>
      </c>
      <c r="T42" s="1725" t="s">
        <v>25</v>
      </c>
      <c r="U42" s="1726">
        <f t="shared" si="13"/>
        <v>100</v>
      </c>
      <c r="V42" s="1725" t="s">
        <v>25</v>
      </c>
      <c r="W42" s="1726">
        <f t="shared" si="14"/>
        <v>100</v>
      </c>
      <c r="X42" s="2074"/>
      <c r="Y42" s="4496"/>
      <c r="Z42" s="2078" t="str">
        <f t="shared" si="15"/>
        <v>内部装修</v>
      </c>
      <c r="AA42" s="2069">
        <f t="shared" si="3"/>
        <v>1</v>
      </c>
      <c r="AB42" s="2069">
        <f t="shared" si="4"/>
        <v>1</v>
      </c>
      <c r="AC42" s="2069">
        <f t="shared" si="5"/>
        <v>1</v>
      </c>
    </row>
    <row r="43" spans="1:29" ht="15">
      <c r="A43" s="1772"/>
      <c r="B43" s="1695" t="s">
        <v>2286</v>
      </c>
      <c r="C43" s="1755"/>
      <c r="D43" s="1711">
        <v>100</v>
      </c>
      <c r="E43" s="1755"/>
      <c r="F43" s="1754">
        <f>SUMIF(124:124,E43,125:125)-SUMIF(124:124,C43,125:125)+100</f>
        <v>100</v>
      </c>
      <c r="G43" s="1755"/>
      <c r="H43" s="1711">
        <f>SUMIF(124:124,G43,125:125)-SUMIF(124:124,C43,125:125)+100</f>
        <v>100</v>
      </c>
      <c r="I43" s="1755"/>
      <c r="J43" s="1711">
        <f>SUMIF(124:124,I43,125:125)-SUMIF(124:124,C43,125:125)+100</f>
        <v>100</v>
      </c>
      <c r="K43" s="1992"/>
      <c r="L43" s="3000"/>
      <c r="M43" s="2996"/>
      <c r="N43" s="2996"/>
      <c r="O43" s="2996"/>
      <c r="P43" s="4494"/>
      <c r="Q43" s="2071" t="str">
        <f t="shared" si="11"/>
        <v>内部装修维护情况</v>
      </c>
      <c r="R43" s="1725" t="s">
        <v>25</v>
      </c>
      <c r="S43" s="1726">
        <f t="shared" si="12"/>
        <v>100</v>
      </c>
      <c r="T43" s="1725" t="s">
        <v>25</v>
      </c>
      <c r="U43" s="1726">
        <f t="shared" si="13"/>
        <v>100</v>
      </c>
      <c r="V43" s="1725" t="s">
        <v>25</v>
      </c>
      <c r="W43" s="1726">
        <f t="shared" si="14"/>
        <v>100</v>
      </c>
      <c r="X43" s="2074"/>
      <c r="Y43" s="4496"/>
      <c r="Z43" s="2078" t="str">
        <f t="shared" si="15"/>
        <v>内部装修维护情况</v>
      </c>
      <c r="AA43" s="2069">
        <f t="shared" si="3"/>
        <v>1</v>
      </c>
      <c r="AB43" s="2069">
        <f t="shared" si="4"/>
        <v>1</v>
      </c>
      <c r="AC43" s="2069">
        <f t="shared" si="5"/>
        <v>1</v>
      </c>
    </row>
    <row r="44" spans="1:29" s="1684" customFormat="1" ht="15">
      <c r="A44" s="1775"/>
      <c r="B44" s="1760">
        <v>111</v>
      </c>
      <c r="C44" s="1765"/>
      <c r="D44" s="1697">
        <v>100</v>
      </c>
      <c r="E44" s="1710"/>
      <c r="F44" s="1699">
        <f>SUMIF(126:126,E44,127:127)-SUMIF(126:126,C44,127:127)+100</f>
        <v>100</v>
      </c>
      <c r="G44" s="1710"/>
      <c r="H44" s="1697">
        <f>SUMIF(126:126,G44,127:127)-SUMIF(126:126,C44,127:127)+100</f>
        <v>100</v>
      </c>
      <c r="I44" s="1710"/>
      <c r="J44" s="1697">
        <f>SUMIF(126:126,I44,127:127)-SUMIF(126:126,C44,127:127)+100</f>
        <v>100</v>
      </c>
      <c r="K44" s="1989"/>
      <c r="L44" s="2995"/>
      <c r="M44" s="2968"/>
      <c r="N44" s="2968"/>
      <c r="O44" s="2968"/>
      <c r="P44" s="4494"/>
      <c r="Q44" s="2065">
        <f t="shared" si="11"/>
        <v>111</v>
      </c>
      <c r="R44" s="1680" t="s">
        <v>25</v>
      </c>
      <c r="S44" s="1681">
        <f t="shared" si="12"/>
        <v>100</v>
      </c>
      <c r="T44" s="1680" t="s">
        <v>25</v>
      </c>
      <c r="U44" s="1681">
        <f t="shared" si="13"/>
        <v>100</v>
      </c>
      <c r="V44" s="1680" t="s">
        <v>25</v>
      </c>
      <c r="W44" s="1681">
        <f t="shared" si="14"/>
        <v>100</v>
      </c>
      <c r="X44" s="1682"/>
      <c r="Y44" s="4496"/>
      <c r="Z44" s="1693">
        <f t="shared" si="15"/>
        <v>111</v>
      </c>
      <c r="AA44" s="1683">
        <f t="shared" si="3"/>
        <v>1</v>
      </c>
      <c r="AB44" s="1683">
        <f t="shared" si="4"/>
        <v>1</v>
      </c>
      <c r="AC44" s="1683">
        <f t="shared" si="5"/>
        <v>1</v>
      </c>
    </row>
    <row r="45" spans="1:29" ht="15">
      <c r="A45" s="1772"/>
      <c r="B45" s="1760">
        <v>111</v>
      </c>
      <c r="C45" s="1710"/>
      <c r="D45" s="1711">
        <v>100</v>
      </c>
      <c r="E45" s="1710"/>
      <c r="F45" s="1754">
        <f>SUMIF(128:128,E45,129:129)-SUMIF(128:128,C45,129:129)+100</f>
        <v>100</v>
      </c>
      <c r="G45" s="1710"/>
      <c r="H45" s="1711">
        <f>SUMIF(128:128,G45,129:129)-SUMIF(128:128,C45,129:129)+100</f>
        <v>100</v>
      </c>
      <c r="I45" s="1710"/>
      <c r="J45" s="1711">
        <f>SUMIF(128:128,I45,129:129)-SUMIF(128:128,C45,129:129)+100</f>
        <v>100</v>
      </c>
      <c r="K45" s="1989"/>
      <c r="L45" s="3000"/>
      <c r="M45" s="2996"/>
      <c r="N45" s="2996"/>
      <c r="O45" s="2996"/>
      <c r="P45" s="4494"/>
      <c r="Q45" s="2071">
        <f t="shared" si="11"/>
        <v>111</v>
      </c>
      <c r="R45" s="1725" t="s">
        <v>25</v>
      </c>
      <c r="S45" s="1726">
        <f t="shared" si="12"/>
        <v>100</v>
      </c>
      <c r="T45" s="1725" t="s">
        <v>25</v>
      </c>
      <c r="U45" s="1726">
        <f t="shared" si="13"/>
        <v>100</v>
      </c>
      <c r="V45" s="1725" t="s">
        <v>25</v>
      </c>
      <c r="W45" s="1726">
        <f t="shared" si="14"/>
        <v>100</v>
      </c>
      <c r="X45" s="2074"/>
      <c r="Y45" s="4496"/>
      <c r="Z45" s="2078">
        <f t="shared" si="15"/>
        <v>111</v>
      </c>
      <c r="AA45" s="2069">
        <f t="shared" si="3"/>
        <v>1</v>
      </c>
      <c r="AB45" s="2069">
        <f t="shared" si="4"/>
        <v>1</v>
      </c>
      <c r="AC45" s="2069">
        <f t="shared" si="5"/>
        <v>1</v>
      </c>
    </row>
    <row r="46" spans="1:29" ht="15.75" thickBot="1">
      <c r="A46" s="1780"/>
      <c r="B46" s="1713">
        <v>111</v>
      </c>
      <c r="C46" s="1714"/>
      <c r="D46" s="1715">
        <v>100</v>
      </c>
      <c r="E46" s="1710"/>
      <c r="F46" s="1716">
        <f>SUMIF(130:130,E46,131:131)-SUMIF(130:130,C46,131:131)+100</f>
        <v>100</v>
      </c>
      <c r="G46" s="1710"/>
      <c r="H46" s="1715">
        <f>SUMIF(130:130,G46,131:131)-SUMIF(130:130,C46,131:131)+100</f>
        <v>100</v>
      </c>
      <c r="I46" s="1710"/>
      <c r="J46" s="1715">
        <f>SUMIF(130:130,I46,131:131)-SUMIF(130:130,C46,131:131)+100</f>
        <v>100</v>
      </c>
      <c r="K46" s="1989"/>
      <c r="L46" s="3000"/>
      <c r="M46" s="2996"/>
      <c r="N46" s="2996"/>
      <c r="O46" s="2996"/>
      <c r="P46" s="4495"/>
      <c r="Q46" s="2071">
        <f t="shared" si="11"/>
        <v>111</v>
      </c>
      <c r="R46" s="1725" t="s">
        <v>25</v>
      </c>
      <c r="S46" s="1726">
        <f t="shared" si="12"/>
        <v>100</v>
      </c>
      <c r="T46" s="1725" t="s">
        <v>25</v>
      </c>
      <c r="U46" s="1726">
        <f t="shared" si="13"/>
        <v>100</v>
      </c>
      <c r="V46" s="1725" t="s">
        <v>25</v>
      </c>
      <c r="W46" s="1726">
        <f t="shared" si="14"/>
        <v>100</v>
      </c>
      <c r="X46" s="2074"/>
      <c r="Y46" s="4497"/>
      <c r="Z46" s="2078">
        <f t="shared" si="15"/>
        <v>111</v>
      </c>
      <c r="AA46" s="2069">
        <f t="shared" si="3"/>
        <v>1</v>
      </c>
      <c r="AB46" s="2069">
        <f t="shared" si="4"/>
        <v>1</v>
      </c>
      <c r="AC46" s="2069">
        <f t="shared" si="5"/>
        <v>1</v>
      </c>
    </row>
    <row r="47" spans="1:29" ht="15">
      <c r="A47" s="1781" t="s">
        <v>2287</v>
      </c>
      <c r="B47" s="1782"/>
      <c r="C47" s="1783" t="s">
        <v>1</v>
      </c>
      <c r="D47" s="1784"/>
      <c r="E47" s="1785"/>
      <c r="F47" s="1786"/>
      <c r="G47" s="1787"/>
      <c r="H47" s="1788"/>
      <c r="I47" s="1785"/>
      <c r="J47" s="1788"/>
      <c r="K47" s="2013"/>
      <c r="L47" s="3001"/>
      <c r="N47" s="2996"/>
      <c r="P47" s="4488" t="str">
        <f>A47</f>
        <v>成交单价（元/平方米）</v>
      </c>
      <c r="Q47" s="4488"/>
      <c r="R47" s="4484">
        <f>E47</f>
        <v>0</v>
      </c>
      <c r="S47" s="4484"/>
      <c r="T47" s="4484">
        <f>G47</f>
        <v>0</v>
      </c>
      <c r="U47" s="4484"/>
      <c r="V47" s="4484">
        <f>I47</f>
        <v>0</v>
      </c>
      <c r="W47" s="4484"/>
      <c r="X47" s="1791"/>
      <c r="Y47" s="2073"/>
      <c r="Z47" s="1791"/>
      <c r="AA47" s="1791"/>
      <c r="AB47" s="1791"/>
      <c r="AC47" s="1791"/>
    </row>
    <row r="48" spans="1:29" ht="15.75" thickBot="1">
      <c r="A48" s="1793" t="s">
        <v>2370</v>
      </c>
      <c r="B48" s="1794"/>
      <c r="C48" s="1795" t="e">
        <f>R49</f>
        <v>#DIV/0!</v>
      </c>
      <c r="D48" s="1796" t="s">
        <v>2738</v>
      </c>
      <c r="E48" s="1797" t="e">
        <f>R48</f>
        <v>#DIV/0!</v>
      </c>
      <c r="F48" s="1798"/>
      <c r="G48" s="1795" t="e">
        <f>T48</f>
        <v>#DIV/0!</v>
      </c>
      <c r="H48" s="1798"/>
      <c r="I48" s="1797" t="e">
        <f>V48</f>
        <v>#DIV/0!</v>
      </c>
      <c r="J48" s="1798"/>
      <c r="K48" s="2509">
        <f>F48+H48+J48</f>
        <v>0</v>
      </c>
      <c r="L48" s="3001"/>
      <c r="N48" s="2996"/>
      <c r="P48" s="4488" t="str">
        <f>A48</f>
        <v>比较价值（元/平方米）</v>
      </c>
      <c r="Q48" s="4488"/>
      <c r="R48" s="4484" t="e">
        <f>IF(E1="售价",ROUND(PRODUCT(R47,AA7:AA46),0),ROUND(PRODUCT(R47,AA7:AA46),1))</f>
        <v>#DIV/0!</v>
      </c>
      <c r="S48" s="4484"/>
      <c r="T48" s="4484" t="e">
        <f>IF(E1="售价",ROUND(PRODUCT(T47,AB7:AB46),0),ROUND(PRODUCT(T47,AB7:AB46),1))</f>
        <v>#DIV/0!</v>
      </c>
      <c r="U48" s="4484"/>
      <c r="V48" s="4484" t="e">
        <f>IF(E1="售价",ROUND(PRODUCT(V47,AC7:AC46),0),ROUND(PRODUCT(V47,AC7:AC46),1))</f>
        <v>#DIV/0!</v>
      </c>
      <c r="W48" s="4484"/>
      <c r="X48" s="1791"/>
      <c r="Y48" s="1791"/>
      <c r="Z48" s="1791"/>
      <c r="AA48" s="1791"/>
      <c r="AB48" s="1791"/>
      <c r="AC48" s="1791"/>
    </row>
    <row r="49" spans="1:29" ht="15.75" thickBot="1">
      <c r="A49" s="1799" t="s">
        <v>2371</v>
      </c>
      <c r="B49" s="1800"/>
      <c r="C49" s="1802" t="e">
        <f>R49</f>
        <v>#DIV/0!</v>
      </c>
      <c r="D49" s="1802"/>
      <c r="E49" s="1802"/>
      <c r="F49" s="1802"/>
      <c r="G49" s="1802"/>
      <c r="H49" s="1802"/>
      <c r="I49" s="1802"/>
      <c r="J49" s="1802"/>
      <c r="K49" s="2018"/>
      <c r="L49" s="3001"/>
      <c r="N49" s="2996"/>
      <c r="P49" s="4485" t="str">
        <f>A49</f>
        <v>估价对象XX用房的比较价值（楼面单价，元/平方米）</v>
      </c>
      <c r="Q49" s="4486"/>
      <c r="R49" s="4487" t="e">
        <f>IF(E1="售价",ROUND(IF(D48="简单平均",AVERAGE(R48:V48),R48*F48+T48*H48+V48*J48),0),ROUND(IF(D48="简单平均",AVERAGE(R48:V48),R48*F48+T48*H48+V48*J48),1))</f>
        <v>#DIV/0!</v>
      </c>
      <c r="S49" s="4487"/>
      <c r="T49" s="4487"/>
      <c r="U49" s="4487"/>
      <c r="V49" s="4487"/>
      <c r="W49" s="4487"/>
      <c r="X49" s="1791"/>
      <c r="Y49" s="1791"/>
      <c r="Z49" s="1791"/>
      <c r="AA49" s="1791"/>
      <c r="AB49" s="1791"/>
      <c r="AC49" s="1791"/>
    </row>
    <row r="50" spans="1:29">
      <c r="G50" s="3005"/>
      <c r="P50" s="2478"/>
      <c r="Q50" s="1790"/>
      <c r="R50" s="1790"/>
      <c r="S50" s="1790"/>
      <c r="T50" s="1790"/>
      <c r="U50" s="1790"/>
      <c r="V50" s="1790"/>
      <c r="W50" s="1790"/>
      <c r="X50" s="1790"/>
      <c r="Y50" s="1790"/>
      <c r="Z50" s="1790"/>
      <c r="AA50" s="1790"/>
      <c r="AB50" s="1790"/>
      <c r="AC50" s="1790"/>
    </row>
    <row r="51" spans="1:29">
      <c r="P51" s="2478"/>
      <c r="Q51" s="1790"/>
      <c r="R51" s="1790"/>
      <c r="S51" s="1790"/>
      <c r="T51" s="1790"/>
      <c r="U51" s="1790"/>
      <c r="V51" s="1790"/>
      <c r="W51" s="1790"/>
      <c r="X51" s="1790"/>
      <c r="Y51" s="1790"/>
      <c r="Z51" s="1790"/>
      <c r="AA51" s="1790"/>
      <c r="AB51" s="1790"/>
      <c r="AC51" s="1790"/>
    </row>
    <row r="52" spans="1:29" ht="13.5" customHeight="1">
      <c r="C52" s="383" t="s">
        <v>2372</v>
      </c>
      <c r="D52" s="1807"/>
      <c r="E52" s="1808" t="e">
        <f>IF(E47&lt;E48,E48/E47-1,E47/E48-1)</f>
        <v>#DIV/0!</v>
      </c>
      <c r="F52" s="1809" t="e">
        <f>IF(OR(E52&gt;=0.3,E52&lt;=-0.3),"超过30%","")</f>
        <v>#DIV/0!</v>
      </c>
      <c r="G52" s="1808" t="e">
        <f>IF(G47&lt;G48,G48/G47-1,G47/G48-1)</f>
        <v>#DIV/0!</v>
      </c>
      <c r="H52" s="1809" t="e">
        <f>IF(OR(G52&gt;=0.3,G52&lt;=-0.3),"超过30%","")</f>
        <v>#DIV/0!</v>
      </c>
      <c r="I52" s="1808" t="e">
        <f>IF(I47&lt;I48,I48/I47-1,I47/I48-1)</f>
        <v>#DIV/0!</v>
      </c>
      <c r="J52" s="1809" t="e">
        <f>IF(OR(I52&gt;=0.3,I52&lt;=-0.3),"超过30%","")</f>
        <v>#DIV/0!</v>
      </c>
      <c r="P52" s="2478"/>
      <c r="Q52" s="1790"/>
      <c r="R52" s="1790"/>
      <c r="S52" s="1790"/>
      <c r="T52" s="1790"/>
      <c r="U52" s="1790"/>
      <c r="V52" s="1790"/>
      <c r="W52" s="1790"/>
      <c r="X52" s="1790"/>
      <c r="Y52" s="1790"/>
      <c r="Z52" s="1790"/>
      <c r="AA52" s="1790"/>
      <c r="AB52" s="1790"/>
      <c r="AC52" s="1790"/>
    </row>
    <row r="53" spans="1:29" ht="13.5" customHeight="1">
      <c r="C53" s="383" t="s">
        <v>2373</v>
      </c>
      <c r="D53" s="1810"/>
      <c r="E53" s="1808" t="e">
        <f>IF(E48&lt;G48,G48/E48-1,E48/G48-1)</f>
        <v>#DIV/0!</v>
      </c>
      <c r="F53" s="1809" t="e">
        <f>IF(OR(E53&gt;=0.2,E53&lt;=-0.2),"超过20%","")</f>
        <v>#DIV/0!</v>
      </c>
      <c r="G53" s="1808" t="e">
        <f>IF(G48&lt;I48,I48/G48-1,G48/I48-1)</f>
        <v>#DIV/0!</v>
      </c>
      <c r="H53" s="1809" t="e">
        <f>IF(OR(G53&gt;=0.2,G53&lt;=-0.2),"超过20%","")</f>
        <v>#DIV/0!</v>
      </c>
      <c r="I53" s="1808" t="e">
        <f>IF(I48&lt;E48,E48/I48-1,I48/E48-1)</f>
        <v>#DIV/0!</v>
      </c>
      <c r="J53" s="1809" t="e">
        <f>IF(OR(I53&gt;=0.2,I53&lt;=-0.2),"超过20%","")</f>
        <v>#DIV/0!</v>
      </c>
      <c r="P53" s="2478"/>
      <c r="Q53" s="1790"/>
      <c r="R53" s="1790"/>
      <c r="S53" s="1790"/>
      <c r="T53" s="1790"/>
      <c r="U53" s="1790"/>
      <c r="V53" s="1790"/>
      <c r="W53" s="1790"/>
      <c r="X53" s="1790"/>
      <c r="Y53" s="1790"/>
      <c r="Z53" s="1790"/>
      <c r="AA53" s="1790"/>
      <c r="AB53" s="1790"/>
      <c r="AC53" s="1790"/>
    </row>
    <row r="54" spans="1:29" s="1813" customFormat="1" ht="13.5" customHeight="1">
      <c r="C54" s="383" t="s">
        <v>2374</v>
      </c>
      <c r="D54" s="1810"/>
      <c r="E54" s="1808" t="e">
        <f>IF(E47&lt;G47,G47/E47-1,E47/G47-1)</f>
        <v>#DIV/0!</v>
      </c>
      <c r="F54" s="1809" t="e">
        <f>IF(OR(E54&gt;=0.3,E54&lt;=-0.3),"超过30%","")</f>
        <v>#DIV/0!</v>
      </c>
      <c r="G54" s="1808" t="e">
        <f>IF(G47&lt;I47,I47/G47-1,G47/I47-1)</f>
        <v>#DIV/0!</v>
      </c>
      <c r="H54" s="1809" t="e">
        <f>IF(OR(G54&gt;=0.3,G54&lt;=-0.3),"超过30%","")</f>
        <v>#DIV/0!</v>
      </c>
      <c r="I54" s="1808" t="e">
        <f>IF(I47&lt;E47,E47/I47-1,I47/E47-1)</f>
        <v>#DIV/0!</v>
      </c>
      <c r="J54" s="1809" t="e">
        <f>IF(OR(I54&gt;=0.3,I54&lt;=-0.3),"超过30%","")</f>
        <v>#DIV/0!</v>
      </c>
      <c r="K54" s="3008"/>
      <c r="L54" s="3002"/>
      <c r="P54" s="2479"/>
      <c r="Q54" s="1811"/>
      <c r="R54" s="1811"/>
      <c r="S54" s="1811"/>
      <c r="T54" s="1811"/>
      <c r="U54" s="1811"/>
      <c r="V54" s="1811"/>
      <c r="W54" s="1811"/>
      <c r="X54" s="1811"/>
      <c r="Y54" s="1811"/>
      <c r="Z54" s="1811"/>
      <c r="AA54" s="1811"/>
      <c r="AB54" s="1811"/>
      <c r="AC54" s="1811"/>
    </row>
    <row r="55" spans="1:29" s="1813" customFormat="1">
      <c r="B55" s="3006"/>
      <c r="C55" s="3007"/>
      <c r="K55" s="3008"/>
      <c r="L55" s="3002"/>
      <c r="P55" s="2479"/>
      <c r="Q55" s="1811"/>
      <c r="R55" s="1811"/>
      <c r="S55" s="1811"/>
      <c r="T55" s="1811"/>
      <c r="U55" s="1811"/>
      <c r="V55" s="1811"/>
      <c r="W55" s="1811"/>
      <c r="X55" s="1811"/>
      <c r="Y55" s="1811"/>
      <c r="Z55" s="1811"/>
      <c r="AA55" s="1811"/>
      <c r="AB55" s="1811"/>
      <c r="AC55" s="1811"/>
    </row>
    <row r="56" spans="1:29">
      <c r="B56" s="3006"/>
      <c r="C56" s="3007"/>
      <c r="P56" s="2478"/>
      <c r="Q56" s="1790"/>
      <c r="R56" s="1790"/>
      <c r="S56" s="1790"/>
      <c r="T56" s="1790"/>
      <c r="U56" s="1790"/>
      <c r="V56" s="1790"/>
      <c r="W56" s="1790"/>
      <c r="X56" s="1790"/>
      <c r="Y56" s="1790"/>
      <c r="Z56" s="1790"/>
      <c r="AA56" s="1790"/>
      <c r="AB56" s="1790"/>
      <c r="AC56" s="1790"/>
    </row>
    <row r="57" spans="1:29" ht="21.75" thickBot="1">
      <c r="A57" s="1816" t="s">
        <v>2375</v>
      </c>
      <c r="B57" s="1791"/>
      <c r="C57" s="1817"/>
      <c r="D57" s="1817"/>
      <c r="E57" s="1817"/>
      <c r="F57" s="1817"/>
      <c r="G57" s="1817"/>
      <c r="H57" s="1817"/>
      <c r="I57" s="1817"/>
      <c r="J57" s="1817"/>
      <c r="K57" s="1818"/>
      <c r="L57" s="2044"/>
      <c r="M57" s="2042"/>
      <c r="N57" s="3004"/>
      <c r="O57" s="3004"/>
      <c r="P57" s="2480"/>
      <c r="Q57" s="2481"/>
      <c r="R57" s="1790"/>
      <c r="S57" s="1790"/>
      <c r="T57" s="1790"/>
      <c r="U57" s="1790"/>
      <c r="V57" s="1790"/>
      <c r="W57" s="1790"/>
      <c r="X57" s="1790"/>
      <c r="Y57" s="1790"/>
      <c r="Z57" s="1790"/>
      <c r="AA57" s="1790"/>
      <c r="AB57" s="1790"/>
      <c r="AC57" s="1790"/>
    </row>
    <row r="58" spans="1:29" s="1827" customFormat="1" ht="15">
      <c r="A58" s="1822" t="s">
        <v>2257</v>
      </c>
      <c r="B58" s="1823"/>
      <c r="C58" s="1824" t="str">
        <f>YEAR(C7)&amp;"-"&amp;MONTH(C7)</f>
        <v>2016-2</v>
      </c>
      <c r="D58" s="1825">
        <f>EDATE(C58,-1)</f>
        <v>42370</v>
      </c>
      <c r="E58" s="1825">
        <f t="shared" ref="E58:O58" si="16">EDATE(D58,-1)</f>
        <v>42339</v>
      </c>
      <c r="F58" s="1825">
        <f t="shared" si="16"/>
        <v>42309</v>
      </c>
      <c r="G58" s="1825">
        <f t="shared" si="16"/>
        <v>42278</v>
      </c>
      <c r="H58" s="1825">
        <f t="shared" si="16"/>
        <v>42248</v>
      </c>
      <c r="I58" s="1825">
        <f t="shared" si="16"/>
        <v>42217</v>
      </c>
      <c r="J58" s="1825">
        <f t="shared" si="16"/>
        <v>42186</v>
      </c>
      <c r="K58" s="1825">
        <f t="shared" si="16"/>
        <v>42156</v>
      </c>
      <c r="L58" s="1825">
        <f t="shared" si="16"/>
        <v>42125</v>
      </c>
      <c r="M58" s="1825">
        <f t="shared" si="16"/>
        <v>42095</v>
      </c>
      <c r="N58" s="1825">
        <f t="shared" si="16"/>
        <v>42064</v>
      </c>
      <c r="O58" s="1825">
        <f t="shared" si="16"/>
        <v>42036</v>
      </c>
      <c r="P58" s="1826"/>
    </row>
    <row r="59" spans="1:29" s="1684" customFormat="1" ht="15">
      <c r="A59" s="1828"/>
      <c r="B59" s="1829"/>
      <c r="C59" s="1830">
        <v>100</v>
      </c>
      <c r="D59" s="1831"/>
      <c r="E59" s="1831"/>
      <c r="F59" s="1831"/>
      <c r="G59" s="1831"/>
      <c r="H59" s="1831"/>
      <c r="I59" s="1831"/>
      <c r="J59" s="1831"/>
      <c r="K59" s="1831"/>
      <c r="L59" s="1831"/>
      <c r="M59" s="1832"/>
      <c r="N59" s="1831"/>
      <c r="O59" s="1832"/>
      <c r="P59" s="1833"/>
    </row>
    <row r="60" spans="1:29" s="1684" customFormat="1" ht="15.75" thickBot="1">
      <c r="A60" s="1834" t="s">
        <v>2295</v>
      </c>
      <c r="B60" s="1835"/>
      <c r="C60" s="1836"/>
      <c r="D60" s="1837"/>
      <c r="E60" s="1837"/>
      <c r="F60" s="1837"/>
      <c r="G60" s="1837"/>
      <c r="H60" s="1837"/>
      <c r="I60" s="1837"/>
      <c r="J60" s="1837"/>
      <c r="K60" s="1837"/>
      <c r="L60" s="1837"/>
      <c r="M60" s="1838"/>
      <c r="N60" s="1837"/>
      <c r="O60" s="1838"/>
      <c r="P60" s="1833"/>
      <c r="Q60" s="1821"/>
    </row>
    <row r="61" spans="1:29" s="1684" customFormat="1" ht="15">
      <c r="A61" s="1839" t="s">
        <v>2259</v>
      </c>
      <c r="B61" s="1829"/>
      <c r="C61" s="1840" t="s">
        <v>2260</v>
      </c>
      <c r="D61" s="409"/>
      <c r="E61" s="409"/>
      <c r="F61" s="409"/>
      <c r="G61" s="409"/>
      <c r="H61" s="409"/>
      <c r="I61" s="409"/>
      <c r="J61" s="409"/>
      <c r="K61" s="409"/>
      <c r="L61" s="409"/>
      <c r="M61" s="1841"/>
      <c r="N61" s="3013"/>
      <c r="O61" s="3013"/>
      <c r="P61" s="1843"/>
      <c r="Q61" s="1821"/>
    </row>
    <row r="62" spans="1:29" s="1684" customFormat="1" ht="15.75" thickBot="1">
      <c r="A62" s="1839"/>
      <c r="B62" s="1829"/>
      <c r="C62" s="1844">
        <v>100</v>
      </c>
      <c r="D62" s="1831"/>
      <c r="E62" s="1831"/>
      <c r="F62" s="1831"/>
      <c r="G62" s="1831"/>
      <c r="H62" s="1831"/>
      <c r="I62" s="1831"/>
      <c r="J62" s="1831"/>
      <c r="K62" s="1831"/>
      <c r="L62" s="1831"/>
      <c r="M62" s="1845"/>
      <c r="N62" s="3013"/>
      <c r="O62" s="3013"/>
      <c r="P62" s="1833"/>
      <c r="Q62" s="1821"/>
    </row>
    <row r="63" spans="1:29">
      <c r="A63" s="1846" t="s">
        <v>2298</v>
      </c>
      <c r="B63" s="1847" t="s">
        <v>2263</v>
      </c>
      <c r="C63" s="1848">
        <f>C9</f>
        <v>0</v>
      </c>
      <c r="D63" s="1849"/>
      <c r="E63" s="1849"/>
      <c r="F63" s="1849"/>
      <c r="G63" s="1849"/>
      <c r="H63" s="1849"/>
      <c r="I63" s="1849"/>
      <c r="J63" s="1849"/>
      <c r="K63" s="417"/>
      <c r="L63" s="417"/>
      <c r="M63" s="1850"/>
      <c r="N63" s="3014"/>
      <c r="O63" s="3014"/>
      <c r="P63" s="1852"/>
      <c r="Q63" s="1821"/>
    </row>
    <row r="64" spans="1:29" ht="15.75" thickBot="1">
      <c r="A64" s="1853"/>
      <c r="B64" s="1854"/>
      <c r="C64" s="1855">
        <v>100</v>
      </c>
      <c r="D64" s="1855"/>
      <c r="E64" s="1855"/>
      <c r="F64" s="1855"/>
      <c r="G64" s="1855"/>
      <c r="H64" s="1855"/>
      <c r="I64" s="1855"/>
      <c r="J64" s="1855"/>
      <c r="K64" s="1855"/>
      <c r="L64" s="1855"/>
      <c r="M64" s="1856"/>
      <c r="N64" s="3015"/>
      <c r="O64" s="3015"/>
      <c r="P64" s="1852"/>
      <c r="Q64" s="1821"/>
    </row>
    <row r="65" spans="1:17" ht="27.75" thickTop="1">
      <c r="A65" s="1853"/>
      <c r="B65" s="1858" t="s">
        <v>2266</v>
      </c>
      <c r="C65" s="1859" t="s">
        <v>2299</v>
      </c>
      <c r="D65" s="1859" t="s">
        <v>2300</v>
      </c>
      <c r="E65" s="1859" t="s">
        <v>2301</v>
      </c>
      <c r="F65" s="1859" t="s">
        <v>2302</v>
      </c>
      <c r="G65" s="1859" t="s">
        <v>2303</v>
      </c>
      <c r="H65" s="1859" t="s">
        <v>2304</v>
      </c>
      <c r="I65" s="1859" t="s">
        <v>2305</v>
      </c>
      <c r="J65" s="1859"/>
      <c r="K65" s="428"/>
      <c r="L65" s="428"/>
      <c r="M65" s="1860"/>
      <c r="N65" s="3014"/>
      <c r="O65" s="3014"/>
      <c r="P65" s="1852"/>
      <c r="Q65" s="1821"/>
    </row>
    <row r="66" spans="1:17" ht="15.75" thickBot="1">
      <c r="A66" s="1853"/>
      <c r="B66" s="1861"/>
      <c r="C66" s="1862" t="s">
        <v>36</v>
      </c>
      <c r="D66" s="1862" t="s">
        <v>37</v>
      </c>
      <c r="E66" s="1862" t="s">
        <v>38</v>
      </c>
      <c r="F66" s="1862">
        <v>100</v>
      </c>
      <c r="G66" s="1862">
        <f>F66-$K10</f>
        <v>100</v>
      </c>
      <c r="H66" s="1862">
        <f>G66-$K10</f>
        <v>100</v>
      </c>
      <c r="I66" s="1862">
        <f>H66-$K10</f>
        <v>100</v>
      </c>
      <c r="J66" s="1862"/>
      <c r="K66" s="1862"/>
      <c r="L66" s="1862"/>
      <c r="M66" s="1863"/>
      <c r="N66" s="3015"/>
      <c r="O66" s="3015"/>
      <c r="P66" s="1852"/>
      <c r="Q66" s="1821"/>
    </row>
    <row r="67" spans="1:17" ht="15.75" thickTop="1">
      <c r="A67" s="1853"/>
      <c r="B67" s="1864" t="s">
        <v>2267</v>
      </c>
      <c r="C67" s="1865" t="str">
        <f>C68&amp;"（含）"&amp;"-"&amp;D68</f>
        <v>（含）-</v>
      </c>
      <c r="D67" s="1865" t="str">
        <f t="shared" ref="D67:L67" si="17">D68&amp;"（含）"&amp;"-"&amp;E68</f>
        <v>（含）-</v>
      </c>
      <c r="E67" s="1865" t="str">
        <f t="shared" si="17"/>
        <v>（含）-</v>
      </c>
      <c r="F67" s="1865" t="str">
        <f t="shared" si="17"/>
        <v>（含）-</v>
      </c>
      <c r="G67" s="1865" t="str">
        <f t="shared" si="17"/>
        <v>（含）-</v>
      </c>
      <c r="H67" s="1865" t="str">
        <f t="shared" si="17"/>
        <v>（含）-</v>
      </c>
      <c r="I67" s="1865" t="str">
        <f t="shared" si="17"/>
        <v>（含）-</v>
      </c>
      <c r="J67" s="1865" t="str">
        <f t="shared" si="17"/>
        <v>（含）-</v>
      </c>
      <c r="K67" s="1865" t="str">
        <f t="shared" si="17"/>
        <v>（含）-</v>
      </c>
      <c r="L67" s="1865" t="str">
        <f t="shared" si="17"/>
        <v>（含）-</v>
      </c>
      <c r="M67" s="1731" t="str">
        <f>M68&amp;"（含）"&amp;"-"&amp;P68</f>
        <v>（含）-</v>
      </c>
      <c r="N67" s="3015"/>
      <c r="O67" s="3015"/>
      <c r="P67" s="1852"/>
      <c r="Q67" s="1821"/>
    </row>
    <row r="68" spans="1:17" ht="15">
      <c r="A68" s="1853"/>
      <c r="B68" s="1866"/>
      <c r="C68" s="1867"/>
      <c r="D68" s="1867"/>
      <c r="E68" s="1867"/>
      <c r="F68" s="1867"/>
      <c r="G68" s="1867"/>
      <c r="H68" s="1867"/>
      <c r="I68" s="1867"/>
      <c r="J68" s="1867"/>
      <c r="K68" s="438"/>
      <c r="L68" s="438"/>
      <c r="M68" s="1868"/>
      <c r="N68" s="3014"/>
      <c r="O68" s="3014"/>
      <c r="P68" s="1852"/>
      <c r="Q68" s="1821"/>
    </row>
    <row r="69" spans="1:17" ht="15.75" thickBot="1">
      <c r="A69" s="1853"/>
      <c r="B69" s="1854"/>
      <c r="C69" s="1862">
        <v>100</v>
      </c>
      <c r="D69" s="1862">
        <f t="shared" ref="D69:M69" si="18">C69-$K11</f>
        <v>100</v>
      </c>
      <c r="E69" s="1862">
        <f t="shared" si="18"/>
        <v>100</v>
      </c>
      <c r="F69" s="1862">
        <f t="shared" si="18"/>
        <v>100</v>
      </c>
      <c r="G69" s="1862">
        <f t="shared" si="18"/>
        <v>100</v>
      </c>
      <c r="H69" s="1862">
        <f t="shared" si="18"/>
        <v>100</v>
      </c>
      <c r="I69" s="1862">
        <f t="shared" si="18"/>
        <v>100</v>
      </c>
      <c r="J69" s="1862">
        <f t="shared" si="18"/>
        <v>100</v>
      </c>
      <c r="K69" s="1862">
        <f t="shared" si="18"/>
        <v>100</v>
      </c>
      <c r="L69" s="1862">
        <f t="shared" si="18"/>
        <v>100</v>
      </c>
      <c r="M69" s="1863">
        <f t="shared" si="18"/>
        <v>100</v>
      </c>
      <c r="N69" s="3015"/>
      <c r="O69" s="3015"/>
      <c r="P69" s="1852"/>
      <c r="Q69" s="1821"/>
    </row>
    <row r="70" spans="1:17" s="1771" customFormat="1" ht="15.75" thickTop="1">
      <c r="A70" s="1869"/>
      <c r="B70" s="1858">
        <f>B12</f>
        <v>111</v>
      </c>
      <c r="C70" s="468"/>
      <c r="D70" s="468"/>
      <c r="E70" s="468"/>
      <c r="F70" s="468"/>
      <c r="G70" s="468"/>
      <c r="H70" s="443"/>
      <c r="I70" s="443"/>
      <c r="J70" s="443"/>
      <c r="K70" s="443"/>
      <c r="L70" s="443"/>
      <c r="M70" s="1870"/>
      <c r="N70" s="3016"/>
      <c r="O70" s="3016"/>
      <c r="P70" s="1872"/>
      <c r="Q70" s="1873"/>
    </row>
    <row r="71" spans="1:17" s="1771" customFormat="1" ht="15.75" thickBot="1">
      <c r="A71" s="1869"/>
      <c r="B71" s="1861"/>
      <c r="C71" s="1874"/>
      <c r="D71" s="1855"/>
      <c r="E71" s="1855"/>
      <c r="F71" s="1855"/>
      <c r="G71" s="1855"/>
      <c r="H71" s="1855"/>
      <c r="I71" s="1855"/>
      <c r="J71" s="1855"/>
      <c r="K71" s="1855"/>
      <c r="L71" s="1855"/>
      <c r="M71" s="1856"/>
      <c r="N71" s="3015"/>
      <c r="O71" s="3015"/>
      <c r="P71" s="1872"/>
      <c r="Q71" s="1873"/>
    </row>
    <row r="72" spans="1:17" s="1771" customFormat="1" ht="15.75" thickTop="1">
      <c r="A72" s="1869"/>
      <c r="B72" s="1858">
        <f>B13</f>
        <v>111</v>
      </c>
      <c r="C72" s="468"/>
      <c r="D72" s="468"/>
      <c r="E72" s="468"/>
      <c r="F72" s="468"/>
      <c r="G72" s="468"/>
      <c r="H72" s="443"/>
      <c r="I72" s="443"/>
      <c r="J72" s="443"/>
      <c r="K72" s="443"/>
      <c r="L72" s="443"/>
      <c r="M72" s="1870"/>
      <c r="N72" s="3016"/>
      <c r="O72" s="3016"/>
      <c r="P72" s="1875"/>
      <c r="Q72" s="1876"/>
    </row>
    <row r="73" spans="1:17" s="1771" customFormat="1" ht="15.75" thickBot="1">
      <c r="A73" s="1869"/>
      <c r="B73" s="1861"/>
      <c r="C73" s="1874"/>
      <c r="D73" s="1855"/>
      <c r="E73" s="1855"/>
      <c r="F73" s="1855"/>
      <c r="G73" s="1874"/>
      <c r="H73" s="1877"/>
      <c r="I73" s="1877"/>
      <c r="J73" s="1877"/>
      <c r="K73" s="1877"/>
      <c r="L73" s="1877"/>
      <c r="M73" s="1878"/>
      <c r="N73" s="3016"/>
      <c r="O73" s="3016"/>
      <c r="P73" s="1872"/>
      <c r="Q73" s="1873"/>
    </row>
    <row r="74" spans="1:17" s="1771" customFormat="1" ht="15.75" thickTop="1">
      <c r="A74" s="1869"/>
      <c r="B74" s="1864">
        <f>B14</f>
        <v>111</v>
      </c>
      <c r="C74" s="468"/>
      <c r="D74" s="468"/>
      <c r="E74" s="468"/>
      <c r="F74" s="468"/>
      <c r="G74" s="409"/>
      <c r="H74" s="453"/>
      <c r="I74" s="453"/>
      <c r="J74" s="453"/>
      <c r="K74" s="453"/>
      <c r="L74" s="453"/>
      <c r="M74" s="1879"/>
      <c r="N74" s="3016"/>
      <c r="O74" s="3016"/>
      <c r="P74" s="1872"/>
      <c r="Q74" s="1873"/>
    </row>
    <row r="75" spans="1:17" s="1771" customFormat="1" ht="15.75" thickBot="1">
      <c r="A75" s="1880"/>
      <c r="B75" s="1881"/>
      <c r="C75" s="1882"/>
      <c r="D75" s="1882"/>
      <c r="E75" s="1882"/>
      <c r="F75" s="1882"/>
      <c r="G75" s="1882"/>
      <c r="H75" s="1883"/>
      <c r="I75" s="1883"/>
      <c r="J75" s="1883"/>
      <c r="K75" s="1883"/>
      <c r="L75" s="1883"/>
      <c r="M75" s="1884"/>
      <c r="N75" s="3016"/>
      <c r="O75" s="3016"/>
      <c r="P75" s="1872"/>
      <c r="Q75" s="1873"/>
    </row>
    <row r="76" spans="1:17">
      <c r="A76" s="1846" t="s">
        <v>2268</v>
      </c>
      <c r="B76" s="1847" t="s">
        <v>2306</v>
      </c>
      <c r="C76" s="1885" t="s">
        <v>2307</v>
      </c>
      <c r="D76" s="1885" t="s">
        <v>2308</v>
      </c>
      <c r="E76" s="1885" t="s">
        <v>2309</v>
      </c>
      <c r="F76" s="1885" t="s">
        <v>2310</v>
      </c>
      <c r="G76" s="1885" t="s">
        <v>2311</v>
      </c>
      <c r="H76" s="1848"/>
      <c r="I76" s="1848"/>
      <c r="J76" s="1848"/>
      <c r="K76" s="463"/>
      <c r="L76" s="463"/>
      <c r="M76" s="1886"/>
      <c r="N76" s="3014"/>
      <c r="O76" s="3014"/>
      <c r="P76" s="1852"/>
      <c r="Q76" s="1821"/>
    </row>
    <row r="77" spans="1:17" ht="15.75" thickBot="1">
      <c r="A77" s="1853"/>
      <c r="B77" s="1861"/>
      <c r="C77" s="1862">
        <v>100</v>
      </c>
      <c r="D77" s="1862">
        <f>C77-$K15</f>
        <v>100</v>
      </c>
      <c r="E77" s="1862">
        <f>D77-$K15</f>
        <v>100</v>
      </c>
      <c r="F77" s="1862">
        <f>E77-$K15</f>
        <v>100</v>
      </c>
      <c r="G77" s="1862">
        <f>F77-$K15</f>
        <v>100</v>
      </c>
      <c r="H77" s="1862"/>
      <c r="I77" s="1862"/>
      <c r="J77" s="1862"/>
      <c r="K77" s="1862"/>
      <c r="L77" s="1862"/>
      <c r="M77" s="1863"/>
      <c r="N77" s="3015"/>
      <c r="O77" s="3015"/>
      <c r="P77" s="1852"/>
      <c r="Q77" s="1821"/>
    </row>
    <row r="78" spans="1:17" ht="15.75" thickTop="1">
      <c r="A78" s="1853"/>
      <c r="B78" s="1858" t="s">
        <v>2312</v>
      </c>
      <c r="C78" s="579" t="s">
        <v>2307</v>
      </c>
      <c r="D78" s="579" t="s">
        <v>2308</v>
      </c>
      <c r="E78" s="579" t="s">
        <v>2309</v>
      </c>
      <c r="F78" s="579" t="s">
        <v>2310</v>
      </c>
      <c r="G78" s="579" t="s">
        <v>2311</v>
      </c>
      <c r="H78" s="1859"/>
      <c r="I78" s="1859"/>
      <c r="J78" s="1859"/>
      <c r="K78" s="428"/>
      <c r="L78" s="428"/>
      <c r="M78" s="1860"/>
      <c r="N78" s="3014"/>
      <c r="O78" s="3014"/>
      <c r="P78" s="1852"/>
      <c r="Q78" s="1821"/>
    </row>
    <row r="79" spans="1:17" ht="15.75" thickBot="1">
      <c r="A79" s="1853"/>
      <c r="B79" s="1861"/>
      <c r="C79" s="1862">
        <v>100</v>
      </c>
      <c r="D79" s="1862">
        <f>C79-$K17</f>
        <v>100</v>
      </c>
      <c r="E79" s="1862">
        <f>D79-$K17</f>
        <v>100</v>
      </c>
      <c r="F79" s="1862">
        <f>E79-$K17</f>
        <v>100</v>
      </c>
      <c r="G79" s="1862">
        <f>F79-$K17</f>
        <v>100</v>
      </c>
      <c r="H79" s="1862"/>
      <c r="I79" s="1862"/>
      <c r="J79" s="1862"/>
      <c r="K79" s="1862"/>
      <c r="L79" s="1862"/>
      <c r="M79" s="1863"/>
      <c r="N79" s="3015"/>
      <c r="O79" s="3015"/>
      <c r="P79" s="1852"/>
      <c r="Q79" s="1821"/>
    </row>
    <row r="80" spans="1:17" ht="15.75" thickTop="1">
      <c r="A80" s="1853"/>
      <c r="B80" s="1858" t="s">
        <v>2313</v>
      </c>
      <c r="C80" s="579" t="s">
        <v>2307</v>
      </c>
      <c r="D80" s="579" t="s">
        <v>2308</v>
      </c>
      <c r="E80" s="579" t="s">
        <v>2309</v>
      </c>
      <c r="F80" s="579" t="s">
        <v>2310</v>
      </c>
      <c r="G80" s="579" t="s">
        <v>2311</v>
      </c>
      <c r="H80" s="1859"/>
      <c r="I80" s="1859"/>
      <c r="J80" s="1859"/>
      <c r="K80" s="428"/>
      <c r="L80" s="428"/>
      <c r="M80" s="1860"/>
      <c r="N80" s="3014"/>
      <c r="O80" s="3014"/>
      <c r="P80" s="1852"/>
      <c r="Q80" s="1821"/>
    </row>
    <row r="81" spans="1:17" ht="15.75" thickBot="1">
      <c r="A81" s="1853"/>
      <c r="B81" s="1861"/>
      <c r="C81" s="1862">
        <v>100</v>
      </c>
      <c r="D81" s="1862">
        <f>C81-$K19</f>
        <v>100</v>
      </c>
      <c r="E81" s="1862">
        <f>D81-$K19</f>
        <v>100</v>
      </c>
      <c r="F81" s="1862">
        <f>E81-$K19</f>
        <v>100</v>
      </c>
      <c r="G81" s="1862">
        <f>F81-$K19</f>
        <v>100</v>
      </c>
      <c r="H81" s="1862"/>
      <c r="I81" s="1862"/>
      <c r="J81" s="1862"/>
      <c r="K81" s="1862"/>
      <c r="L81" s="1862"/>
      <c r="M81" s="1863"/>
      <c r="N81" s="3015"/>
      <c r="O81" s="3015"/>
      <c r="P81" s="1852"/>
      <c r="Q81" s="1821"/>
    </row>
    <row r="82" spans="1:17" ht="15.75" thickTop="1">
      <c r="A82" s="1853"/>
      <c r="B82" s="1864" t="s">
        <v>2356</v>
      </c>
      <c r="C82" s="1859" t="s">
        <v>2314</v>
      </c>
      <c r="D82" s="1859" t="s">
        <v>2315</v>
      </c>
      <c r="E82" s="1859" t="s">
        <v>2316</v>
      </c>
      <c r="F82" s="1859" t="s">
        <v>2317</v>
      </c>
      <c r="G82" s="1859" t="s">
        <v>2318</v>
      </c>
      <c r="H82" s="1859"/>
      <c r="I82" s="1859"/>
      <c r="J82" s="1859"/>
      <c r="K82" s="1859"/>
      <c r="L82" s="1859"/>
      <c r="M82" s="1887"/>
      <c r="N82" s="3015"/>
      <c r="O82" s="3015"/>
      <c r="P82" s="1852"/>
      <c r="Q82" s="1821"/>
    </row>
    <row r="83" spans="1:17" ht="15.75" thickBot="1">
      <c r="A83" s="1853"/>
      <c r="B83" s="1864"/>
      <c r="C83" s="1862">
        <v>100</v>
      </c>
      <c r="D83" s="1862">
        <f>C83-$K21</f>
        <v>100</v>
      </c>
      <c r="E83" s="1862">
        <f>D83-$K21</f>
        <v>100</v>
      </c>
      <c r="F83" s="1862">
        <f>E83-$K21</f>
        <v>100</v>
      </c>
      <c r="G83" s="1862">
        <f>F83-$K21</f>
        <v>100</v>
      </c>
      <c r="H83" s="1888"/>
      <c r="I83" s="1888"/>
      <c r="J83" s="1888"/>
      <c r="K83" s="1888"/>
      <c r="L83" s="1888"/>
      <c r="M83" s="1735"/>
      <c r="N83" s="3015"/>
      <c r="O83" s="3015"/>
      <c r="P83" s="1852"/>
      <c r="Q83" s="1821"/>
    </row>
    <row r="84" spans="1:17" ht="15.75" thickTop="1">
      <c r="A84" s="1853"/>
      <c r="B84" s="1858" t="s">
        <v>2319</v>
      </c>
      <c r="C84" s="579" t="s">
        <v>2307</v>
      </c>
      <c r="D84" s="579" t="s">
        <v>2308</v>
      </c>
      <c r="E84" s="579" t="s">
        <v>2309</v>
      </c>
      <c r="F84" s="579" t="s">
        <v>2310</v>
      </c>
      <c r="G84" s="579" t="s">
        <v>2311</v>
      </c>
      <c r="H84" s="1859"/>
      <c r="I84" s="1859"/>
      <c r="J84" s="1859"/>
      <c r="K84" s="428"/>
      <c r="L84" s="428"/>
      <c r="M84" s="1860"/>
      <c r="N84" s="3014"/>
      <c r="O84" s="3014"/>
      <c r="P84" s="1852"/>
      <c r="Q84" s="1821"/>
    </row>
    <row r="85" spans="1:17" ht="15.75" thickBot="1">
      <c r="A85" s="1853"/>
      <c r="B85" s="1861"/>
      <c r="C85" s="1862">
        <v>100</v>
      </c>
      <c r="D85" s="1862">
        <f>C85-$K23</f>
        <v>100</v>
      </c>
      <c r="E85" s="1862">
        <f>D85-$K23</f>
        <v>100</v>
      </c>
      <c r="F85" s="1862">
        <f>E85-$K23</f>
        <v>100</v>
      </c>
      <c r="G85" s="1862">
        <f>F85-$K23</f>
        <v>100</v>
      </c>
      <c r="H85" s="1862"/>
      <c r="I85" s="1862"/>
      <c r="J85" s="1862"/>
      <c r="K85" s="1862"/>
      <c r="L85" s="1862"/>
      <c r="M85" s="1863"/>
      <c r="N85" s="3015"/>
      <c r="O85" s="3015"/>
      <c r="P85" s="1852"/>
      <c r="Q85" s="1821"/>
    </row>
    <row r="86" spans="1:17" s="1684" customFormat="1" ht="15.75" thickTop="1">
      <c r="A86" s="1889"/>
      <c r="B86" s="1858" t="s">
        <v>2376</v>
      </c>
      <c r="C86" s="468"/>
      <c r="D86" s="468"/>
      <c r="E86" s="468"/>
      <c r="F86" s="468"/>
      <c r="G86" s="468"/>
      <c r="H86" s="468"/>
      <c r="I86" s="468"/>
      <c r="J86" s="468"/>
      <c r="K86" s="468"/>
      <c r="L86" s="468"/>
      <c r="M86" s="1890"/>
      <c r="N86" s="3013"/>
      <c r="O86" s="3013"/>
      <c r="P86" s="1852"/>
      <c r="Q86" s="1821"/>
    </row>
    <row r="87" spans="1:17" s="1684" customFormat="1" ht="15.75" thickBot="1">
      <c r="A87" s="1889"/>
      <c r="B87" s="1861"/>
      <c r="C87" s="1891">
        <v>100</v>
      </c>
      <c r="D87" s="1862">
        <f t="shared" ref="D87:M87" si="19">C87-$K25</f>
        <v>100</v>
      </c>
      <c r="E87" s="1862">
        <f t="shared" si="19"/>
        <v>100</v>
      </c>
      <c r="F87" s="1862">
        <f t="shared" si="19"/>
        <v>100</v>
      </c>
      <c r="G87" s="1862">
        <f t="shared" si="19"/>
        <v>100</v>
      </c>
      <c r="H87" s="1862">
        <f t="shared" si="19"/>
        <v>100</v>
      </c>
      <c r="I87" s="1862">
        <f t="shared" si="19"/>
        <v>100</v>
      </c>
      <c r="J87" s="1862">
        <f t="shared" si="19"/>
        <v>100</v>
      </c>
      <c r="K87" s="1862">
        <f t="shared" si="19"/>
        <v>100</v>
      </c>
      <c r="L87" s="1862">
        <f t="shared" si="19"/>
        <v>100</v>
      </c>
      <c r="M87" s="1862">
        <f t="shared" si="19"/>
        <v>100</v>
      </c>
      <c r="N87" s="3015"/>
      <c r="O87" s="3015"/>
      <c r="P87" s="1852"/>
      <c r="Q87" s="1821"/>
    </row>
    <row r="88" spans="1:17" s="1684" customFormat="1" ht="15.75" thickTop="1">
      <c r="A88" s="1889"/>
      <c r="B88" s="1858" t="str">
        <f>B26</f>
        <v>平面位置/可视性</v>
      </c>
      <c r="C88" s="468"/>
      <c r="D88" s="468"/>
      <c r="E88" s="468"/>
      <c r="F88" s="1892"/>
      <c r="G88" s="468"/>
      <c r="H88" s="468"/>
      <c r="I88" s="468"/>
      <c r="J88" s="468"/>
      <c r="K88" s="468"/>
      <c r="L88" s="468"/>
      <c r="M88" s="1890"/>
      <c r="N88" s="3013"/>
      <c r="O88" s="3013"/>
      <c r="P88" s="1852"/>
      <c r="Q88" s="1821"/>
    </row>
    <row r="89" spans="1:17" s="1684" customFormat="1" ht="15.75" thickBot="1">
      <c r="A89" s="1889"/>
      <c r="B89" s="1861"/>
      <c r="C89" s="1874"/>
      <c r="D89" s="1855"/>
      <c r="E89" s="1855"/>
      <c r="F89" s="1855"/>
      <c r="G89" s="1855"/>
      <c r="H89" s="1855"/>
      <c r="I89" s="1855"/>
      <c r="J89" s="1855"/>
      <c r="K89" s="1855"/>
      <c r="L89" s="1855"/>
      <c r="M89" s="1855"/>
      <c r="N89" s="3015"/>
      <c r="O89" s="3015"/>
      <c r="P89" s="1852"/>
      <c r="Q89" s="1821"/>
    </row>
    <row r="90" spans="1:17" s="1771" customFormat="1" ht="15.75" thickTop="1">
      <c r="A90" s="1869"/>
      <c r="B90" s="1858" t="str">
        <f>B27</f>
        <v>人流量</v>
      </c>
      <c r="C90" s="468"/>
      <c r="D90" s="468"/>
      <c r="E90" s="468"/>
      <c r="F90" s="468"/>
      <c r="G90" s="468"/>
      <c r="H90" s="443"/>
      <c r="I90" s="443"/>
      <c r="J90" s="443"/>
      <c r="K90" s="443"/>
      <c r="L90" s="443"/>
      <c r="M90" s="1870"/>
      <c r="N90" s="3016"/>
      <c r="O90" s="3016"/>
      <c r="P90" s="1872"/>
      <c r="Q90" s="1873"/>
    </row>
    <row r="91" spans="1:17" s="1771" customFormat="1" ht="15.75" thickBot="1">
      <c r="A91" s="1869"/>
      <c r="B91" s="1861"/>
      <c r="C91" s="1891">
        <v>100</v>
      </c>
      <c r="D91" s="1862">
        <f>C91-$K27</f>
        <v>100</v>
      </c>
      <c r="E91" s="1862">
        <f t="shared" ref="E91:M91" si="20">D91-$K27</f>
        <v>100</v>
      </c>
      <c r="F91" s="1862">
        <f t="shared" si="20"/>
        <v>100</v>
      </c>
      <c r="G91" s="1862">
        <f t="shared" si="20"/>
        <v>100</v>
      </c>
      <c r="H91" s="1862">
        <f t="shared" si="20"/>
        <v>100</v>
      </c>
      <c r="I91" s="1862">
        <f t="shared" si="20"/>
        <v>100</v>
      </c>
      <c r="J91" s="1862">
        <f t="shared" si="20"/>
        <v>100</v>
      </c>
      <c r="K91" s="1862">
        <f t="shared" si="20"/>
        <v>100</v>
      </c>
      <c r="L91" s="1862">
        <f t="shared" si="20"/>
        <v>100</v>
      </c>
      <c r="M91" s="1862">
        <f t="shared" si="20"/>
        <v>100</v>
      </c>
      <c r="N91" s="3016"/>
      <c r="O91" s="3016"/>
      <c r="P91" s="1872"/>
      <c r="Q91" s="1873"/>
    </row>
    <row r="92" spans="1:17" ht="15.75" thickTop="1">
      <c r="A92" s="1853"/>
      <c r="B92" s="1858" t="str">
        <f>B28</f>
        <v>楼层</v>
      </c>
      <c r="C92" s="468"/>
      <c r="D92" s="468"/>
      <c r="E92" s="468"/>
      <c r="F92" s="468"/>
      <c r="G92" s="468"/>
      <c r="H92" s="468"/>
      <c r="I92" s="468"/>
      <c r="J92" s="468"/>
      <c r="K92" s="468"/>
      <c r="L92" s="468"/>
      <c r="M92" s="1890"/>
      <c r="N92" s="3014"/>
      <c r="O92" s="3014"/>
      <c r="P92" s="1852"/>
      <c r="Q92" s="1821"/>
    </row>
    <row r="93" spans="1:17" ht="15.75" thickBot="1">
      <c r="A93" s="1853"/>
      <c r="B93" s="1861"/>
      <c r="C93" s="1855"/>
      <c r="D93" s="1855"/>
      <c r="E93" s="1855"/>
      <c r="F93" s="1855"/>
      <c r="G93" s="1855"/>
      <c r="H93" s="1855"/>
      <c r="I93" s="1855"/>
      <c r="J93" s="1855"/>
      <c r="K93" s="1855"/>
      <c r="L93" s="1855"/>
      <c r="M93" s="1856"/>
      <c r="N93" s="3015"/>
      <c r="O93" s="3015"/>
      <c r="P93" s="1852"/>
      <c r="Q93" s="1821"/>
    </row>
    <row r="94" spans="1:17" ht="15.75" thickTop="1">
      <c r="A94" s="1853"/>
      <c r="B94" s="1858">
        <f>B29</f>
        <v>111</v>
      </c>
      <c r="C94" s="468"/>
      <c r="D94" s="468"/>
      <c r="E94" s="468"/>
      <c r="F94" s="468"/>
      <c r="G94" s="1578"/>
      <c r="H94" s="1578"/>
      <c r="I94" s="1578"/>
      <c r="J94" s="1578"/>
      <c r="K94" s="473"/>
      <c r="L94" s="473"/>
      <c r="M94" s="1893"/>
      <c r="N94" s="3014"/>
      <c r="O94" s="3014"/>
      <c r="P94" s="1852"/>
      <c r="Q94" s="1821"/>
    </row>
    <row r="95" spans="1:17" ht="15.75" thickBot="1">
      <c r="A95" s="1853"/>
      <c r="B95" s="1861"/>
      <c r="C95" s="1874"/>
      <c r="D95" s="1855"/>
      <c r="E95" s="1855"/>
      <c r="F95" s="1855"/>
      <c r="G95" s="1855"/>
      <c r="H95" s="1855"/>
      <c r="I95" s="1855"/>
      <c r="J95" s="1855"/>
      <c r="K95" s="1855"/>
      <c r="L95" s="1855"/>
      <c r="M95" s="1856"/>
      <c r="N95" s="3015"/>
      <c r="O95" s="3015"/>
      <c r="P95" s="1852"/>
      <c r="Q95" s="1821"/>
    </row>
    <row r="96" spans="1:17" ht="15.75" thickTop="1">
      <c r="A96" s="1853"/>
      <c r="B96" s="1858">
        <f>B30</f>
        <v>111</v>
      </c>
      <c r="C96" s="468"/>
      <c r="D96" s="468"/>
      <c r="E96" s="468"/>
      <c r="F96" s="468"/>
      <c r="G96" s="1578"/>
      <c r="H96" s="1578"/>
      <c r="I96" s="1578"/>
      <c r="J96" s="1578"/>
      <c r="K96" s="473"/>
      <c r="L96" s="473"/>
      <c r="M96" s="1893"/>
      <c r="N96" s="3014"/>
      <c r="O96" s="3014"/>
      <c r="P96" s="1852"/>
      <c r="Q96" s="1821"/>
    </row>
    <row r="97" spans="1:17" ht="15.75" thickBot="1">
      <c r="A97" s="1853"/>
      <c r="B97" s="1861"/>
      <c r="C97" s="1874"/>
      <c r="D97" s="1855"/>
      <c r="E97" s="1855"/>
      <c r="F97" s="1855"/>
      <c r="G97" s="1855"/>
      <c r="H97" s="1855"/>
      <c r="I97" s="1855"/>
      <c r="J97" s="1855"/>
      <c r="K97" s="1855"/>
      <c r="L97" s="1855"/>
      <c r="M97" s="1856"/>
      <c r="N97" s="3015"/>
      <c r="O97" s="3015"/>
      <c r="P97" s="1852"/>
      <c r="Q97" s="1821"/>
    </row>
    <row r="98" spans="1:17" ht="15.75" thickTop="1">
      <c r="A98" s="1853"/>
      <c r="B98" s="1864">
        <f>B31</f>
        <v>111</v>
      </c>
      <c r="C98" s="468"/>
      <c r="D98" s="468"/>
      <c r="E98" s="468"/>
      <c r="F98" s="468"/>
      <c r="G98" s="1894"/>
      <c r="H98" s="1894"/>
      <c r="I98" s="1894"/>
      <c r="J98" s="1894"/>
      <c r="K98" s="477"/>
      <c r="L98" s="477"/>
      <c r="M98" s="1895"/>
      <c r="N98" s="3014"/>
      <c r="O98" s="3014"/>
      <c r="P98" s="1852"/>
      <c r="Q98" s="1821"/>
    </row>
    <row r="99" spans="1:17" ht="15.75" thickBot="1">
      <c r="A99" s="1896"/>
      <c r="B99" s="1881"/>
      <c r="C99" s="1882"/>
      <c r="D99" s="1882"/>
      <c r="E99" s="1882"/>
      <c r="F99" s="1882"/>
      <c r="G99" s="1897"/>
      <c r="H99" s="1897"/>
      <c r="I99" s="1897"/>
      <c r="J99" s="1897"/>
      <c r="K99" s="1897"/>
      <c r="L99" s="1897"/>
      <c r="M99" s="1898"/>
      <c r="N99" s="3015"/>
      <c r="O99" s="3015"/>
      <c r="P99" s="1852"/>
      <c r="Q99" s="1821"/>
    </row>
    <row r="100" spans="1:17">
      <c r="A100" s="1846" t="s">
        <v>2273</v>
      </c>
      <c r="B100" s="1847" t="s">
        <v>2377</v>
      </c>
      <c r="C100" s="1849"/>
      <c r="D100" s="1849"/>
      <c r="E100" s="1849"/>
      <c r="F100" s="1849"/>
      <c r="G100" s="1849"/>
      <c r="H100" s="1849"/>
      <c r="I100" s="1849"/>
      <c r="J100" s="1849"/>
      <c r="K100" s="417"/>
      <c r="L100" s="417"/>
      <c r="M100" s="1850"/>
      <c r="N100" s="3014"/>
      <c r="O100" s="3014"/>
      <c r="P100" s="1852"/>
      <c r="Q100" s="1821"/>
    </row>
    <row r="101" spans="1:17" ht="15.75" thickBot="1">
      <c r="A101" s="1853"/>
      <c r="B101" s="1861"/>
      <c r="C101" s="1862">
        <v>100</v>
      </c>
      <c r="D101" s="1862">
        <f t="shared" ref="D101:M101" si="21">C101-$K32</f>
        <v>100</v>
      </c>
      <c r="E101" s="1862">
        <f t="shared" si="21"/>
        <v>100</v>
      </c>
      <c r="F101" s="1862">
        <f t="shared" si="21"/>
        <v>100</v>
      </c>
      <c r="G101" s="1862">
        <f t="shared" si="21"/>
        <v>100</v>
      </c>
      <c r="H101" s="1862">
        <f t="shared" si="21"/>
        <v>100</v>
      </c>
      <c r="I101" s="1862">
        <f t="shared" si="21"/>
        <v>100</v>
      </c>
      <c r="J101" s="1862">
        <f t="shared" si="21"/>
        <v>100</v>
      </c>
      <c r="K101" s="1862">
        <f t="shared" si="21"/>
        <v>100</v>
      </c>
      <c r="L101" s="1862">
        <f t="shared" si="21"/>
        <v>100</v>
      </c>
      <c r="M101" s="1863">
        <f t="shared" si="21"/>
        <v>100</v>
      </c>
      <c r="N101" s="3015"/>
      <c r="O101" s="3015"/>
      <c r="P101" s="1852"/>
      <c r="Q101" s="1821"/>
    </row>
    <row r="102" spans="1:17" ht="15.75" thickTop="1">
      <c r="A102" s="1853"/>
      <c r="B102" s="1858" t="s">
        <v>2323</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60" t="str">
        <f>M103&amp;"(含)"&amp;"-"&amp;P103</f>
        <v>(含)-</v>
      </c>
      <c r="N102" s="3013"/>
      <c r="O102" s="3013"/>
      <c r="P102" s="1852"/>
      <c r="Q102" s="1821"/>
    </row>
    <row r="103" spans="1:17" s="1771" customFormat="1">
      <c r="A103" s="1899"/>
      <c r="B103" s="1900"/>
      <c r="C103" s="1901"/>
      <c r="D103" s="1901"/>
      <c r="E103" s="1901"/>
      <c r="F103" s="1901"/>
      <c r="G103" s="1901"/>
      <c r="H103" s="1901"/>
      <c r="I103" s="1901"/>
      <c r="J103" s="485"/>
      <c r="K103" s="485"/>
      <c r="L103" s="485"/>
      <c r="M103" s="1902"/>
      <c r="N103" s="3016"/>
      <c r="O103" s="3016"/>
      <c r="P103" s="1872"/>
      <c r="Q103" s="1873"/>
    </row>
    <row r="104" spans="1:17" s="1771" customFormat="1" ht="15.75" thickBot="1">
      <c r="A104" s="1869"/>
      <c r="B104" s="1861"/>
      <c r="C104" s="1874"/>
      <c r="D104" s="1855"/>
      <c r="E104" s="1855"/>
      <c r="F104" s="1855"/>
      <c r="G104" s="1855"/>
      <c r="H104" s="1855"/>
      <c r="I104" s="1855"/>
      <c r="J104" s="1855"/>
      <c r="K104" s="1855"/>
      <c r="L104" s="1855"/>
      <c r="M104" s="1856"/>
      <c r="N104" s="3015"/>
      <c r="O104" s="3015"/>
      <c r="P104" s="1872"/>
      <c r="Q104" s="1873"/>
    </row>
    <row r="105" spans="1:17" ht="15" thickTop="1">
      <c r="A105" s="1903"/>
      <c r="B105" s="1858" t="s">
        <v>2324</v>
      </c>
      <c r="C105" s="468"/>
      <c r="D105" s="468"/>
      <c r="E105" s="1578"/>
      <c r="F105" s="1578"/>
      <c r="G105" s="1578"/>
      <c r="H105" s="1578"/>
      <c r="I105" s="1578"/>
      <c r="J105" s="1578"/>
      <c r="K105" s="473"/>
      <c r="L105" s="473"/>
      <c r="M105" s="1893"/>
      <c r="N105" s="3014"/>
      <c r="O105" s="3014"/>
      <c r="P105" s="1852"/>
      <c r="Q105" s="1821"/>
    </row>
    <row r="106" spans="1:17" ht="15.75" thickBot="1">
      <c r="A106" s="1853"/>
      <c r="B106" s="1861"/>
      <c r="C106" s="1862">
        <v>100</v>
      </c>
      <c r="D106" s="1862">
        <f t="shared" ref="D106:M106" si="23">C106-$K34</f>
        <v>100</v>
      </c>
      <c r="E106" s="1862">
        <f t="shared" si="23"/>
        <v>100</v>
      </c>
      <c r="F106" s="1862">
        <f t="shared" si="23"/>
        <v>100</v>
      </c>
      <c r="G106" s="1862">
        <f t="shared" si="23"/>
        <v>100</v>
      </c>
      <c r="H106" s="1862">
        <f t="shared" si="23"/>
        <v>100</v>
      </c>
      <c r="I106" s="1862">
        <f t="shared" si="23"/>
        <v>100</v>
      </c>
      <c r="J106" s="1862">
        <f t="shared" si="23"/>
        <v>100</v>
      </c>
      <c r="K106" s="1862">
        <f t="shared" si="23"/>
        <v>100</v>
      </c>
      <c r="L106" s="1862">
        <f t="shared" si="23"/>
        <v>100</v>
      </c>
      <c r="M106" s="1863">
        <f t="shared" si="23"/>
        <v>100</v>
      </c>
      <c r="N106" s="3015"/>
      <c r="O106" s="3015"/>
      <c r="P106" s="1852"/>
      <c r="Q106" s="1821"/>
    </row>
    <row r="107" spans="1:17" ht="15" thickTop="1">
      <c r="A107" s="1903"/>
      <c r="B107" s="1858" t="s">
        <v>2326</v>
      </c>
      <c r="C107" s="468"/>
      <c r="D107" s="468"/>
      <c r="E107" s="468"/>
      <c r="F107" s="1578"/>
      <c r="G107" s="1578"/>
      <c r="H107" s="1578"/>
      <c r="I107" s="1578"/>
      <c r="J107" s="1578"/>
      <c r="K107" s="473"/>
      <c r="L107" s="473"/>
      <c r="M107" s="1893"/>
      <c r="N107" s="3014"/>
      <c r="O107" s="3014"/>
      <c r="P107" s="1852"/>
      <c r="Q107" s="1821"/>
    </row>
    <row r="108" spans="1:17" ht="15.75" thickBot="1">
      <c r="A108" s="1853"/>
      <c r="B108" s="1861"/>
      <c r="C108" s="1862">
        <v>100</v>
      </c>
      <c r="D108" s="1862">
        <f t="shared" ref="D108:M108" si="24">C108-$K35</f>
        <v>100</v>
      </c>
      <c r="E108" s="1862">
        <f t="shared" si="24"/>
        <v>100</v>
      </c>
      <c r="F108" s="1862">
        <f t="shared" si="24"/>
        <v>100</v>
      </c>
      <c r="G108" s="1862">
        <f t="shared" si="24"/>
        <v>100</v>
      </c>
      <c r="H108" s="1862">
        <f t="shared" si="24"/>
        <v>100</v>
      </c>
      <c r="I108" s="1862">
        <f t="shared" si="24"/>
        <v>100</v>
      </c>
      <c r="J108" s="1862">
        <f t="shared" si="24"/>
        <v>100</v>
      </c>
      <c r="K108" s="1862">
        <f t="shared" si="24"/>
        <v>100</v>
      </c>
      <c r="L108" s="1862">
        <f t="shared" si="24"/>
        <v>100</v>
      </c>
      <c r="M108" s="1863">
        <f t="shared" si="24"/>
        <v>100</v>
      </c>
      <c r="N108" s="3015"/>
      <c r="O108" s="3015"/>
      <c r="P108" s="1852"/>
      <c r="Q108" s="1821"/>
    </row>
    <row r="109" spans="1:17" ht="15" thickTop="1">
      <c r="A109" s="1903"/>
      <c r="B109" s="1858" t="s">
        <v>2327</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8"/>
      <c r="J109" s="1578"/>
      <c r="K109" s="473"/>
      <c r="L109" s="473"/>
      <c r="M109" s="1893"/>
      <c r="N109" s="3014"/>
      <c r="O109" s="3014"/>
      <c r="P109" s="1852"/>
      <c r="Q109" s="1821"/>
    </row>
    <row r="110" spans="1:17">
      <c r="A110" s="1903"/>
      <c r="B110" s="1864"/>
      <c r="C110" s="1905">
        <v>0.5</v>
      </c>
      <c r="D110" s="1905">
        <v>0.6</v>
      </c>
      <c r="E110" s="1905">
        <v>0.7</v>
      </c>
      <c r="F110" s="1905">
        <v>0.8</v>
      </c>
      <c r="G110" s="1905">
        <v>0.9</v>
      </c>
      <c r="H110" s="1905">
        <v>1</v>
      </c>
      <c r="I110" s="2482"/>
      <c r="J110" s="2482"/>
      <c r="K110" s="508"/>
      <c r="L110" s="508"/>
      <c r="M110" s="2483"/>
      <c r="N110" s="3014"/>
      <c r="O110" s="3014"/>
      <c r="P110" s="1852"/>
      <c r="Q110" s="1821"/>
    </row>
    <row r="111" spans="1:17" ht="15.75" thickBot="1">
      <c r="A111" s="1853"/>
      <c r="B111" s="1861"/>
      <c r="C111" s="1891">
        <v>100</v>
      </c>
      <c r="D111" s="1862">
        <f>C111+$K36</f>
        <v>100</v>
      </c>
      <c r="E111" s="1862">
        <f t="shared" ref="E111:M111" si="25">D111+$K36</f>
        <v>100</v>
      </c>
      <c r="F111" s="1862">
        <f t="shared" si="25"/>
        <v>100</v>
      </c>
      <c r="G111" s="1862">
        <f t="shared" si="25"/>
        <v>100</v>
      </c>
      <c r="H111" s="1862">
        <f t="shared" si="25"/>
        <v>100</v>
      </c>
      <c r="I111" s="1862">
        <f t="shared" si="25"/>
        <v>100</v>
      </c>
      <c r="J111" s="1862">
        <f t="shared" si="25"/>
        <v>100</v>
      </c>
      <c r="K111" s="1862">
        <f t="shared" si="25"/>
        <v>100</v>
      </c>
      <c r="L111" s="1862">
        <f t="shared" si="25"/>
        <v>100</v>
      </c>
      <c r="M111" s="1862">
        <f t="shared" si="25"/>
        <v>100</v>
      </c>
      <c r="N111" s="3015"/>
      <c r="O111" s="3015"/>
      <c r="P111" s="1852"/>
      <c r="Q111" s="1821"/>
    </row>
    <row r="112" spans="1:17" s="1771" customFormat="1" ht="15" thickTop="1">
      <c r="A112" s="1899"/>
      <c r="B112" s="1858" t="s">
        <v>2329</v>
      </c>
      <c r="C112" s="468"/>
      <c r="D112" s="468"/>
      <c r="E112" s="468"/>
      <c r="F112" s="468"/>
      <c r="G112" s="468"/>
      <c r="H112" s="1578"/>
      <c r="I112" s="1578"/>
      <c r="J112" s="1578"/>
      <c r="K112" s="473"/>
      <c r="L112" s="473"/>
      <c r="M112" s="1893"/>
      <c r="N112" s="3016"/>
      <c r="O112" s="3016"/>
      <c r="P112" s="1872"/>
      <c r="Q112" s="1873"/>
    </row>
    <row r="113" spans="1:17" s="1771" customFormat="1" ht="15.75" thickBot="1">
      <c r="A113" s="1869"/>
      <c r="B113" s="1861"/>
      <c r="C113" s="1862">
        <v>100</v>
      </c>
      <c r="D113" s="1862">
        <f>C113-$K37</f>
        <v>100</v>
      </c>
      <c r="E113" s="1862">
        <f t="shared" ref="E113:M113" si="26">D113-$K37</f>
        <v>100</v>
      </c>
      <c r="F113" s="1862">
        <f t="shared" si="26"/>
        <v>100</v>
      </c>
      <c r="G113" s="1862">
        <f t="shared" si="26"/>
        <v>100</v>
      </c>
      <c r="H113" s="1862">
        <f t="shared" si="26"/>
        <v>100</v>
      </c>
      <c r="I113" s="1862">
        <f t="shared" si="26"/>
        <v>100</v>
      </c>
      <c r="J113" s="1862">
        <f t="shared" si="26"/>
        <v>100</v>
      </c>
      <c r="K113" s="1862">
        <f t="shared" si="26"/>
        <v>100</v>
      </c>
      <c r="L113" s="1862">
        <f t="shared" si="26"/>
        <v>100</v>
      </c>
      <c r="M113" s="1862">
        <f t="shared" si="26"/>
        <v>100</v>
      </c>
      <c r="N113" s="3016"/>
      <c r="O113" s="3016"/>
      <c r="P113" s="1872"/>
      <c r="Q113" s="1873"/>
    </row>
    <row r="114" spans="1:17" ht="15" thickTop="1">
      <c r="A114" s="1903"/>
      <c r="B114" s="1858" t="s">
        <v>2378</v>
      </c>
      <c r="C114" s="468"/>
      <c r="D114" s="468"/>
      <c r="E114" s="1578"/>
      <c r="F114" s="1578"/>
      <c r="G114" s="1578"/>
      <c r="H114" s="1578"/>
      <c r="I114" s="1578"/>
      <c r="J114" s="1578"/>
      <c r="K114" s="473"/>
      <c r="L114" s="473"/>
      <c r="M114" s="1893"/>
      <c r="N114" s="3014"/>
      <c r="O114" s="3014"/>
      <c r="P114" s="1852"/>
      <c r="Q114" s="1821"/>
    </row>
    <row r="115" spans="1:17" ht="15.75" thickBot="1">
      <c r="A115" s="1853"/>
      <c r="B115" s="1861"/>
      <c r="C115" s="1862">
        <v>100</v>
      </c>
      <c r="D115" s="1862">
        <f t="shared" ref="D115:M115" si="27">C115-$K38</f>
        <v>100</v>
      </c>
      <c r="E115" s="1862">
        <f t="shared" si="27"/>
        <v>100</v>
      </c>
      <c r="F115" s="1862">
        <f t="shared" si="27"/>
        <v>100</v>
      </c>
      <c r="G115" s="1862">
        <f t="shared" si="27"/>
        <v>100</v>
      </c>
      <c r="H115" s="1862">
        <f t="shared" si="27"/>
        <v>100</v>
      </c>
      <c r="I115" s="1862">
        <f t="shared" si="27"/>
        <v>100</v>
      </c>
      <c r="J115" s="1862">
        <f t="shared" si="27"/>
        <v>100</v>
      </c>
      <c r="K115" s="1862">
        <f t="shared" si="27"/>
        <v>100</v>
      </c>
      <c r="L115" s="1862">
        <f t="shared" si="27"/>
        <v>100</v>
      </c>
      <c r="M115" s="1863">
        <f t="shared" si="27"/>
        <v>100</v>
      </c>
      <c r="N115" s="3015"/>
      <c r="O115" s="3015"/>
      <c r="P115" s="1852"/>
      <c r="Q115" s="1821"/>
    </row>
    <row r="116" spans="1:17" ht="15" thickTop="1">
      <c r="A116" s="1903"/>
      <c r="B116" s="1858" t="s">
        <v>2379</v>
      </c>
      <c r="C116" s="468"/>
      <c r="D116" s="468"/>
      <c r="E116" s="468"/>
      <c r="F116" s="468"/>
      <c r="G116" s="468"/>
      <c r="H116" s="1578"/>
      <c r="I116" s="1578"/>
      <c r="J116" s="1578"/>
      <c r="K116" s="473"/>
      <c r="L116" s="473"/>
      <c r="M116" s="1893"/>
      <c r="N116" s="3014"/>
      <c r="O116" s="3014"/>
      <c r="P116" s="1852"/>
      <c r="Q116" s="1821"/>
    </row>
    <row r="117" spans="1:17" ht="15.75" thickBot="1">
      <c r="A117" s="1853"/>
      <c r="B117" s="1861"/>
      <c r="C117" s="1862">
        <v>100</v>
      </c>
      <c r="D117" s="1862">
        <f>C117-$K39</f>
        <v>100</v>
      </c>
      <c r="E117" s="1862">
        <f>D117-$K39</f>
        <v>100</v>
      </c>
      <c r="F117" s="1862">
        <f>E117-$K39</f>
        <v>100</v>
      </c>
      <c r="G117" s="1862">
        <f>F117-$K39</f>
        <v>100</v>
      </c>
      <c r="H117" s="1862"/>
      <c r="I117" s="1862"/>
      <c r="J117" s="1862"/>
      <c r="K117" s="1862"/>
      <c r="L117" s="1862"/>
      <c r="M117" s="1863"/>
      <c r="N117" s="3015"/>
      <c r="O117" s="3015"/>
      <c r="P117" s="1852"/>
      <c r="Q117" s="1821"/>
    </row>
    <row r="118" spans="1:17" ht="15" thickTop="1">
      <c r="A118" s="1903"/>
      <c r="B118" s="1858" t="s">
        <v>2380</v>
      </c>
      <c r="C118" s="2484"/>
      <c r="D118" s="2484"/>
      <c r="E118" s="2484"/>
      <c r="F118" s="2484"/>
      <c r="G118" s="2484"/>
      <c r="H118" s="443"/>
      <c r="I118" s="443"/>
      <c r="J118" s="443"/>
      <c r="K118" s="443"/>
      <c r="L118" s="443"/>
      <c r="M118" s="1870"/>
      <c r="N118" s="3014"/>
      <c r="O118" s="3014"/>
      <c r="P118" s="1852"/>
      <c r="Q118" s="1821"/>
    </row>
    <row r="119" spans="1:17" ht="15.75" thickBot="1">
      <c r="A119" s="1853"/>
      <c r="B119" s="1861"/>
      <c r="C119" s="1874"/>
      <c r="D119" s="1855"/>
      <c r="E119" s="1855"/>
      <c r="F119" s="1855"/>
      <c r="G119" s="1855"/>
      <c r="H119" s="1855"/>
      <c r="I119" s="1855"/>
      <c r="J119" s="1855"/>
      <c r="K119" s="1855"/>
      <c r="L119" s="1855"/>
      <c r="M119" s="1856"/>
      <c r="N119" s="3015"/>
      <c r="O119" s="3015"/>
      <c r="P119" s="1852"/>
      <c r="Q119" s="1821"/>
    </row>
    <row r="120" spans="1:17" s="1771" customFormat="1" ht="15" thickTop="1">
      <c r="A120" s="1899"/>
      <c r="B120" s="1858" t="s">
        <v>2381</v>
      </c>
      <c r="C120" s="1578"/>
      <c r="D120" s="1578"/>
      <c r="E120" s="1578"/>
      <c r="F120" s="1578"/>
      <c r="G120" s="443"/>
      <c r="H120" s="443"/>
      <c r="I120" s="443"/>
      <c r="J120" s="443"/>
      <c r="K120" s="443"/>
      <c r="L120" s="443"/>
      <c r="M120" s="1870"/>
      <c r="N120" s="3016"/>
      <c r="O120" s="3016"/>
      <c r="P120" s="1872"/>
      <c r="Q120" s="1873"/>
    </row>
    <row r="121" spans="1:17" s="1771" customFormat="1" ht="15.75" thickBot="1">
      <c r="A121" s="1869"/>
      <c r="B121" s="1854"/>
      <c r="C121" s="1891">
        <v>100</v>
      </c>
      <c r="D121" s="1862">
        <f>C121-$K41</f>
        <v>100</v>
      </c>
      <c r="E121" s="1862">
        <f t="shared" ref="E121:M121" si="28">D121-$K41</f>
        <v>100</v>
      </c>
      <c r="F121" s="1862">
        <f t="shared" si="28"/>
        <v>100</v>
      </c>
      <c r="G121" s="1862">
        <f t="shared" si="28"/>
        <v>100</v>
      </c>
      <c r="H121" s="1862">
        <f t="shared" si="28"/>
        <v>100</v>
      </c>
      <c r="I121" s="1862">
        <f t="shared" si="28"/>
        <v>100</v>
      </c>
      <c r="J121" s="1862">
        <f t="shared" si="28"/>
        <v>100</v>
      </c>
      <c r="K121" s="1862">
        <f t="shared" si="28"/>
        <v>100</v>
      </c>
      <c r="L121" s="1862">
        <f t="shared" si="28"/>
        <v>100</v>
      </c>
      <c r="M121" s="1863">
        <f t="shared" si="28"/>
        <v>100</v>
      </c>
      <c r="N121" s="3016"/>
      <c r="O121" s="3016"/>
      <c r="P121" s="1872"/>
      <c r="Q121" s="1873"/>
    </row>
    <row r="122" spans="1:17" ht="15" thickTop="1">
      <c r="A122" s="1903"/>
      <c r="B122" s="1858" t="s">
        <v>2331</v>
      </c>
      <c r="C122" s="468"/>
      <c r="D122" s="468"/>
      <c r="E122" s="468"/>
      <c r="F122" s="1578"/>
      <c r="G122" s="1578"/>
      <c r="H122" s="1578"/>
      <c r="I122" s="1578"/>
      <c r="J122" s="1578"/>
      <c r="K122" s="473"/>
      <c r="L122" s="473"/>
      <c r="M122" s="1893"/>
      <c r="N122" s="3014"/>
      <c r="O122" s="3014"/>
      <c r="P122" s="1852"/>
      <c r="Q122" s="1821"/>
    </row>
    <row r="123" spans="1:17" ht="15.75" thickBot="1">
      <c r="A123" s="1853"/>
      <c r="B123" s="1861"/>
      <c r="C123" s="1862">
        <v>100</v>
      </c>
      <c r="D123" s="1862">
        <f t="shared" ref="D123:M123" si="29">C123-$K42</f>
        <v>100</v>
      </c>
      <c r="E123" s="1862">
        <f t="shared" si="29"/>
        <v>100</v>
      </c>
      <c r="F123" s="1862">
        <f t="shared" si="29"/>
        <v>100</v>
      </c>
      <c r="G123" s="1862">
        <f t="shared" si="29"/>
        <v>100</v>
      </c>
      <c r="H123" s="1862">
        <f t="shared" si="29"/>
        <v>100</v>
      </c>
      <c r="I123" s="1862">
        <f t="shared" si="29"/>
        <v>100</v>
      </c>
      <c r="J123" s="1862">
        <f t="shared" si="29"/>
        <v>100</v>
      </c>
      <c r="K123" s="1862">
        <f t="shared" si="29"/>
        <v>100</v>
      </c>
      <c r="L123" s="1862">
        <f t="shared" si="29"/>
        <v>100</v>
      </c>
      <c r="M123" s="1863">
        <f t="shared" si="29"/>
        <v>100</v>
      </c>
      <c r="N123" s="3015"/>
      <c r="O123" s="3015"/>
      <c r="P123" s="1852"/>
      <c r="Q123" s="1821"/>
    </row>
    <row r="124" spans="1:17" ht="15" thickTop="1">
      <c r="A124" s="1903"/>
      <c r="B124" s="1858" t="s">
        <v>2332</v>
      </c>
      <c r="C124" s="579" t="s">
        <v>2307</v>
      </c>
      <c r="D124" s="579" t="s">
        <v>2308</v>
      </c>
      <c r="E124" s="579" t="s">
        <v>2309</v>
      </c>
      <c r="F124" s="579" t="s">
        <v>2310</v>
      </c>
      <c r="G124" s="579" t="s">
        <v>2311</v>
      </c>
      <c r="H124" s="1859"/>
      <c r="I124" s="1859"/>
      <c r="J124" s="1859"/>
      <c r="K124" s="428"/>
      <c r="L124" s="428"/>
      <c r="M124" s="1860"/>
      <c r="N124" s="3014"/>
      <c r="O124" s="3014"/>
      <c r="P124" s="1872"/>
      <c r="Q124" s="1821"/>
    </row>
    <row r="125" spans="1:17" ht="15.75" thickBot="1">
      <c r="A125" s="1853"/>
      <c r="B125" s="1861"/>
      <c r="C125" s="1862">
        <v>100</v>
      </c>
      <c r="D125" s="1862">
        <f>C125-$K43</f>
        <v>100</v>
      </c>
      <c r="E125" s="1862">
        <f>D125-$K43</f>
        <v>100</v>
      </c>
      <c r="F125" s="1862">
        <f>E125-$K43</f>
        <v>100</v>
      </c>
      <c r="G125" s="1862">
        <f>F125-$K43</f>
        <v>100</v>
      </c>
      <c r="H125" s="1862"/>
      <c r="I125" s="1862"/>
      <c r="J125" s="1862"/>
      <c r="K125" s="1862"/>
      <c r="L125" s="1862"/>
      <c r="M125" s="1863"/>
      <c r="N125" s="3015"/>
      <c r="O125" s="3015"/>
      <c r="P125" s="1852"/>
      <c r="Q125" s="1821"/>
    </row>
    <row r="126" spans="1:17" s="1771" customFormat="1" ht="15" thickTop="1">
      <c r="A126" s="1899"/>
      <c r="B126" s="1858">
        <f>B44</f>
        <v>111</v>
      </c>
      <c r="C126" s="468"/>
      <c r="D126" s="468"/>
      <c r="E126" s="468"/>
      <c r="F126" s="468"/>
      <c r="G126" s="468"/>
      <c r="H126" s="443"/>
      <c r="I126" s="443"/>
      <c r="J126" s="443"/>
      <c r="K126" s="443"/>
      <c r="L126" s="443"/>
      <c r="M126" s="1870"/>
      <c r="N126" s="3016"/>
      <c r="O126" s="3016"/>
      <c r="P126" s="1872"/>
      <c r="Q126" s="1873"/>
    </row>
    <row r="127" spans="1:17" s="1771" customFormat="1" ht="15.75" thickBot="1">
      <c r="A127" s="1869"/>
      <c r="B127" s="1861"/>
      <c r="C127" s="1874"/>
      <c r="D127" s="1855"/>
      <c r="E127" s="1855"/>
      <c r="F127" s="1855"/>
      <c r="G127" s="1874"/>
      <c r="H127" s="1877"/>
      <c r="I127" s="1877"/>
      <c r="J127" s="1877"/>
      <c r="K127" s="1877"/>
      <c r="L127" s="1877"/>
      <c r="M127" s="1878"/>
      <c r="N127" s="3016"/>
      <c r="O127" s="3016"/>
      <c r="P127" s="1872"/>
      <c r="Q127" s="1873"/>
    </row>
    <row r="128" spans="1:17" ht="15" thickTop="1">
      <c r="A128" s="1903"/>
      <c r="B128" s="1858">
        <f>B45</f>
        <v>111</v>
      </c>
      <c r="C128" s="468"/>
      <c r="D128" s="468"/>
      <c r="E128" s="468"/>
      <c r="F128" s="468"/>
      <c r="G128" s="1578"/>
      <c r="H128" s="1578"/>
      <c r="I128" s="1578"/>
      <c r="J128" s="1578"/>
      <c r="K128" s="473"/>
      <c r="L128" s="473"/>
      <c r="M128" s="1893"/>
      <c r="N128" s="3014"/>
      <c r="O128" s="3014"/>
      <c r="P128" s="1852"/>
      <c r="Q128" s="1821"/>
    </row>
    <row r="129" spans="1:17" ht="15.75" thickBot="1">
      <c r="A129" s="1853"/>
      <c r="B129" s="1861"/>
      <c r="C129" s="1874"/>
      <c r="D129" s="1855"/>
      <c r="E129" s="1855"/>
      <c r="F129" s="1855"/>
      <c r="G129" s="1855"/>
      <c r="H129" s="1855"/>
      <c r="I129" s="1855"/>
      <c r="J129" s="1855"/>
      <c r="K129" s="1855"/>
      <c r="L129" s="1855"/>
      <c r="M129" s="1856"/>
      <c r="N129" s="3015"/>
      <c r="O129" s="3015"/>
      <c r="P129" s="1852"/>
      <c r="Q129" s="1821"/>
    </row>
    <row r="130" spans="1:17" ht="15" thickTop="1">
      <c r="A130" s="1903"/>
      <c r="B130" s="1864">
        <f>B46</f>
        <v>111</v>
      </c>
      <c r="C130" s="468"/>
      <c r="D130" s="468"/>
      <c r="E130" s="468"/>
      <c r="F130" s="468"/>
      <c r="G130" s="1894"/>
      <c r="H130" s="1894"/>
      <c r="I130" s="1894"/>
      <c r="J130" s="1894"/>
      <c r="K130" s="409"/>
      <c r="L130" s="409"/>
      <c r="M130" s="1895"/>
      <c r="N130" s="3014"/>
      <c r="O130" s="3014"/>
      <c r="P130" s="1852"/>
      <c r="Q130" s="1821"/>
    </row>
    <row r="131" spans="1:17" ht="15.75" thickBot="1">
      <c r="A131" s="1896"/>
      <c r="B131" s="1881"/>
      <c r="C131" s="1882"/>
      <c r="D131" s="1882"/>
      <c r="E131" s="1882"/>
      <c r="F131" s="1882"/>
      <c r="G131" s="1897"/>
      <c r="H131" s="1897"/>
      <c r="I131" s="1897"/>
      <c r="J131" s="1897"/>
      <c r="K131" s="1897"/>
      <c r="L131" s="1897"/>
      <c r="M131" s="1898"/>
      <c r="N131" s="3015"/>
      <c r="O131" s="3015"/>
      <c r="P131" s="1852"/>
      <c r="Q131" s="1821"/>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99" priority="21" stopIfTrue="1" operator="containsText" text="超过">
      <formula>NOT(ISERROR(SEARCH("超过",F52)))</formula>
    </cfRule>
  </conditionalFormatting>
  <conditionalFormatting sqref="H54">
    <cfRule type="containsText" dxfId="198" priority="19" stopIfTrue="1" operator="containsText" text="超过">
      <formula>NOT(ISERROR(SEARCH("超过",H54)))</formula>
    </cfRule>
  </conditionalFormatting>
  <conditionalFormatting sqref="F54">
    <cfRule type="containsText" dxfId="197" priority="18" stopIfTrue="1" operator="containsText" text="超过">
      <formula>NOT(ISERROR(SEARCH("超过",F54)))</formula>
    </cfRule>
  </conditionalFormatting>
  <conditionalFormatting sqref="F53 H53">
    <cfRule type="containsText" dxfId="196" priority="17" stopIfTrue="1" operator="containsText" text="超过">
      <formula>NOT(ISERROR(SEARCH("超过",F53)))</formula>
    </cfRule>
  </conditionalFormatting>
  <conditionalFormatting sqref="E52">
    <cfRule type="expression" dxfId="195" priority="16" stopIfTrue="1">
      <formula>$F$52="超过30%"</formula>
    </cfRule>
  </conditionalFormatting>
  <conditionalFormatting sqref="E53">
    <cfRule type="expression" dxfId="194" priority="15" stopIfTrue="1">
      <formula>$F$53="超过20%"</formula>
    </cfRule>
  </conditionalFormatting>
  <conditionalFormatting sqref="E54">
    <cfRule type="expression" dxfId="193" priority="14" stopIfTrue="1">
      <formula>$F$54="超过30%"</formula>
    </cfRule>
  </conditionalFormatting>
  <conditionalFormatting sqref="G54">
    <cfRule type="expression" dxfId="192" priority="13" stopIfTrue="1">
      <formula>$H$54="超过30%"</formula>
    </cfRule>
  </conditionalFormatting>
  <conditionalFormatting sqref="G52">
    <cfRule type="expression" dxfId="191" priority="12" stopIfTrue="1">
      <formula>$H$52="超过30%"</formula>
    </cfRule>
  </conditionalFormatting>
  <conditionalFormatting sqref="G53">
    <cfRule type="expression" dxfId="190" priority="11" stopIfTrue="1">
      <formula>$H$53="超过20%"</formula>
    </cfRule>
  </conditionalFormatting>
  <conditionalFormatting sqref="J52">
    <cfRule type="containsText" dxfId="189" priority="10" stopIfTrue="1" operator="containsText" text="超过">
      <formula>NOT(ISERROR(SEARCH("超过",J52)))</formula>
    </cfRule>
  </conditionalFormatting>
  <conditionalFormatting sqref="J54">
    <cfRule type="containsText" dxfId="188" priority="9" stopIfTrue="1" operator="containsText" text="超过">
      <formula>NOT(ISERROR(SEARCH("超过",J54)))</formula>
    </cfRule>
  </conditionalFormatting>
  <conditionalFormatting sqref="J53">
    <cfRule type="containsText" dxfId="187" priority="8" stopIfTrue="1" operator="containsText" text="超过">
      <formula>NOT(ISERROR(SEARCH("超过",J53)))</formula>
    </cfRule>
  </conditionalFormatting>
  <conditionalFormatting sqref="I52">
    <cfRule type="expression" dxfId="186" priority="7" stopIfTrue="1">
      <formula>$J$52="超过30%"</formula>
    </cfRule>
  </conditionalFormatting>
  <conditionalFormatting sqref="I53">
    <cfRule type="expression" dxfId="185" priority="6" stopIfTrue="1">
      <formula>$J$53="超过20%"</formula>
    </cfRule>
  </conditionalFormatting>
  <conditionalFormatting sqref="I54">
    <cfRule type="expression" dxfId="184" priority="5" stopIfTrue="1">
      <formula>$J$54="超过30%"</formula>
    </cfRule>
  </conditionalFormatting>
  <conditionalFormatting sqref="F48">
    <cfRule type="expression" dxfId="183" priority="4">
      <formula>$D$48="简单平均"</formula>
    </cfRule>
  </conditionalFormatting>
  <conditionalFormatting sqref="H48">
    <cfRule type="expression" dxfId="182" priority="3">
      <formula>$D$48="简单平均"</formula>
    </cfRule>
  </conditionalFormatting>
  <conditionalFormatting sqref="J48">
    <cfRule type="expression" dxfId="181" priority="2">
      <formula>$D$48="简单平均"</formula>
    </cfRule>
  </conditionalFormatting>
  <conditionalFormatting sqref="F7:F46 H7:H46 J7:J46">
    <cfRule type="cellIs" dxfId="180" priority="1" operator="notEqual">
      <formula>100</formula>
    </cfRule>
  </conditionalFormatting>
  <dataValidations count="26">
    <dataValidation type="list" allowBlank="1" showInputMessage="1" showErrorMessage="1" sqref="C10 E10 G10 I10" xr:uid="{00000000-0002-0000-1400-000000000000}">
      <formula1>土地年限区间</formula1>
    </dataValidation>
    <dataValidation type="list" allowBlank="1" showInputMessage="1" showErrorMessage="1" sqref="D1" xr:uid="{00000000-0002-0000-1400-000001000000}">
      <formula1>项目类型汇总</formula1>
    </dataValidation>
    <dataValidation type="list" allowBlank="1" showInputMessage="1" showErrorMessage="1" sqref="C43 E43 G43 I43" xr:uid="{00000000-0002-0000-1400-000002000000}">
      <formula1>内部装修维护情况</formula1>
    </dataValidation>
    <dataValidation type="list" allowBlank="1" showInputMessage="1" showErrorMessage="1" sqref="I34 C34 E34 G34" xr:uid="{00000000-0002-0000-1400-000003000000}">
      <formula1>商业建筑结构</formula1>
    </dataValidation>
    <dataValidation type="list" allowBlank="1" showInputMessage="1" showErrorMessage="1" sqref="C20 I20 G20 E20" xr:uid="{00000000-0002-0000-1400-000004000000}">
      <formula1>公共配套设施</formula1>
    </dataValidation>
    <dataValidation type="list" allowBlank="1" showInputMessage="1" showErrorMessage="1" sqref="E18 G18 I18 C18" xr:uid="{00000000-0002-0000-1400-000005000000}">
      <formula1>交通便捷度</formula1>
    </dataValidation>
    <dataValidation type="list" allowBlank="1" showInputMessage="1" showErrorMessage="1" sqref="E24 G24 I24 C24" xr:uid="{00000000-0002-0000-1400-000006000000}">
      <formula1>环境</formula1>
    </dataValidation>
    <dataValidation type="list" allowBlank="1" showInputMessage="1" showErrorMessage="1" sqref="C25 E25 G25 I25" xr:uid="{00000000-0002-0000-1400-000007000000}">
      <formula1>商业临街状况</formula1>
    </dataValidation>
    <dataValidation type="list" allowBlank="1" showInputMessage="1" showErrorMessage="1" sqref="C27 E27 G27 I27" xr:uid="{00000000-0002-0000-1400-000008000000}">
      <formula1>商业人流量</formula1>
    </dataValidation>
    <dataValidation type="list" allowBlank="1" showInputMessage="1" showErrorMessage="1" sqref="C28 E28 G28 I28" xr:uid="{00000000-0002-0000-1400-000009000000}">
      <formula1>商业楼层</formula1>
    </dataValidation>
    <dataValidation type="list" allowBlank="1" showInputMessage="1" showErrorMessage="1" sqref="C32 E32 G32 I32" xr:uid="{00000000-0002-0000-1400-00000A000000}">
      <formula1>商业类型</formula1>
    </dataValidation>
    <dataValidation type="list" allowBlank="1" showInputMessage="1" showErrorMessage="1" sqref="C35 E35 G35 I35" xr:uid="{00000000-0002-0000-1400-00000B000000}">
      <formula1>商业公共部分装修</formula1>
    </dataValidation>
    <dataValidation type="list" allowBlank="1" showInputMessage="1" showErrorMessage="1" sqref="C37 E37 G37 I37" xr:uid="{00000000-0002-0000-1400-00000C000000}">
      <formula1>商业基础设施水平</formula1>
    </dataValidation>
    <dataValidation type="list" allowBlank="1" showInputMessage="1" showErrorMessage="1" sqref="C41 E41 G41 I41" xr:uid="{00000000-0002-0000-1400-00000D000000}">
      <formula1>商业进深比</formula1>
    </dataValidation>
    <dataValidation type="list" allowBlank="1" showInputMessage="1" showErrorMessage="1" sqref="C42 E42 G42 I42" xr:uid="{00000000-0002-0000-1400-00000E000000}">
      <formula1>商业内部装修</formula1>
    </dataValidation>
    <dataValidation type="list" allowBlank="1" showInputMessage="1" showErrorMessage="1" sqref="E9 G9 I9" xr:uid="{00000000-0002-0000-1400-00000F000000}">
      <formula1>商业用途</formula1>
    </dataValidation>
    <dataValidation type="list" allowBlank="1" showInputMessage="1" showErrorMessage="1" sqref="C38 E38 G38 I38" xr:uid="{00000000-0002-0000-1400-000010000000}">
      <formula1>商业业态</formula1>
    </dataValidation>
    <dataValidation type="list" allowBlank="1" showInputMessage="1" showErrorMessage="1" sqref="C39 E39 G39 I39" xr:uid="{00000000-0002-0000-1400-000011000000}">
      <formula1>商业层高</formula1>
    </dataValidation>
    <dataValidation type="list" allowBlank="1" showInputMessage="1" showErrorMessage="1" sqref="C8 E8 G8 I8" xr:uid="{00000000-0002-0000-1400-000012000000}">
      <formula1>商业交易情况</formula1>
    </dataValidation>
    <dataValidation type="list" allowBlank="1" showInputMessage="1" showErrorMessage="1" sqref="C16 E16 G16 I16" xr:uid="{00000000-0002-0000-1400-000013000000}">
      <formula1>商业繁华度</formula1>
    </dataValidation>
    <dataValidation type="list" allowBlank="1" showInputMessage="1" showErrorMessage="1" sqref="C1" xr:uid="{00000000-0002-0000-1400-000014000000}">
      <formula1>"估价对象,仅计算典型户型"</formula1>
    </dataValidation>
    <dataValidation type="list" allowBlank="1" showInputMessage="1" showErrorMessage="1" sqref="C22 E22 G22 I22" xr:uid="{00000000-0002-0000-1400-000015000000}">
      <formula1>基础设施水平</formula1>
    </dataValidation>
    <dataValidation type="list" allowBlank="1" showInputMessage="1" showErrorMessage="1" sqref="E1" xr:uid="{00000000-0002-0000-1400-000016000000}">
      <formula1>"售价,租金"</formula1>
    </dataValidation>
    <dataValidation type="list" allowBlank="1" showInputMessage="1" showErrorMessage="1" sqref="D2" xr:uid="{00000000-0002-0000-1400-000017000000}">
      <formula1>"需扣减承租人权益,——"</formula1>
    </dataValidation>
    <dataValidation type="list" allowBlank="1" showInputMessage="1" showErrorMessage="1" sqref="G2" xr:uid="{00000000-0002-0000-1400-000018000000}">
      <formula1>估价方法</formula1>
    </dataValidation>
    <dataValidation type="list" allowBlank="1" showInputMessage="1" showErrorMessage="1" sqref="D48" xr:uid="{00000000-0002-0000-1400-000019000000}">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625" style="296" customWidth="1"/>
    <col min="3" max="3" width="14.375" style="296" customWidth="1"/>
    <col min="4" max="4" width="12.125" style="296" customWidth="1"/>
    <col min="5" max="5" width="14.375" style="296" customWidth="1"/>
    <col min="6" max="6" width="12.125" style="296" customWidth="1"/>
    <col min="7" max="7" width="14.5" style="296" customWidth="1"/>
    <col min="8" max="8" width="12.125" style="296" customWidth="1"/>
    <col min="9" max="9" width="14.5" style="296" customWidth="1"/>
    <col min="10" max="10" width="12.125" style="296" customWidth="1"/>
    <col min="11" max="11" width="12.125" style="381" customWidth="1"/>
    <col min="12" max="12" width="12.125" style="382" customWidth="1"/>
    <col min="13" max="15" width="12.125" style="296" customWidth="1"/>
    <col min="16" max="16" width="4.625" style="296" customWidth="1"/>
    <col min="17" max="17" width="19.5" style="296" customWidth="1"/>
    <col min="18" max="22" width="6.125" style="296" customWidth="1"/>
    <col min="23" max="23" width="5.625" style="296" customWidth="1"/>
    <col min="24" max="24" width="4.125" style="296" customWidth="1"/>
    <col min="25" max="25" width="3.5" style="296" customWidth="1"/>
    <col min="26" max="26" width="19.625" style="296" customWidth="1"/>
    <col min="27" max="28" width="9.375" style="296" customWidth="1"/>
    <col min="29" max="16384" width="9" style="296"/>
  </cols>
  <sheetData>
    <row r="1" spans="1:29" s="1229" customFormat="1" ht="28.5" customHeight="1" thickBot="1">
      <c r="A1" s="1220" t="s">
        <v>2240</v>
      </c>
      <c r="B1" s="1226" t="s">
        <v>2399</v>
      </c>
      <c r="C1" s="1218"/>
      <c r="D1" s="1231"/>
      <c r="E1" s="1559"/>
      <c r="F1" s="1232" t="s">
        <v>2242</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1912</v>
      </c>
      <c r="B2" s="1217" t="e">
        <f ca="1">IF(D2="——",IF(C2="元",ROUND(C43*D3,0),ROUND(C43*D3/10000,0)),IF(C2="元",ROUND(C43*D3,0),ROUND(C43*D3/10000,0))-E2)</f>
        <v>#DIV/0!</v>
      </c>
      <c r="C2" s="79" t="str">
        <f>'数据-取费表'!B3</f>
        <v>元</v>
      </c>
      <c r="D2" s="1560"/>
      <c r="E2" s="1579" t="e">
        <f ca="1">SUMIF(INDIRECT("'"&amp;G2&amp;"'"&amp;"!A:A"),"承租人权益价值",INDIRECT("'"&amp;G2&amp;"'"&amp;"!c:c"))</f>
        <v>#REF!</v>
      </c>
      <c r="F2" s="1561" t="str">
        <f>C2</f>
        <v>元</v>
      </c>
      <c r="G2" s="1562"/>
      <c r="H2" s="3018"/>
      <c r="I2" s="3018"/>
      <c r="J2" s="3018"/>
      <c r="K2" s="3018"/>
      <c r="L2" s="3019"/>
      <c r="M2" s="3020"/>
      <c r="N2" s="3020"/>
      <c r="O2" s="3020"/>
      <c r="P2" s="625"/>
      <c r="Q2" s="625"/>
      <c r="R2" s="625"/>
      <c r="S2" s="625"/>
      <c r="T2" s="625"/>
      <c r="U2" s="625"/>
      <c r="V2" s="625"/>
      <c r="W2" s="625"/>
      <c r="X2" s="625"/>
      <c r="Y2" s="625"/>
      <c r="Z2" s="625"/>
      <c r="AA2" s="625"/>
      <c r="AB2" s="625"/>
      <c r="AC2" s="639"/>
    </row>
    <row r="3" spans="1:29" s="291" customFormat="1" ht="28.5" customHeight="1" thickBot="1">
      <c r="A3" s="83" t="s">
        <v>1913</v>
      </c>
      <c r="B3" s="495" t="e">
        <f ca="1">ROUND(IF(D2="——",C43,IF(C2="万元",B2*10000/D3,B2/D3)),0)</f>
        <v>#DIV/0!</v>
      </c>
      <c r="C3" s="293" t="s">
        <v>2243</v>
      </c>
      <c r="D3" s="292">
        <f>IF(C1="仅计算典型户型",'数据-取费表'!E5,'数据-取费表'!B5)</f>
        <v>1088.48</v>
      </c>
      <c r="E3" s="3018"/>
      <c r="F3" s="3021"/>
      <c r="G3" s="3018"/>
      <c r="H3" s="3018"/>
      <c r="I3" s="3018"/>
      <c r="J3" s="3018"/>
      <c r="K3" s="3022"/>
      <c r="L3" s="3019"/>
      <c r="M3" s="3020"/>
      <c r="N3" s="3020"/>
      <c r="O3" s="3020"/>
      <c r="P3" s="625"/>
      <c r="Q3" s="625"/>
      <c r="R3" s="625"/>
      <c r="S3" s="625"/>
      <c r="T3" s="625"/>
      <c r="U3" s="625"/>
      <c r="V3" s="625"/>
      <c r="W3" s="625"/>
      <c r="X3" s="625"/>
      <c r="Y3" s="625"/>
      <c r="Z3" s="625"/>
      <c r="AA3" s="625"/>
      <c r="AB3" s="644"/>
      <c r="AC3" s="639"/>
    </row>
    <row r="4" spans="1:29" ht="15">
      <c r="A4" s="294" t="s">
        <v>2244</v>
      </c>
      <c r="B4" s="295"/>
      <c r="C4" s="4553" t="s">
        <v>2245</v>
      </c>
      <c r="D4" s="4554"/>
      <c r="E4" s="4555" t="s">
        <v>2246</v>
      </c>
      <c r="F4" s="4556"/>
      <c r="G4" s="4553" t="s">
        <v>2247</v>
      </c>
      <c r="H4" s="4554"/>
      <c r="I4" s="4553" t="s">
        <v>2248</v>
      </c>
      <c r="J4" s="4554"/>
      <c r="K4" s="496" t="s">
        <v>2249</v>
      </c>
      <c r="L4" s="3023"/>
      <c r="M4" s="3024"/>
      <c r="N4" s="3024"/>
      <c r="O4" s="3024"/>
      <c r="P4" s="4557" t="s">
        <v>2250</v>
      </c>
      <c r="Q4" s="4558"/>
      <c r="R4" s="4540" t="s">
        <v>2246</v>
      </c>
      <c r="S4" s="4541"/>
      <c r="T4" s="4540" t="s">
        <v>2247</v>
      </c>
      <c r="U4" s="4541"/>
      <c r="V4" s="4563" t="s">
        <v>2248</v>
      </c>
      <c r="W4" s="4563"/>
      <c r="X4" s="1335"/>
      <c r="Y4" s="4540" t="s">
        <v>2250</v>
      </c>
      <c r="Z4" s="4541"/>
      <c r="AA4" s="4550" t="s">
        <v>2246</v>
      </c>
      <c r="AB4" s="4551" t="s">
        <v>2247</v>
      </c>
      <c r="AC4" s="4550" t="s">
        <v>2248</v>
      </c>
    </row>
    <row r="5" spans="1:29" ht="15">
      <c r="A5" s="297"/>
      <c r="B5" s="298"/>
      <c r="C5" s="4566" t="s">
        <v>2251</v>
      </c>
      <c r="D5" s="4567"/>
      <c r="E5" s="4564" t="s">
        <v>2252</v>
      </c>
      <c r="F5" s="4565"/>
      <c r="G5" s="4566" t="s">
        <v>2253</v>
      </c>
      <c r="H5" s="4567"/>
      <c r="I5" s="4566" t="s">
        <v>2254</v>
      </c>
      <c r="J5" s="4567"/>
      <c r="K5" s="496"/>
      <c r="L5" s="3023"/>
      <c r="M5" s="3024"/>
      <c r="N5" s="3024"/>
      <c r="O5" s="3024"/>
      <c r="P5" s="4559"/>
      <c r="Q5" s="4560"/>
      <c r="R5" s="4542"/>
      <c r="S5" s="4543"/>
      <c r="T5" s="4542"/>
      <c r="U5" s="4543"/>
      <c r="V5" s="4563"/>
      <c r="W5" s="4563"/>
      <c r="X5" s="1335"/>
      <c r="Y5" s="4542"/>
      <c r="Z5" s="4543"/>
      <c r="AA5" s="4551"/>
      <c r="AB5" s="4551"/>
      <c r="AC5" s="4551"/>
    </row>
    <row r="6" spans="1:29" ht="15.75" thickBot="1">
      <c r="A6" s="299"/>
      <c r="B6" s="300"/>
      <c r="C6" s="4568" t="s">
        <v>2255</v>
      </c>
      <c r="D6" s="4569"/>
      <c r="E6" s="4570" t="s">
        <v>2255</v>
      </c>
      <c r="F6" s="4571"/>
      <c r="G6" s="4568" t="s">
        <v>2255</v>
      </c>
      <c r="H6" s="4569"/>
      <c r="I6" s="4568" t="s">
        <v>2255</v>
      </c>
      <c r="J6" s="4569"/>
      <c r="K6" s="496" t="s">
        <v>2256</v>
      </c>
      <c r="L6" s="3023"/>
      <c r="M6" s="3024"/>
      <c r="N6" s="3024"/>
      <c r="O6" s="3024"/>
      <c r="P6" s="4561"/>
      <c r="Q6" s="4562"/>
      <c r="R6" s="4542"/>
      <c r="S6" s="4543"/>
      <c r="T6" s="4544"/>
      <c r="U6" s="4545"/>
      <c r="V6" s="4563"/>
      <c r="W6" s="4563"/>
      <c r="X6" s="1335"/>
      <c r="Y6" s="4544"/>
      <c r="Z6" s="4545"/>
      <c r="AA6" s="4552"/>
      <c r="AB6" s="4552"/>
      <c r="AC6" s="4552"/>
    </row>
    <row r="7" spans="1:29" s="25" customFormat="1" ht="15.75" thickBot="1">
      <c r="A7" s="301" t="s">
        <v>2257</v>
      </c>
      <c r="B7" s="302"/>
      <c r="C7" s="303">
        <f>'数据-取费表'!B2</f>
        <v>42402</v>
      </c>
      <c r="D7" s="304">
        <v>100</v>
      </c>
      <c r="E7" s="305"/>
      <c r="F7" s="306">
        <f>SUMIF(52:52,YEAR(E7)&amp;"-"&amp;MONTH(E7),53:53)</f>
        <v>0</v>
      </c>
      <c r="G7" s="305"/>
      <c r="H7" s="304">
        <f>SUMIF(52:52,YEAR(G7)&amp;"-"&amp;MONTH(G7),53:53)</f>
        <v>0</v>
      </c>
      <c r="I7" s="305"/>
      <c r="J7" s="304">
        <f>SUMIF(52:52,YEAR(I7)&amp;"-"&amp;MONTH(I7),53:53)</f>
        <v>0</v>
      </c>
      <c r="K7" s="497"/>
      <c r="L7" s="3025"/>
      <c r="M7" s="3026"/>
      <c r="N7" s="3026"/>
      <c r="O7" s="3026"/>
      <c r="P7" s="4538" t="s">
        <v>2258</v>
      </c>
      <c r="Q7" s="4546"/>
      <c r="R7" s="627" t="s">
        <v>25</v>
      </c>
      <c r="S7" s="628">
        <f t="shared" ref="S7:S15" si="0">F7</f>
        <v>0</v>
      </c>
      <c r="T7" s="627" t="s">
        <v>25</v>
      </c>
      <c r="U7" s="628">
        <f t="shared" ref="U7:U15" si="1">H7</f>
        <v>0</v>
      </c>
      <c r="V7" s="627" t="s">
        <v>25</v>
      </c>
      <c r="W7" s="628">
        <f t="shared" ref="W7:W15" si="2">J7</f>
        <v>0</v>
      </c>
      <c r="X7" s="629"/>
      <c r="Y7" s="4538" t="s">
        <v>2258</v>
      </c>
      <c r="Z7" s="4539"/>
      <c r="AA7" s="630" t="e">
        <f>D7/F7</f>
        <v>#DIV/0!</v>
      </c>
      <c r="AB7" s="630" t="e">
        <f>D7/H7</f>
        <v>#DIV/0!</v>
      </c>
      <c r="AC7" s="630" t="e">
        <f>D7/J7</f>
        <v>#DIV/0!</v>
      </c>
    </row>
    <row r="8" spans="1:29" s="25" customFormat="1" ht="15.75" thickBot="1">
      <c r="A8" s="301" t="s">
        <v>2259</v>
      </c>
      <c r="B8" s="302"/>
      <c r="C8" s="307" t="s">
        <v>2873</v>
      </c>
      <c r="D8" s="304">
        <v>100</v>
      </c>
      <c r="E8" s="307"/>
      <c r="F8" s="306">
        <f>SUMIF(55:55,E8,56:56)-SUMIF(55:55,C8,56:56)+100</f>
        <v>0</v>
      </c>
      <c r="G8" s="307"/>
      <c r="H8" s="304">
        <f>SUMIF(55:55,G8,56:56)-SUMIF(55:55,C8,56:56)+100</f>
        <v>0</v>
      </c>
      <c r="I8" s="307"/>
      <c r="J8" s="304">
        <f>SUMIF(55:55,I8,56:56)-SUMIF(55:55,C8,56:56)+100</f>
        <v>0</v>
      </c>
      <c r="K8" s="497"/>
      <c r="L8" s="3025"/>
      <c r="M8" s="3026"/>
      <c r="N8" s="3026"/>
      <c r="O8" s="3026"/>
      <c r="P8" s="4538" t="s">
        <v>2261</v>
      </c>
      <c r="Q8" s="4539"/>
      <c r="R8" s="627" t="s">
        <v>25</v>
      </c>
      <c r="S8" s="628">
        <f t="shared" si="0"/>
        <v>0</v>
      </c>
      <c r="T8" s="627" t="s">
        <v>25</v>
      </c>
      <c r="U8" s="628">
        <f t="shared" si="1"/>
        <v>0</v>
      </c>
      <c r="V8" s="627" t="s">
        <v>25</v>
      </c>
      <c r="W8" s="628">
        <f t="shared" si="2"/>
        <v>0</v>
      </c>
      <c r="X8" s="629"/>
      <c r="Y8" s="4538" t="s">
        <v>2261</v>
      </c>
      <c r="Z8" s="4539"/>
      <c r="AA8" s="630" t="e">
        <f t="shared" ref="AA8:AA40" si="3">D8/F8</f>
        <v>#DIV/0!</v>
      </c>
      <c r="AB8" s="630" t="e">
        <f t="shared" ref="AB8:AB40" si="4">D8/H8</f>
        <v>#DIV/0!</v>
      </c>
      <c r="AC8" s="630" t="e">
        <f t="shared" ref="AC8:AC40" si="5">D8/J8</f>
        <v>#DIV/0!</v>
      </c>
    </row>
    <row r="9" spans="1:29" s="25" customFormat="1">
      <c r="A9" s="308" t="s">
        <v>2262</v>
      </c>
      <c r="B9" s="24" t="s">
        <v>2263</v>
      </c>
      <c r="C9" s="309"/>
      <c r="D9" s="28">
        <v>100</v>
      </c>
      <c r="E9" s="311"/>
      <c r="F9" s="28">
        <f>SUMIF(57:57,E9,58:58)-SUMIF(57:57,C9,58:58)+100</f>
        <v>100</v>
      </c>
      <c r="G9" s="310"/>
      <c r="H9" s="28">
        <f>SUMIF(57:57,G9,58:58)-SUMIF(57:57,C9,58:58)+100</f>
        <v>100</v>
      </c>
      <c r="I9" s="310"/>
      <c r="J9" s="28">
        <f>SUMIF(57:57,I9,58:58)-SUMIF(57:57,C9,58:58)+100</f>
        <v>100</v>
      </c>
      <c r="K9" s="497"/>
      <c r="L9" s="3025"/>
      <c r="M9" s="3026"/>
      <c r="N9" s="3026"/>
      <c r="O9" s="3027"/>
      <c r="P9" s="4530" t="s">
        <v>2264</v>
      </c>
      <c r="Q9" s="1327" t="str">
        <f t="shared" ref="Q9:Q15" si="6">B9</f>
        <v>用途</v>
      </c>
      <c r="R9" s="627" t="s">
        <v>25</v>
      </c>
      <c r="S9" s="628">
        <f t="shared" si="0"/>
        <v>100</v>
      </c>
      <c r="T9" s="627" t="s">
        <v>25</v>
      </c>
      <c r="U9" s="628">
        <f t="shared" si="1"/>
        <v>100</v>
      </c>
      <c r="V9" s="627" t="s">
        <v>25</v>
      </c>
      <c r="W9" s="628">
        <f t="shared" si="2"/>
        <v>100</v>
      </c>
      <c r="X9" s="629"/>
      <c r="Y9" s="4549" t="s">
        <v>2265</v>
      </c>
      <c r="Z9" s="19" t="str">
        <f t="shared" ref="Z9:Z15" si="7">Q9</f>
        <v>用途</v>
      </c>
      <c r="AA9" s="630">
        <f t="shared" si="3"/>
        <v>1</v>
      </c>
      <c r="AB9" s="630">
        <f t="shared" si="4"/>
        <v>1</v>
      </c>
      <c r="AC9" s="630">
        <f t="shared" si="5"/>
        <v>1</v>
      </c>
    </row>
    <row r="10" spans="1:29" s="317" customFormat="1" ht="27">
      <c r="A10" s="312"/>
      <c r="B10" s="313" t="s">
        <v>2266</v>
      </c>
      <c r="C10" s="314"/>
      <c r="D10" s="29">
        <v>100</v>
      </c>
      <c r="E10" s="314"/>
      <c r="F10" s="29">
        <f>SUMIF(59:59,E10,60:60)-SUMIF(59:59,C10,60:60)+100</f>
        <v>100</v>
      </c>
      <c r="G10" s="315"/>
      <c r="H10" s="29">
        <f>SUMIF(59:59,G10,60:60)-SUMIF(59:59,C10,60:60)+100</f>
        <v>100</v>
      </c>
      <c r="I10" s="314"/>
      <c r="J10" s="29">
        <f>SUMIF(59:59,I10,60:60)-SUMIF(59:59,C10,60:60)+100</f>
        <v>100</v>
      </c>
      <c r="K10" s="498"/>
      <c r="L10" s="3028"/>
      <c r="M10" s="3029"/>
      <c r="N10" s="3029"/>
      <c r="O10" s="3030"/>
      <c r="P10" s="4530"/>
      <c r="Q10" s="1327" t="str">
        <f t="shared" si="6"/>
        <v>土地使用年限（年）</v>
      </c>
      <c r="R10" s="627" t="s">
        <v>25</v>
      </c>
      <c r="S10" s="628">
        <f t="shared" si="0"/>
        <v>100</v>
      </c>
      <c r="T10" s="627" t="s">
        <v>25</v>
      </c>
      <c r="U10" s="628">
        <f t="shared" si="1"/>
        <v>100</v>
      </c>
      <c r="V10" s="627" t="s">
        <v>25</v>
      </c>
      <c r="W10" s="628">
        <f t="shared" si="2"/>
        <v>100</v>
      </c>
      <c r="X10" s="629"/>
      <c r="Y10" s="4549"/>
      <c r="Z10" s="19" t="str">
        <f t="shared" si="7"/>
        <v>土地使用年限（年）</v>
      </c>
      <c r="AA10" s="630">
        <f t="shared" si="3"/>
        <v>1</v>
      </c>
      <c r="AB10" s="630">
        <f t="shared" si="4"/>
        <v>1</v>
      </c>
      <c r="AC10" s="630">
        <f t="shared" si="5"/>
        <v>1</v>
      </c>
    </row>
    <row r="11" spans="1:29" ht="15">
      <c r="A11" s="318"/>
      <c r="B11" s="313" t="s">
        <v>2267</v>
      </c>
      <c r="C11" s="319"/>
      <c r="D11" s="29">
        <v>100</v>
      </c>
      <c r="E11" s="319"/>
      <c r="F11" s="29" t="e">
        <f>LOOKUP(E11,62:62,63:63)-LOOKUP(C11,62:62,63:63)+100</f>
        <v>#N/A</v>
      </c>
      <c r="G11" s="320"/>
      <c r="H11" s="29" t="e">
        <f>LOOKUP(G11,62:62,63:63)-LOOKUP(C11,62:62,63:63)+100</f>
        <v>#N/A</v>
      </c>
      <c r="I11" s="319"/>
      <c r="J11" s="29" t="e">
        <f>LOOKUP(I11,62:62,63:63)-LOOKUP(C11,62:62,63:63)+100</f>
        <v>#N/A</v>
      </c>
      <c r="K11" s="498"/>
      <c r="L11" s="3031"/>
      <c r="M11" s="3024"/>
      <c r="N11" s="3024"/>
      <c r="O11" s="3032"/>
      <c r="P11" s="4530"/>
      <c r="Q11" s="1327" t="str">
        <f t="shared" si="6"/>
        <v>容积率</v>
      </c>
      <c r="R11" s="627" t="s">
        <v>25</v>
      </c>
      <c r="S11" s="628" t="e">
        <f t="shared" si="0"/>
        <v>#N/A</v>
      </c>
      <c r="T11" s="627" t="s">
        <v>25</v>
      </c>
      <c r="U11" s="628" t="e">
        <f t="shared" si="1"/>
        <v>#N/A</v>
      </c>
      <c r="V11" s="627" t="s">
        <v>25</v>
      </c>
      <c r="W11" s="628" t="e">
        <f t="shared" si="2"/>
        <v>#N/A</v>
      </c>
      <c r="X11" s="629"/>
      <c r="Y11" s="4549"/>
      <c r="Z11" s="19" t="str">
        <f t="shared" si="7"/>
        <v>容积率</v>
      </c>
      <c r="AA11" s="630" t="e">
        <f t="shared" si="3"/>
        <v>#N/A</v>
      </c>
      <c r="AB11" s="630" t="e">
        <f t="shared" si="4"/>
        <v>#N/A</v>
      </c>
      <c r="AC11" s="630" t="e">
        <f t="shared" si="5"/>
        <v>#N/A</v>
      </c>
    </row>
    <row r="12" spans="1:29" s="25" customFormat="1" ht="15">
      <c r="A12" s="321"/>
      <c r="B12" s="1563">
        <v>111</v>
      </c>
      <c r="C12" s="322"/>
      <c r="D12" s="323">
        <v>100</v>
      </c>
      <c r="E12" s="324"/>
      <c r="F12" s="29">
        <f>SUMIF(64:64,E12,65:65)-SUMIF(64:64,C12,65:65)+100</f>
        <v>100</v>
      </c>
      <c r="G12" s="1580"/>
      <c r="H12" s="29">
        <f>SUMIF(64:64,G12,65:65)-SUMIF(64:64,C12,65:65)+100</f>
        <v>100</v>
      </c>
      <c r="I12" s="357"/>
      <c r="J12" s="29">
        <f>SUMIF(64:64,I12,65:65)-SUMIF(64:64,C12,65:65)+100</f>
        <v>100</v>
      </c>
      <c r="K12" s="499"/>
      <c r="L12" s="3025"/>
      <c r="M12" s="3026"/>
      <c r="N12" s="3026"/>
      <c r="O12" s="3027"/>
      <c r="P12" s="4530"/>
      <c r="Q12" s="1327">
        <f t="shared" si="6"/>
        <v>111</v>
      </c>
      <c r="R12" s="627" t="s">
        <v>25</v>
      </c>
      <c r="S12" s="628">
        <f t="shared" si="0"/>
        <v>100</v>
      </c>
      <c r="T12" s="627" t="s">
        <v>25</v>
      </c>
      <c r="U12" s="628">
        <f t="shared" si="1"/>
        <v>100</v>
      </c>
      <c r="V12" s="627" t="s">
        <v>25</v>
      </c>
      <c r="W12" s="628">
        <f t="shared" si="2"/>
        <v>100</v>
      </c>
      <c r="X12" s="629"/>
      <c r="Y12" s="4549"/>
      <c r="Z12" s="19">
        <f t="shared" si="7"/>
        <v>111</v>
      </c>
      <c r="AA12" s="630">
        <f>D12/F12</f>
        <v>1</v>
      </c>
      <c r="AB12" s="630">
        <f>D12/H12</f>
        <v>1</v>
      </c>
      <c r="AC12" s="630">
        <f>D12/J12</f>
        <v>1</v>
      </c>
    </row>
    <row r="13" spans="1:29" ht="15">
      <c r="A13" s="318"/>
      <c r="B13" s="1563">
        <v>111</v>
      </c>
      <c r="C13" s="324"/>
      <c r="D13" s="325">
        <v>100</v>
      </c>
      <c r="E13" s="324"/>
      <c r="F13" s="29">
        <f>SUMIF(66:66,E13,67:67)-SUMIF(66:66,C13,67:67)+100</f>
        <v>100</v>
      </c>
      <c r="G13" s="1580"/>
      <c r="H13" s="325">
        <f>SUMIF(66:66,G13,67:67)-SUMIF(66:66,C13,67:67)+100</f>
        <v>100</v>
      </c>
      <c r="I13" s="357"/>
      <c r="J13" s="325">
        <f>SUMIF(66:66,I13,67:67)-SUMIF(66:66,C13,67:67)+100</f>
        <v>100</v>
      </c>
      <c r="K13" s="499"/>
      <c r="L13" s="3033"/>
      <c r="M13" s="3024"/>
      <c r="N13" s="3024"/>
      <c r="O13" s="3032"/>
      <c r="P13" s="4530"/>
      <c r="Q13" s="1327">
        <f t="shared" si="6"/>
        <v>111</v>
      </c>
      <c r="R13" s="627" t="s">
        <v>25</v>
      </c>
      <c r="S13" s="628">
        <f t="shared" si="0"/>
        <v>100</v>
      </c>
      <c r="T13" s="627" t="s">
        <v>25</v>
      </c>
      <c r="U13" s="628">
        <f t="shared" si="1"/>
        <v>100</v>
      </c>
      <c r="V13" s="627" t="s">
        <v>25</v>
      </c>
      <c r="W13" s="628">
        <f t="shared" si="2"/>
        <v>100</v>
      </c>
      <c r="X13" s="629"/>
      <c r="Y13" s="4549"/>
      <c r="Z13" s="19">
        <f t="shared" si="7"/>
        <v>111</v>
      </c>
      <c r="AA13" s="630">
        <f t="shared" si="3"/>
        <v>1</v>
      </c>
      <c r="AB13" s="630">
        <f t="shared" si="4"/>
        <v>1</v>
      </c>
      <c r="AC13" s="630">
        <f t="shared" si="5"/>
        <v>1</v>
      </c>
    </row>
    <row r="14" spans="1:29" ht="15.75" thickBot="1">
      <c r="A14" s="326"/>
      <c r="B14" s="1564">
        <v>111</v>
      </c>
      <c r="C14" s="1565"/>
      <c r="D14" s="327">
        <v>100</v>
      </c>
      <c r="E14" s="1565"/>
      <c r="F14" s="327">
        <f>SUMIF(68:68,E14,69:69)-SUMIF(68:68,C14,69:69)+100</f>
        <v>100</v>
      </c>
      <c r="G14" s="1580"/>
      <c r="H14" s="327">
        <f>SUMIF(68:68,G14,69:69)-SUMIF(68:68,C14,69:69)+100</f>
        <v>100</v>
      </c>
      <c r="I14" s="357"/>
      <c r="J14" s="327">
        <f>SUMIF(68:68,I14,69:69)-SUMIF(68:68,C14,69:69)+100</f>
        <v>100</v>
      </c>
      <c r="K14" s="499"/>
      <c r="L14" s="3033"/>
      <c r="M14" s="3024"/>
      <c r="N14" s="3024"/>
      <c r="O14" s="3032"/>
      <c r="P14" s="4530"/>
      <c r="Q14" s="1327">
        <f t="shared" si="6"/>
        <v>111</v>
      </c>
      <c r="R14" s="627" t="s">
        <v>25</v>
      </c>
      <c r="S14" s="628">
        <f t="shared" si="0"/>
        <v>100</v>
      </c>
      <c r="T14" s="627" t="s">
        <v>25</v>
      </c>
      <c r="U14" s="628">
        <f t="shared" si="1"/>
        <v>100</v>
      </c>
      <c r="V14" s="627" t="s">
        <v>25</v>
      </c>
      <c r="W14" s="628">
        <f t="shared" si="2"/>
        <v>100</v>
      </c>
      <c r="X14" s="629"/>
      <c r="Y14" s="4549"/>
      <c r="Z14" s="19">
        <f t="shared" si="7"/>
        <v>111</v>
      </c>
      <c r="AA14" s="630">
        <f t="shared" si="3"/>
        <v>1</v>
      </c>
      <c r="AB14" s="630">
        <f t="shared" si="4"/>
        <v>1</v>
      </c>
      <c r="AC14" s="630">
        <f t="shared" si="5"/>
        <v>1</v>
      </c>
    </row>
    <row r="15" spans="1:29" ht="57">
      <c r="A15" s="329" t="s">
        <v>2268</v>
      </c>
      <c r="B15" s="22" t="s">
        <v>2400</v>
      </c>
      <c r="C15" s="158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3"/>
      <c r="M15" s="3024"/>
      <c r="N15" s="3024"/>
      <c r="O15" s="3032"/>
      <c r="P15" s="4547" t="s">
        <v>2269</v>
      </c>
      <c r="Q15" s="1334" t="str">
        <f t="shared" si="6"/>
        <v>产业集聚程度</v>
      </c>
      <c r="R15" s="631" t="s">
        <v>25</v>
      </c>
      <c r="S15" s="632">
        <f t="shared" si="0"/>
        <v>100</v>
      </c>
      <c r="T15" s="631" t="s">
        <v>25</v>
      </c>
      <c r="U15" s="632">
        <f t="shared" si="1"/>
        <v>100</v>
      </c>
      <c r="V15" s="631" t="s">
        <v>25</v>
      </c>
      <c r="W15" s="632">
        <f t="shared" si="2"/>
        <v>100</v>
      </c>
      <c r="X15" s="1335"/>
      <c r="Y15" s="4547" t="s">
        <v>2269</v>
      </c>
      <c r="Z15" s="1336" t="str">
        <f t="shared" si="7"/>
        <v>产业集聚程度</v>
      </c>
      <c r="AA15" s="1337">
        <f t="shared" si="3"/>
        <v>1</v>
      </c>
      <c r="AB15" s="1337">
        <f t="shared" si="4"/>
        <v>1</v>
      </c>
      <c r="AC15" s="1337">
        <f t="shared" si="5"/>
        <v>1</v>
      </c>
    </row>
    <row r="16" spans="1:29" ht="15">
      <c r="A16" s="318"/>
      <c r="B16" s="334"/>
      <c r="C16" s="335"/>
      <c r="D16" s="336"/>
      <c r="E16" s="335"/>
      <c r="F16" s="338"/>
      <c r="G16" s="335"/>
      <c r="H16" s="339"/>
      <c r="I16" s="335"/>
      <c r="J16" s="336"/>
      <c r="K16" s="501"/>
      <c r="L16" s="3033"/>
      <c r="M16" s="3024"/>
      <c r="N16" s="3024"/>
      <c r="O16" s="3032"/>
      <c r="P16" s="4548"/>
      <c r="Q16" s="1334"/>
      <c r="R16" s="631"/>
      <c r="S16" s="632"/>
      <c r="T16" s="631"/>
      <c r="U16" s="632"/>
      <c r="V16" s="631"/>
      <c r="W16" s="632"/>
      <c r="X16" s="1335"/>
      <c r="Y16" s="4548"/>
      <c r="Z16" s="1336"/>
      <c r="AA16" s="1337">
        <v>1</v>
      </c>
      <c r="AB16" s="1337">
        <v>1</v>
      </c>
      <c r="AC16" s="1337">
        <v>1</v>
      </c>
    </row>
    <row r="17" spans="1:29" ht="85.5">
      <c r="A17" s="318"/>
      <c r="B17" s="340" t="s">
        <v>1704</v>
      </c>
      <c r="C17" s="156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3"/>
      <c r="M17" s="3024"/>
      <c r="N17" s="3024"/>
      <c r="O17" s="3032"/>
      <c r="P17" s="4548"/>
      <c r="Q17" s="1334" t="str">
        <f>B17</f>
        <v>交通便捷度</v>
      </c>
      <c r="R17" s="631" t="s">
        <v>25</v>
      </c>
      <c r="S17" s="632">
        <f>F17</f>
        <v>100</v>
      </c>
      <c r="T17" s="631" t="s">
        <v>25</v>
      </c>
      <c r="U17" s="632">
        <f>H17</f>
        <v>100</v>
      </c>
      <c r="V17" s="631" t="s">
        <v>25</v>
      </c>
      <c r="W17" s="632">
        <f>J17</f>
        <v>100</v>
      </c>
      <c r="X17" s="1335"/>
      <c r="Y17" s="4548"/>
      <c r="Z17" s="1336" t="str">
        <f>Q17</f>
        <v>交通便捷度</v>
      </c>
      <c r="AA17" s="1337">
        <f t="shared" si="3"/>
        <v>1</v>
      </c>
      <c r="AB17" s="1337">
        <f t="shared" si="4"/>
        <v>1</v>
      </c>
      <c r="AC17" s="1337">
        <f t="shared" si="5"/>
        <v>1</v>
      </c>
    </row>
    <row r="18" spans="1:29" ht="15">
      <c r="A18" s="318"/>
      <c r="B18" s="345"/>
      <c r="C18" s="346"/>
      <c r="D18" s="339"/>
      <c r="E18" s="1131"/>
      <c r="F18" s="342"/>
      <c r="G18" s="1568"/>
      <c r="H18" s="336"/>
      <c r="I18" s="1131"/>
      <c r="J18" s="336"/>
      <c r="K18" s="501"/>
      <c r="L18" s="3033"/>
      <c r="M18" s="3024"/>
      <c r="N18" s="3024"/>
      <c r="O18" s="3032"/>
      <c r="P18" s="4548"/>
      <c r="Q18" s="1334"/>
      <c r="R18" s="631"/>
      <c r="S18" s="632"/>
      <c r="T18" s="631"/>
      <c r="U18" s="632"/>
      <c r="V18" s="631"/>
      <c r="W18" s="632"/>
      <c r="X18" s="1335"/>
      <c r="Y18" s="4548"/>
      <c r="Z18" s="1336"/>
      <c r="AA18" s="1337">
        <v>1</v>
      </c>
      <c r="AB18" s="1337">
        <v>1</v>
      </c>
      <c r="AC18" s="1337">
        <v>1</v>
      </c>
    </row>
    <row r="19" spans="1:29" ht="42.75">
      <c r="A19" s="318"/>
      <c r="B19" s="513" t="s">
        <v>2384</v>
      </c>
      <c r="C19" s="156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3"/>
      <c r="M19" s="3024"/>
      <c r="N19" s="3024"/>
      <c r="O19" s="3032"/>
      <c r="P19" s="4548"/>
      <c r="Q19" s="1334" t="str">
        <f>B19</f>
        <v>公共配套设施</v>
      </c>
      <c r="R19" s="631" t="s">
        <v>25</v>
      </c>
      <c r="S19" s="632">
        <f>F19</f>
        <v>100</v>
      </c>
      <c r="T19" s="631" t="s">
        <v>25</v>
      </c>
      <c r="U19" s="632">
        <f>H19</f>
        <v>100</v>
      </c>
      <c r="V19" s="631" t="s">
        <v>25</v>
      </c>
      <c r="W19" s="632">
        <f>J19</f>
        <v>100</v>
      </c>
      <c r="X19" s="1335"/>
      <c r="Y19" s="4548"/>
      <c r="Z19" s="1336" t="str">
        <f>Q19</f>
        <v>公共配套设施</v>
      </c>
      <c r="AA19" s="1337">
        <f t="shared" si="3"/>
        <v>1</v>
      </c>
      <c r="AB19" s="1337">
        <f t="shared" si="4"/>
        <v>1</v>
      </c>
      <c r="AC19" s="1337">
        <f t="shared" si="5"/>
        <v>1</v>
      </c>
    </row>
    <row r="20" spans="1:29" ht="15">
      <c r="A20" s="318"/>
      <c r="B20" s="514"/>
      <c r="C20" s="335"/>
      <c r="D20" s="336"/>
      <c r="E20" s="337"/>
      <c r="F20" s="338"/>
      <c r="G20" s="1566"/>
      <c r="H20" s="336"/>
      <c r="I20" s="337"/>
      <c r="J20" s="336"/>
      <c r="K20" s="501"/>
      <c r="L20" s="3033"/>
      <c r="M20" s="3024"/>
      <c r="N20" s="3024"/>
      <c r="O20" s="3032"/>
      <c r="P20" s="4548"/>
      <c r="Q20" s="1334"/>
      <c r="R20" s="631"/>
      <c r="S20" s="632"/>
      <c r="T20" s="631"/>
      <c r="U20" s="632"/>
      <c r="V20" s="631"/>
      <c r="W20" s="632"/>
      <c r="X20" s="1335"/>
      <c r="Y20" s="4548"/>
      <c r="Z20" s="1336"/>
      <c r="AA20" s="1337">
        <v>1</v>
      </c>
      <c r="AB20" s="1337">
        <v>1</v>
      </c>
      <c r="AC20" s="1337">
        <v>1</v>
      </c>
    </row>
    <row r="21" spans="1:29" ht="28.5">
      <c r="A21" s="318"/>
      <c r="B21" s="515" t="s">
        <v>2385</v>
      </c>
      <c r="C21" s="156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3"/>
      <c r="M21" s="3024"/>
      <c r="N21" s="3024"/>
      <c r="O21" s="3032"/>
      <c r="P21" s="4548"/>
      <c r="Q21" s="1334" t="str">
        <f>B21</f>
        <v>基础设施水平</v>
      </c>
      <c r="R21" s="631" t="s">
        <v>25</v>
      </c>
      <c r="S21" s="632">
        <f>F21</f>
        <v>100</v>
      </c>
      <c r="T21" s="631" t="s">
        <v>25</v>
      </c>
      <c r="U21" s="632">
        <f>H21</f>
        <v>100</v>
      </c>
      <c r="V21" s="631" t="s">
        <v>25</v>
      </c>
      <c r="W21" s="632">
        <f>J21</f>
        <v>100</v>
      </c>
      <c r="X21" s="1335"/>
      <c r="Y21" s="4548"/>
      <c r="Z21" s="1336" t="str">
        <f>Q21</f>
        <v>基础设施水平</v>
      </c>
      <c r="AA21" s="1337">
        <f t="shared" ref="AA21" si="8">D21/F21</f>
        <v>1</v>
      </c>
      <c r="AB21" s="1337">
        <f t="shared" ref="AB21" si="9">D21/H21</f>
        <v>1</v>
      </c>
      <c r="AC21" s="1337">
        <f t="shared" ref="AC21" si="10">D21/J21</f>
        <v>1</v>
      </c>
    </row>
    <row r="22" spans="1:29" ht="15">
      <c r="A22" s="318"/>
      <c r="B22" s="1569"/>
      <c r="C22" s="346"/>
      <c r="D22" s="336"/>
      <c r="E22" s="335"/>
      <c r="F22" s="338"/>
      <c r="G22" s="335"/>
      <c r="H22" s="336"/>
      <c r="I22" s="335"/>
      <c r="J22" s="336"/>
      <c r="K22" s="1132"/>
      <c r="L22" s="3033"/>
      <c r="M22" s="3024"/>
      <c r="N22" s="3024"/>
      <c r="O22" s="3032"/>
      <c r="P22" s="4548"/>
      <c r="Q22" s="1334"/>
      <c r="R22" s="631"/>
      <c r="S22" s="632"/>
      <c r="T22" s="631"/>
      <c r="U22" s="632"/>
      <c r="V22" s="631"/>
      <c r="W22" s="632"/>
      <c r="X22" s="1335"/>
      <c r="Y22" s="4548"/>
      <c r="Z22" s="1336"/>
      <c r="AA22" s="1337">
        <v>1</v>
      </c>
      <c r="AB22" s="1337">
        <v>1</v>
      </c>
      <c r="AC22" s="1337">
        <v>1</v>
      </c>
    </row>
    <row r="23" spans="1:29" ht="71.25">
      <c r="A23" s="318"/>
      <c r="B23" s="340" t="s">
        <v>2386</v>
      </c>
      <c r="C23" s="156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3"/>
      <c r="M23" s="3024"/>
      <c r="N23" s="3024"/>
      <c r="O23" s="3032"/>
      <c r="P23" s="4548"/>
      <c r="Q23" s="1334" t="str">
        <f>B23</f>
        <v>环境质量</v>
      </c>
      <c r="R23" s="631" t="s">
        <v>25</v>
      </c>
      <c r="S23" s="632">
        <f>F23</f>
        <v>100</v>
      </c>
      <c r="T23" s="631" t="s">
        <v>25</v>
      </c>
      <c r="U23" s="632">
        <f>H23</f>
        <v>100</v>
      </c>
      <c r="V23" s="631" t="s">
        <v>25</v>
      </c>
      <c r="W23" s="632">
        <f>J23</f>
        <v>100</v>
      </c>
      <c r="X23" s="1335"/>
      <c r="Y23" s="4548"/>
      <c r="Z23" s="1336" t="str">
        <f>Q23</f>
        <v>环境质量</v>
      </c>
      <c r="AA23" s="1337">
        <f t="shared" si="3"/>
        <v>1</v>
      </c>
      <c r="AB23" s="1337">
        <f t="shared" si="4"/>
        <v>1</v>
      </c>
      <c r="AC23" s="1337">
        <f t="shared" si="5"/>
        <v>1</v>
      </c>
    </row>
    <row r="24" spans="1:29" ht="15">
      <c r="A24" s="318"/>
      <c r="B24" s="1569"/>
      <c r="C24" s="335"/>
      <c r="D24" s="336"/>
      <c r="E24" s="337"/>
      <c r="F24" s="338"/>
      <c r="G24" s="1566"/>
      <c r="H24" s="336"/>
      <c r="I24" s="337"/>
      <c r="J24" s="336"/>
      <c r="K24" s="501"/>
      <c r="L24" s="3033"/>
      <c r="M24" s="3024"/>
      <c r="N24" s="3024"/>
      <c r="O24" s="3032"/>
      <c r="P24" s="4548"/>
      <c r="Q24" s="1334"/>
      <c r="R24" s="631"/>
      <c r="S24" s="632"/>
      <c r="T24" s="631"/>
      <c r="U24" s="632"/>
      <c r="V24" s="631"/>
      <c r="W24" s="632"/>
      <c r="X24" s="1335"/>
      <c r="Y24" s="4548"/>
      <c r="Z24" s="1336"/>
      <c r="AA24" s="1337">
        <v>1</v>
      </c>
      <c r="AB24" s="1337">
        <v>1</v>
      </c>
      <c r="AC24" s="1337">
        <v>1</v>
      </c>
    </row>
    <row r="25" spans="1:29" ht="15">
      <c r="A25" s="297"/>
      <c r="B25" s="1571">
        <v>111</v>
      </c>
      <c r="C25" s="324"/>
      <c r="D25" s="325">
        <v>100</v>
      </c>
      <c r="E25" s="324"/>
      <c r="F25" s="351">
        <f>SUMIF(80:80,E25,81:81)-SUMIF(80:80,C25,81:81)+100</f>
        <v>100</v>
      </c>
      <c r="G25" s="324"/>
      <c r="H25" s="325">
        <f>SUMIF(80:80,G25,81:81)-SUMIF(80:80,C25,81:81)+100</f>
        <v>100</v>
      </c>
      <c r="I25" s="324"/>
      <c r="J25" s="325">
        <f>SUMIF(80:80,I25,81:81)-SUMIF(80:80,C25,81:81)+100</f>
        <v>100</v>
      </c>
      <c r="K25" s="499"/>
      <c r="L25" s="3033"/>
      <c r="M25" s="3024"/>
      <c r="N25" s="3024"/>
      <c r="O25" s="3032"/>
      <c r="P25" s="4548"/>
      <c r="Q25" s="1334">
        <f>B25</f>
        <v>111</v>
      </c>
      <c r="R25" s="631" t="s">
        <v>25</v>
      </c>
      <c r="S25" s="632">
        <f>F25</f>
        <v>100</v>
      </c>
      <c r="T25" s="631" t="s">
        <v>25</v>
      </c>
      <c r="U25" s="632">
        <f>H25</f>
        <v>100</v>
      </c>
      <c r="V25" s="631" t="s">
        <v>25</v>
      </c>
      <c r="W25" s="632">
        <f>J25</f>
        <v>100</v>
      </c>
      <c r="X25" s="1335"/>
      <c r="Y25" s="4548"/>
      <c r="Z25" s="1336">
        <f>Q25</f>
        <v>111</v>
      </c>
      <c r="AA25" s="1337">
        <f t="shared" si="3"/>
        <v>1</v>
      </c>
      <c r="AB25" s="1337">
        <f t="shared" si="4"/>
        <v>1</v>
      </c>
      <c r="AC25" s="1337">
        <f t="shared" si="5"/>
        <v>1</v>
      </c>
    </row>
    <row r="26" spans="1:29" ht="15">
      <c r="A26" s="318"/>
      <c r="B26" s="1571">
        <v>111</v>
      </c>
      <c r="C26" s="324"/>
      <c r="D26" s="325">
        <v>100</v>
      </c>
      <c r="E26" s="324"/>
      <c r="F26" s="351">
        <f>SUMIF(82:82,E26,83:83)-SUMIF(82:82,C26,83:83)+100</f>
        <v>100</v>
      </c>
      <c r="G26" s="324"/>
      <c r="H26" s="325">
        <f>SUMIF(82:82,G26,83:83)-SUMIF(82:82,C26,83:83)+100</f>
        <v>100</v>
      </c>
      <c r="I26" s="324"/>
      <c r="J26" s="325">
        <f>SUMIF(82:82,I26,83:83)-SUMIF(82:82,C26,83:83)+100</f>
        <v>100</v>
      </c>
      <c r="K26" s="499"/>
      <c r="L26" s="3033"/>
      <c r="M26" s="3024"/>
      <c r="N26" s="3024"/>
      <c r="O26" s="3032"/>
      <c r="P26" s="4548"/>
      <c r="Q26" s="1334">
        <f t="shared" ref="Q26:Q40" si="11">B26</f>
        <v>111</v>
      </c>
      <c r="R26" s="631" t="s">
        <v>25</v>
      </c>
      <c r="S26" s="632">
        <f>F26</f>
        <v>100</v>
      </c>
      <c r="T26" s="631" t="s">
        <v>25</v>
      </c>
      <c r="U26" s="632">
        <f>H26</f>
        <v>100</v>
      </c>
      <c r="V26" s="631" t="s">
        <v>25</v>
      </c>
      <c r="W26" s="632">
        <f>J26</f>
        <v>100</v>
      </c>
      <c r="X26" s="1335"/>
      <c r="Y26" s="4548"/>
      <c r="Z26" s="1336">
        <f>Q26</f>
        <v>111</v>
      </c>
      <c r="AA26" s="1337">
        <f t="shared" si="3"/>
        <v>1</v>
      </c>
      <c r="AB26" s="1337">
        <f t="shared" si="4"/>
        <v>1</v>
      </c>
      <c r="AC26" s="1337">
        <f t="shared" si="5"/>
        <v>1</v>
      </c>
    </row>
    <row r="27" spans="1:29" s="25" customFormat="1" ht="15">
      <c r="A27" s="321"/>
      <c r="B27" s="1571">
        <v>111</v>
      </c>
      <c r="C27" s="324"/>
      <c r="D27" s="352">
        <v>100</v>
      </c>
      <c r="E27" s="324"/>
      <c r="F27" s="353">
        <f>SUMIF(84:84,E27,85:85)-SUMIF(84:84,C27,85:85)+100</f>
        <v>100</v>
      </c>
      <c r="G27" s="324"/>
      <c r="H27" s="352">
        <f>SUMIF(84:84,G27,85:85)-SUMIF(84:84,C27,85:85)+100</f>
        <v>100</v>
      </c>
      <c r="I27" s="324"/>
      <c r="J27" s="352">
        <f>SUMIF(84:84,I27,85:85)-SUMIF(84:84,C27,85:85)+100</f>
        <v>100</v>
      </c>
      <c r="K27" s="499"/>
      <c r="L27" s="3025"/>
      <c r="M27" s="3026"/>
      <c r="N27" s="3026"/>
      <c r="O27" s="3027"/>
      <c r="P27" s="4548"/>
      <c r="Q27" s="1327">
        <f t="shared" si="11"/>
        <v>111</v>
      </c>
      <c r="R27" s="627" t="s">
        <v>25</v>
      </c>
      <c r="S27" s="628">
        <f>F27</f>
        <v>100</v>
      </c>
      <c r="T27" s="627" t="s">
        <v>25</v>
      </c>
      <c r="U27" s="628">
        <f>H27</f>
        <v>100</v>
      </c>
      <c r="V27" s="627" t="s">
        <v>25</v>
      </c>
      <c r="W27" s="628">
        <f>J27</f>
        <v>100</v>
      </c>
      <c r="X27" s="629"/>
      <c r="Y27" s="4548"/>
      <c r="Z27" s="19">
        <f>Q27</f>
        <v>111</v>
      </c>
      <c r="AA27" s="1337">
        <f>D27/F27</f>
        <v>1</v>
      </c>
      <c r="AB27" s="1337">
        <f>D27/H27</f>
        <v>1</v>
      </c>
      <c r="AC27" s="1337">
        <f>D27/J27</f>
        <v>1</v>
      </c>
    </row>
    <row r="28" spans="1:29" ht="15.75" thickBot="1">
      <c r="A28" s="326"/>
      <c r="B28" s="1571">
        <v>111</v>
      </c>
      <c r="C28" s="1565"/>
      <c r="D28" s="327">
        <v>100</v>
      </c>
      <c r="E28" s="324"/>
      <c r="F28" s="328">
        <f>SUMIF(86:86,E28,87:87)-SUMIF(86:86,C28,87:87)+100</f>
        <v>100</v>
      </c>
      <c r="G28" s="357"/>
      <c r="H28" s="327">
        <f>SUMIF(86:86,G28,87:87)-SUMIF(86:86,C28,87:87)+100</f>
        <v>100</v>
      </c>
      <c r="I28" s="357"/>
      <c r="J28" s="327">
        <f>SUMIF(86:86,I28,87:87)-SUMIF(86:86,C28,87:87)+100</f>
        <v>100</v>
      </c>
      <c r="K28" s="499"/>
      <c r="L28" s="3033"/>
      <c r="M28" s="3024"/>
      <c r="N28" s="3024"/>
      <c r="O28" s="3032"/>
      <c r="P28" s="4548"/>
      <c r="Q28" s="1334">
        <f t="shared" si="11"/>
        <v>111</v>
      </c>
      <c r="R28" s="631" t="s">
        <v>25</v>
      </c>
      <c r="S28" s="632">
        <f t="shared" ref="S28:S40" si="12">F28</f>
        <v>100</v>
      </c>
      <c r="T28" s="631" t="s">
        <v>25</v>
      </c>
      <c r="U28" s="632">
        <f t="shared" ref="U28:U40" si="13">H28</f>
        <v>100</v>
      </c>
      <c r="V28" s="631" t="s">
        <v>25</v>
      </c>
      <c r="W28" s="632">
        <f t="shared" ref="W28:W40" si="14">J28</f>
        <v>100</v>
      </c>
      <c r="X28" s="1335"/>
      <c r="Y28" s="4548"/>
      <c r="Z28" s="1336">
        <f t="shared" ref="Z28:Z40" si="15">Q28</f>
        <v>111</v>
      </c>
      <c r="AA28" s="1337">
        <f t="shared" si="3"/>
        <v>1</v>
      </c>
      <c r="AB28" s="1337">
        <f t="shared" si="4"/>
        <v>1</v>
      </c>
      <c r="AC28" s="1337">
        <f t="shared" si="5"/>
        <v>1</v>
      </c>
    </row>
    <row r="29" spans="1:29" ht="15">
      <c r="A29" s="354" t="s">
        <v>2273</v>
      </c>
      <c r="B29" s="24" t="s">
        <v>2389</v>
      </c>
      <c r="C29" s="1577"/>
      <c r="D29" s="355">
        <v>100</v>
      </c>
      <c r="E29" s="1577"/>
      <c r="F29" s="351">
        <f>SUMIF(88:88,E29,89:89)-SUMIF(88:88,C29,89:89)+100</f>
        <v>100</v>
      </c>
      <c r="G29" s="1577"/>
      <c r="H29" s="325">
        <f>SUMIF(88:88,G29,89:89)-SUMIF(88:88,C29,89:89)+100</f>
        <v>100</v>
      </c>
      <c r="I29" s="1577"/>
      <c r="J29" s="355">
        <f>SUMIF(88:88,I29,89:89)-SUMIF(88:88,C29,89:89)+100</f>
        <v>100</v>
      </c>
      <c r="K29" s="498"/>
      <c r="L29" s="3033"/>
      <c r="M29" s="3024"/>
      <c r="N29" s="3024"/>
      <c r="O29" s="3032"/>
      <c r="P29" s="4535" t="s">
        <v>2275</v>
      </c>
      <c r="Q29" s="1334" t="str">
        <f t="shared" si="11"/>
        <v>建筑类型</v>
      </c>
      <c r="R29" s="631" t="s">
        <v>25</v>
      </c>
      <c r="S29" s="632">
        <f t="shared" si="12"/>
        <v>100</v>
      </c>
      <c r="T29" s="631" t="s">
        <v>25</v>
      </c>
      <c r="U29" s="632">
        <f t="shared" si="13"/>
        <v>100</v>
      </c>
      <c r="V29" s="631" t="s">
        <v>25</v>
      </c>
      <c r="W29" s="632">
        <f t="shared" si="14"/>
        <v>100</v>
      </c>
      <c r="X29" s="1335"/>
      <c r="Y29" s="4536" t="s">
        <v>2275</v>
      </c>
      <c r="Z29" s="1336" t="str">
        <f t="shared" si="15"/>
        <v>建筑类型</v>
      </c>
      <c r="AA29" s="1337">
        <f t="shared" si="3"/>
        <v>1</v>
      </c>
      <c r="AB29" s="1337">
        <f t="shared" si="4"/>
        <v>1</v>
      </c>
      <c r="AC29" s="1337">
        <f t="shared" si="5"/>
        <v>1</v>
      </c>
    </row>
    <row r="30" spans="1:29" s="359" customFormat="1" ht="15">
      <c r="A30" s="356"/>
      <c r="B30" s="313" t="s">
        <v>2276</v>
      </c>
      <c r="C30" s="357"/>
      <c r="D30" s="29">
        <v>100</v>
      </c>
      <c r="E30" s="320"/>
      <c r="F30" s="316" t="e">
        <f>LOOKUP(E30,91:91,92:92)-LOOKUP(C30,91:91,92:92)+100</f>
        <v>#N/A</v>
      </c>
      <c r="G30" s="319"/>
      <c r="H30" s="29" t="e">
        <f>LOOKUP(G30,91:91,92:92)-LOOKUP(C30,91:91,92:92)+100</f>
        <v>#N/A</v>
      </c>
      <c r="I30" s="319"/>
      <c r="J30" s="29" t="e">
        <f>LOOKUP(I30,91:91,92:92)-LOOKUP(C30,91:91,92:92)+100</f>
        <v>#N/A</v>
      </c>
      <c r="K30" s="499"/>
      <c r="L30" s="3031"/>
      <c r="M30" s="358"/>
      <c r="N30" s="358"/>
      <c r="O30" s="3034"/>
      <c r="P30" s="4536"/>
      <c r="Q30" s="633" t="str">
        <f t="shared" si="11"/>
        <v>项目建筑规模</v>
      </c>
      <c r="R30" s="634" t="s">
        <v>25</v>
      </c>
      <c r="S30" s="635" t="e">
        <f t="shared" si="12"/>
        <v>#N/A</v>
      </c>
      <c r="T30" s="634" t="s">
        <v>25</v>
      </c>
      <c r="U30" s="635" t="e">
        <f t="shared" si="13"/>
        <v>#N/A</v>
      </c>
      <c r="V30" s="634" t="s">
        <v>25</v>
      </c>
      <c r="W30" s="635" t="e">
        <f t="shared" si="14"/>
        <v>#N/A</v>
      </c>
      <c r="X30" s="636"/>
      <c r="Y30" s="4536"/>
      <c r="Z30" s="637" t="str">
        <f t="shared" si="15"/>
        <v>项目建筑规模</v>
      </c>
      <c r="AA30" s="1337" t="e">
        <f t="shared" si="3"/>
        <v>#N/A</v>
      </c>
      <c r="AB30" s="1337" t="e">
        <f t="shared" si="4"/>
        <v>#N/A</v>
      </c>
      <c r="AC30" s="1337" t="e">
        <f t="shared" si="5"/>
        <v>#N/A</v>
      </c>
    </row>
    <row r="31" spans="1:29" ht="15">
      <c r="A31" s="360"/>
      <c r="B31" s="313" t="s">
        <v>2277</v>
      </c>
      <c r="C31" s="350"/>
      <c r="D31" s="325">
        <v>100</v>
      </c>
      <c r="E31" s="350"/>
      <c r="F31" s="351">
        <f>SUMIF(93:93,E31,94:94)-SUMIF(93:93,C31,94:94)+100</f>
        <v>100</v>
      </c>
      <c r="G31" s="350"/>
      <c r="H31" s="325">
        <f>SUMIF(93:93,G31,94:94)-SUMIF(93:93,C31,94:94)+100</f>
        <v>100</v>
      </c>
      <c r="I31" s="350"/>
      <c r="J31" s="325">
        <f>SUMIF(93:93,I31,94:94)-SUMIF(93:93,C31,94:94)+100</f>
        <v>100</v>
      </c>
      <c r="K31" s="498"/>
      <c r="L31" s="3033"/>
      <c r="M31" s="3024"/>
      <c r="N31" s="3024"/>
      <c r="O31" s="3032"/>
      <c r="P31" s="4536"/>
      <c r="Q31" s="1334" t="str">
        <f t="shared" si="11"/>
        <v>建筑结构</v>
      </c>
      <c r="R31" s="631" t="s">
        <v>25</v>
      </c>
      <c r="S31" s="632">
        <f t="shared" si="12"/>
        <v>100</v>
      </c>
      <c r="T31" s="631" t="s">
        <v>25</v>
      </c>
      <c r="U31" s="632">
        <f t="shared" si="13"/>
        <v>100</v>
      </c>
      <c r="V31" s="631" t="s">
        <v>25</v>
      </c>
      <c r="W31" s="632">
        <f t="shared" si="14"/>
        <v>100</v>
      </c>
      <c r="X31" s="1335"/>
      <c r="Y31" s="4536"/>
      <c r="Z31" s="1336" t="str">
        <f t="shared" si="15"/>
        <v>建筑结构</v>
      </c>
      <c r="AA31" s="1337">
        <f t="shared" si="3"/>
        <v>1</v>
      </c>
      <c r="AB31" s="1337">
        <f t="shared" si="4"/>
        <v>1</v>
      </c>
      <c r="AC31" s="1337">
        <f t="shared" si="5"/>
        <v>1</v>
      </c>
    </row>
    <row r="32" spans="1:29" ht="15">
      <c r="A32" s="360"/>
      <c r="B32" s="313" t="s">
        <v>2362</v>
      </c>
      <c r="C32" s="350"/>
      <c r="D32" s="325">
        <v>100</v>
      </c>
      <c r="E32" s="350"/>
      <c r="F32" s="351">
        <f>SUMIF(95:95,E32,96:96)-SUMIF(95:95,C32,96:96)+100</f>
        <v>100</v>
      </c>
      <c r="G32" s="350"/>
      <c r="H32" s="325">
        <f>SUMIF(95:95,G32,96:96)-SUMIF(95:95,C32,96:96)+100</f>
        <v>100</v>
      </c>
      <c r="I32" s="350"/>
      <c r="J32" s="325">
        <f>SUMIF(95:95,I32,96:96)-SUMIF(95:95,C32,96:96)+100</f>
        <v>100</v>
      </c>
      <c r="K32" s="498"/>
      <c r="L32" s="3033"/>
      <c r="M32" s="3024"/>
      <c r="N32" s="3024"/>
      <c r="O32" s="3032"/>
      <c r="P32" s="4536"/>
      <c r="Q32" s="1334" t="str">
        <f t="shared" si="11"/>
        <v>公共部分装修</v>
      </c>
      <c r="R32" s="631" t="s">
        <v>25</v>
      </c>
      <c r="S32" s="632">
        <f t="shared" si="12"/>
        <v>100</v>
      </c>
      <c r="T32" s="631" t="s">
        <v>25</v>
      </c>
      <c r="U32" s="632">
        <f t="shared" si="13"/>
        <v>100</v>
      </c>
      <c r="V32" s="631" t="s">
        <v>25</v>
      </c>
      <c r="W32" s="632">
        <f t="shared" si="14"/>
        <v>100</v>
      </c>
      <c r="X32" s="1335"/>
      <c r="Y32" s="4536"/>
      <c r="Z32" s="1336" t="str">
        <f t="shared" si="15"/>
        <v>公共部分装修</v>
      </c>
      <c r="AA32" s="1337">
        <f t="shared" si="3"/>
        <v>1</v>
      </c>
      <c r="AB32" s="1337">
        <f t="shared" si="4"/>
        <v>1</v>
      </c>
      <c r="AC32" s="1337">
        <f t="shared" si="5"/>
        <v>1</v>
      </c>
    </row>
    <row r="33" spans="1:29" ht="15">
      <c r="A33" s="360"/>
      <c r="B33" s="313" t="s">
        <v>2363</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3"/>
      <c r="M33" s="3024"/>
      <c r="N33" s="3024"/>
      <c r="O33" s="3032"/>
      <c r="P33" s="4536"/>
      <c r="Q33" s="1334" t="str">
        <f t="shared" si="11"/>
        <v>成新度</v>
      </c>
      <c r="R33" s="631" t="s">
        <v>25</v>
      </c>
      <c r="S33" s="632" t="e">
        <f t="shared" si="12"/>
        <v>#N/A</v>
      </c>
      <c r="T33" s="631" t="s">
        <v>25</v>
      </c>
      <c r="U33" s="632" t="e">
        <f t="shared" si="13"/>
        <v>#N/A</v>
      </c>
      <c r="V33" s="631" t="s">
        <v>25</v>
      </c>
      <c r="W33" s="632" t="e">
        <f t="shared" si="14"/>
        <v>#N/A</v>
      </c>
      <c r="X33" s="1335"/>
      <c r="Y33" s="4536"/>
      <c r="Z33" s="1336" t="str">
        <f t="shared" si="15"/>
        <v>成新度</v>
      </c>
      <c r="AA33" s="1337" t="e">
        <f t="shared" si="3"/>
        <v>#N/A</v>
      </c>
      <c r="AB33" s="1337" t="e">
        <f t="shared" si="4"/>
        <v>#N/A</v>
      </c>
      <c r="AC33" s="1337" t="e">
        <f t="shared" si="5"/>
        <v>#N/A</v>
      </c>
    </row>
    <row r="34" spans="1:29" s="25" customFormat="1" ht="15">
      <c r="A34" s="361"/>
      <c r="B34" s="313" t="s">
        <v>2391</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5"/>
      <c r="M34" s="3026"/>
      <c r="N34" s="3026"/>
      <c r="O34" s="3027"/>
      <c r="P34" s="4536"/>
      <c r="Q34" s="1327" t="str">
        <f t="shared" si="11"/>
        <v>物业管理</v>
      </c>
      <c r="R34" s="627" t="s">
        <v>25</v>
      </c>
      <c r="S34" s="628">
        <f t="shared" si="12"/>
        <v>100</v>
      </c>
      <c r="T34" s="627" t="s">
        <v>25</v>
      </c>
      <c r="U34" s="628">
        <f t="shared" si="13"/>
        <v>100</v>
      </c>
      <c r="V34" s="627" t="s">
        <v>25</v>
      </c>
      <c r="W34" s="628">
        <f t="shared" si="14"/>
        <v>100</v>
      </c>
      <c r="X34" s="629"/>
      <c r="Y34" s="4536"/>
      <c r="Z34" s="19" t="str">
        <f t="shared" si="15"/>
        <v>物业管理</v>
      </c>
      <c r="AA34" s="630">
        <f t="shared" si="3"/>
        <v>1</v>
      </c>
      <c r="AB34" s="630">
        <f t="shared" si="4"/>
        <v>1</v>
      </c>
      <c r="AC34" s="630">
        <f t="shared" si="5"/>
        <v>1</v>
      </c>
    </row>
    <row r="35" spans="1:29" ht="15">
      <c r="A35" s="360"/>
      <c r="B35" s="313" t="s">
        <v>2364</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3"/>
      <c r="M35" s="3024"/>
      <c r="N35" s="3024"/>
      <c r="O35" s="3032"/>
      <c r="P35" s="4536" t="s">
        <v>2275</v>
      </c>
      <c r="Q35" s="1334" t="str">
        <f t="shared" si="11"/>
        <v>市政基础设施</v>
      </c>
      <c r="R35" s="631" t="s">
        <v>25</v>
      </c>
      <c r="S35" s="632">
        <f t="shared" si="12"/>
        <v>100</v>
      </c>
      <c r="T35" s="631" t="s">
        <v>25</v>
      </c>
      <c r="U35" s="632">
        <f t="shared" si="13"/>
        <v>100</v>
      </c>
      <c r="V35" s="631" t="s">
        <v>25</v>
      </c>
      <c r="W35" s="632">
        <f t="shared" si="14"/>
        <v>100</v>
      </c>
      <c r="X35" s="1335"/>
      <c r="Y35" s="4536" t="s">
        <v>2275</v>
      </c>
      <c r="Z35" s="1336" t="str">
        <f t="shared" si="15"/>
        <v>市政基础设施</v>
      </c>
      <c r="AA35" s="1337">
        <f t="shared" si="3"/>
        <v>1</v>
      </c>
      <c r="AB35" s="1337">
        <f t="shared" si="4"/>
        <v>1</v>
      </c>
      <c r="AC35" s="1337">
        <f t="shared" si="5"/>
        <v>1</v>
      </c>
    </row>
    <row r="36" spans="1:29" ht="15">
      <c r="A36" s="360"/>
      <c r="B36" s="313" t="s">
        <v>2369</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3"/>
      <c r="M36" s="3024"/>
      <c r="N36" s="3024"/>
      <c r="O36" s="3032"/>
      <c r="P36" s="4536"/>
      <c r="Q36" s="1334" t="str">
        <f t="shared" si="11"/>
        <v>内部装修</v>
      </c>
      <c r="R36" s="631" t="s">
        <v>25</v>
      </c>
      <c r="S36" s="632">
        <f t="shared" si="12"/>
        <v>100</v>
      </c>
      <c r="T36" s="631" t="s">
        <v>25</v>
      </c>
      <c r="U36" s="632">
        <f t="shared" si="13"/>
        <v>100</v>
      </c>
      <c r="V36" s="631" t="s">
        <v>25</v>
      </c>
      <c r="W36" s="632">
        <f t="shared" si="14"/>
        <v>100</v>
      </c>
      <c r="X36" s="1335"/>
      <c r="Y36" s="4536"/>
      <c r="Z36" s="1336" t="str">
        <f t="shared" si="15"/>
        <v>内部装修</v>
      </c>
      <c r="AA36" s="1337">
        <f t="shared" si="3"/>
        <v>1</v>
      </c>
      <c r="AB36" s="1337">
        <f t="shared" si="4"/>
        <v>1</v>
      </c>
      <c r="AC36" s="1337">
        <f t="shared" si="5"/>
        <v>1</v>
      </c>
    </row>
    <row r="37" spans="1:29" ht="15">
      <c r="A37" s="360"/>
      <c r="B37" s="313" t="s">
        <v>2401</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3"/>
      <c r="M37" s="3024"/>
      <c r="N37" s="3024"/>
      <c r="O37" s="3032"/>
      <c r="P37" s="4536"/>
      <c r="Q37" s="1334" t="str">
        <f t="shared" si="11"/>
        <v>内部装修状况</v>
      </c>
      <c r="R37" s="631" t="s">
        <v>25</v>
      </c>
      <c r="S37" s="632">
        <f t="shared" si="12"/>
        <v>100</v>
      </c>
      <c r="T37" s="631" t="s">
        <v>25</v>
      </c>
      <c r="U37" s="632">
        <f t="shared" si="13"/>
        <v>100</v>
      </c>
      <c r="V37" s="631" t="s">
        <v>25</v>
      </c>
      <c r="W37" s="632">
        <f t="shared" si="14"/>
        <v>100</v>
      </c>
      <c r="X37" s="1335"/>
      <c r="Y37" s="4536"/>
      <c r="Z37" s="1336" t="str">
        <f t="shared" si="15"/>
        <v>内部装修状况</v>
      </c>
      <c r="AA37" s="1337">
        <f t="shared" si="3"/>
        <v>1</v>
      </c>
      <c r="AB37" s="1337">
        <f t="shared" si="4"/>
        <v>1</v>
      </c>
      <c r="AC37" s="1337">
        <f t="shared" si="5"/>
        <v>1</v>
      </c>
    </row>
    <row r="38" spans="1:29" s="359" customFormat="1" ht="15">
      <c r="A38" s="356"/>
      <c r="B38" s="157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31"/>
      <c r="M38" s="358"/>
      <c r="N38" s="358"/>
      <c r="O38" s="3034"/>
      <c r="P38" s="4536"/>
      <c r="Q38" s="633">
        <f t="shared" si="11"/>
        <v>111</v>
      </c>
      <c r="R38" s="634" t="s">
        <v>25</v>
      </c>
      <c r="S38" s="635">
        <f t="shared" si="12"/>
        <v>100</v>
      </c>
      <c r="T38" s="634" t="s">
        <v>25</v>
      </c>
      <c r="U38" s="635">
        <f t="shared" si="13"/>
        <v>100</v>
      </c>
      <c r="V38" s="634" t="s">
        <v>25</v>
      </c>
      <c r="W38" s="635">
        <f t="shared" si="14"/>
        <v>100</v>
      </c>
      <c r="X38" s="636"/>
      <c r="Y38" s="4536"/>
      <c r="Z38" s="637">
        <f t="shared" si="15"/>
        <v>111</v>
      </c>
      <c r="AA38" s="1337">
        <f t="shared" si="3"/>
        <v>1</v>
      </c>
      <c r="AB38" s="1337">
        <f t="shared" si="4"/>
        <v>1</v>
      </c>
      <c r="AC38" s="1337">
        <f t="shared" si="5"/>
        <v>1</v>
      </c>
    </row>
    <row r="39" spans="1:29" ht="15">
      <c r="A39" s="360"/>
      <c r="B39" s="157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3"/>
      <c r="M39" s="3024"/>
      <c r="N39" s="3024"/>
      <c r="O39" s="3032"/>
      <c r="P39" s="4536"/>
      <c r="Q39" s="1334">
        <f t="shared" si="11"/>
        <v>111</v>
      </c>
      <c r="R39" s="631" t="s">
        <v>25</v>
      </c>
      <c r="S39" s="632">
        <f t="shared" si="12"/>
        <v>100</v>
      </c>
      <c r="T39" s="631" t="s">
        <v>25</v>
      </c>
      <c r="U39" s="632">
        <f t="shared" si="13"/>
        <v>100</v>
      </c>
      <c r="V39" s="631" t="s">
        <v>25</v>
      </c>
      <c r="W39" s="632">
        <f t="shared" si="14"/>
        <v>100</v>
      </c>
      <c r="X39" s="1335"/>
      <c r="Y39" s="4536"/>
      <c r="Z39" s="1336">
        <f t="shared" si="15"/>
        <v>111</v>
      </c>
      <c r="AA39" s="1337">
        <f t="shared" si="3"/>
        <v>1</v>
      </c>
      <c r="AB39" s="1337">
        <f t="shared" si="4"/>
        <v>1</v>
      </c>
      <c r="AC39" s="1337">
        <f t="shared" si="5"/>
        <v>1</v>
      </c>
    </row>
    <row r="40" spans="1:29" ht="15.75" thickBot="1">
      <c r="A40" s="366"/>
      <c r="B40" s="1564">
        <v>111</v>
      </c>
      <c r="C40" s="156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3"/>
      <c r="M40" s="3024"/>
      <c r="N40" s="3024"/>
      <c r="O40" s="3032"/>
      <c r="P40" s="4537"/>
      <c r="Q40" s="1334">
        <f t="shared" si="11"/>
        <v>111</v>
      </c>
      <c r="R40" s="631" t="s">
        <v>25</v>
      </c>
      <c r="S40" s="632">
        <f t="shared" si="12"/>
        <v>100</v>
      </c>
      <c r="T40" s="631" t="s">
        <v>25</v>
      </c>
      <c r="U40" s="632">
        <f t="shared" si="13"/>
        <v>100</v>
      </c>
      <c r="V40" s="631" t="s">
        <v>25</v>
      </c>
      <c r="W40" s="632">
        <f t="shared" si="14"/>
        <v>100</v>
      </c>
      <c r="X40" s="1335"/>
      <c r="Y40" s="4537"/>
      <c r="Z40" s="1336">
        <f t="shared" si="15"/>
        <v>111</v>
      </c>
      <c r="AA40" s="1337">
        <f t="shared" si="3"/>
        <v>1</v>
      </c>
      <c r="AB40" s="1337">
        <f t="shared" si="4"/>
        <v>1</v>
      </c>
      <c r="AC40" s="1337">
        <f t="shared" si="5"/>
        <v>1</v>
      </c>
    </row>
    <row r="41" spans="1:29" ht="15">
      <c r="A41" s="367" t="s">
        <v>2287</v>
      </c>
      <c r="B41" s="368"/>
      <c r="C41" s="1153" t="s">
        <v>1</v>
      </c>
      <c r="D41" s="1154"/>
      <c r="E41" s="1155"/>
      <c r="F41" s="1156"/>
      <c r="G41" s="1157"/>
      <c r="H41" s="1158"/>
      <c r="I41" s="1155"/>
      <c r="J41" s="1158"/>
      <c r="K41" s="640"/>
      <c r="L41" s="3035"/>
      <c r="N41" s="3024"/>
      <c r="P41" s="4530" t="str">
        <f>A41</f>
        <v>成交单价（元/平方米）</v>
      </c>
      <c r="Q41" s="4530"/>
      <c r="R41" s="4531">
        <f>E41</f>
        <v>0</v>
      </c>
      <c r="S41" s="4531"/>
      <c r="T41" s="4531">
        <f>G41</f>
        <v>0</v>
      </c>
      <c r="U41" s="4531"/>
      <c r="V41" s="4531">
        <f>I41</f>
        <v>0</v>
      </c>
      <c r="W41" s="4531"/>
      <c r="X41" s="618"/>
      <c r="Y41" s="638"/>
      <c r="Z41" s="618"/>
      <c r="AA41" s="618"/>
      <c r="AB41" s="618"/>
      <c r="AC41" s="618"/>
    </row>
    <row r="42" spans="1:29" ht="15.75" thickBot="1">
      <c r="A42" s="374" t="s">
        <v>2370</v>
      </c>
      <c r="B42" s="375"/>
      <c r="C42" s="1159" t="e">
        <f>R43</f>
        <v>#DIV/0!</v>
      </c>
      <c r="D42" s="1796" t="s">
        <v>2738</v>
      </c>
      <c r="E42" s="1160" t="e">
        <f>R42</f>
        <v>#DIV/0!</v>
      </c>
      <c r="F42" s="1798"/>
      <c r="G42" s="1159" t="e">
        <f>T42</f>
        <v>#DIV/0!</v>
      </c>
      <c r="H42" s="1798"/>
      <c r="I42" s="1160" t="e">
        <f>V42</f>
        <v>#DIV/0!</v>
      </c>
      <c r="J42" s="1798"/>
      <c r="K42" s="2509">
        <f>F42+H42+J42</f>
        <v>0</v>
      </c>
      <c r="L42" s="3035"/>
      <c r="N42" s="3024"/>
      <c r="P42" s="4530" t="str">
        <f>A42</f>
        <v>比较价值（元/平方米）</v>
      </c>
      <c r="Q42" s="4530"/>
      <c r="R42" s="4531" t="e">
        <f>IF(E1="售价",ROUND(PRODUCT(R41,AA7:AA40),0),ROUND(PRODUCT(R41,AA7:AA40),1))</f>
        <v>#DIV/0!</v>
      </c>
      <c r="S42" s="4531"/>
      <c r="T42" s="4531" t="e">
        <f>IF(E1="售价",ROUND(PRODUCT(T41,AB7:AB40),0),ROUND(PRODUCT(T41,AB7:AB40),1))</f>
        <v>#DIV/0!</v>
      </c>
      <c r="U42" s="4531"/>
      <c r="V42" s="4531" t="e">
        <f>IF(E1="售价",ROUND(PRODUCT(V41,AC7:AC40),0),ROUND(PRODUCT(V41,AC7:AC40),1))</f>
        <v>#DIV/0!</v>
      </c>
      <c r="W42" s="4531"/>
      <c r="X42" s="618"/>
      <c r="Y42" s="618"/>
      <c r="Z42" s="618"/>
      <c r="AA42" s="618"/>
      <c r="AB42" s="618"/>
      <c r="AC42" s="618"/>
    </row>
    <row r="43" spans="1:29" ht="15.75" thickBot="1">
      <c r="A43" s="378" t="s">
        <v>2393</v>
      </c>
      <c r="B43" s="379"/>
      <c r="C43" s="1161" t="e">
        <f>R43</f>
        <v>#DIV/0!</v>
      </c>
      <c r="D43" s="1161"/>
      <c r="E43" s="1161"/>
      <c r="F43" s="1161"/>
      <c r="G43" s="1161"/>
      <c r="H43" s="1161"/>
      <c r="I43" s="1161"/>
      <c r="J43" s="1161"/>
      <c r="K43" s="641"/>
      <c r="L43" s="3035"/>
      <c r="P43" s="4532" t="str">
        <f>A43</f>
        <v>估价对象XX用房的比较价值（楼面单价，元/平方米）</v>
      </c>
      <c r="Q43" s="4533"/>
      <c r="R43" s="4534" t="e">
        <f>IF(E1="售价",ROUND(IF(D42="简单平均",AVERAGE(R42:V42),R42*F42+T42*H42+V42*J42),0),ROUND(IF(D42="简单平均",AVERAGE(R42:V42),R42*F42+T42*H42+V42*J42),1))</f>
        <v>#DIV/0!</v>
      </c>
      <c r="S43" s="4534"/>
      <c r="T43" s="4534"/>
      <c r="U43" s="4534"/>
      <c r="V43" s="4534"/>
      <c r="W43" s="4534"/>
      <c r="X43" s="618"/>
      <c r="Y43" s="618"/>
      <c r="Z43" s="618"/>
      <c r="AA43" s="618"/>
      <c r="AB43" s="618"/>
      <c r="AC43" s="618"/>
    </row>
    <row r="44" spans="1:29">
      <c r="G44" s="3038"/>
    </row>
    <row r="46" spans="1:29" ht="13.5" customHeight="1">
      <c r="C46" s="383" t="s">
        <v>2372</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2373</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2374</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9"/>
      <c r="L48" s="3036"/>
    </row>
    <row r="49" spans="1:17" s="388" customFormat="1">
      <c r="B49" s="3037"/>
      <c r="C49" s="3040"/>
      <c r="K49" s="3039"/>
      <c r="L49" s="3036"/>
    </row>
    <row r="50" spans="1:17">
      <c r="B50" s="3037"/>
      <c r="C50" s="3040"/>
    </row>
    <row r="51" spans="1:17" ht="21.75" thickBot="1">
      <c r="A51" s="620" t="s">
        <v>2375</v>
      </c>
      <c r="B51" s="618"/>
      <c r="C51" s="621"/>
      <c r="D51" s="621"/>
      <c r="E51" s="621"/>
      <c r="F51" s="622"/>
      <c r="G51" s="622"/>
      <c r="H51" s="621"/>
      <c r="I51" s="621"/>
      <c r="J51" s="621"/>
      <c r="K51" s="623"/>
      <c r="L51" s="624"/>
      <c r="M51" s="621"/>
      <c r="N51" s="3041"/>
      <c r="O51" s="3041"/>
      <c r="P51" s="389"/>
      <c r="Q51" s="390"/>
    </row>
    <row r="52" spans="1:17" s="394" customFormat="1" ht="15">
      <c r="A52" s="391" t="s">
        <v>2257</v>
      </c>
      <c r="B52" s="392"/>
      <c r="C52" s="1187" t="str">
        <f>YEAR(C7)&amp;"-"&amp;MONTH(C7)</f>
        <v>2016-2</v>
      </c>
      <c r="D52" s="1188">
        <f>EDATE(C52,-1)</f>
        <v>42370</v>
      </c>
      <c r="E52" s="1189">
        <f t="shared" ref="E52:O52" si="16">EDATE(D52,-1)</f>
        <v>42339</v>
      </c>
      <c r="F52" s="1189">
        <f t="shared" si="16"/>
        <v>42309</v>
      </c>
      <c r="G52" s="1189">
        <f t="shared" si="16"/>
        <v>42278</v>
      </c>
      <c r="H52" s="1189">
        <f t="shared" si="16"/>
        <v>42248</v>
      </c>
      <c r="I52" s="1189">
        <f t="shared" si="16"/>
        <v>42217</v>
      </c>
      <c r="J52" s="1189">
        <f t="shared" si="16"/>
        <v>42186</v>
      </c>
      <c r="K52" s="1189">
        <f t="shared" si="16"/>
        <v>42156</v>
      </c>
      <c r="L52" s="1189">
        <f t="shared" si="16"/>
        <v>42125</v>
      </c>
      <c r="M52" s="1189">
        <f t="shared" si="16"/>
        <v>42095</v>
      </c>
      <c r="N52" s="1189">
        <f t="shared" si="16"/>
        <v>42064</v>
      </c>
      <c r="O52" s="1189">
        <f t="shared" si="16"/>
        <v>42036</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2295</v>
      </c>
      <c r="B54" s="401"/>
      <c r="C54" s="402"/>
      <c r="D54" s="403"/>
      <c r="E54" s="403"/>
      <c r="F54" s="403"/>
      <c r="G54" s="403"/>
      <c r="H54" s="403"/>
      <c r="I54" s="403"/>
      <c r="J54" s="403"/>
      <c r="K54" s="403"/>
      <c r="L54" s="403"/>
      <c r="M54" s="404"/>
      <c r="N54" s="403"/>
      <c r="O54" s="405"/>
      <c r="P54" s="390"/>
      <c r="Q54" s="390"/>
    </row>
    <row r="55" spans="1:17" s="25" customFormat="1" ht="15">
      <c r="A55" s="406" t="s">
        <v>2259</v>
      </c>
      <c r="B55" s="396"/>
      <c r="C55" s="407" t="s">
        <v>2260</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2298</v>
      </c>
      <c r="B57" s="413" t="s">
        <v>2263</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2266</v>
      </c>
      <c r="C59" s="426" t="s">
        <v>2299</v>
      </c>
      <c r="D59" s="426" t="s">
        <v>2300</v>
      </c>
      <c r="E59" s="426" t="s">
        <v>2301</v>
      </c>
      <c r="F59" s="426" t="s">
        <v>2302</v>
      </c>
      <c r="G59" s="426" t="s">
        <v>2303</v>
      </c>
      <c r="H59" s="426" t="s">
        <v>2304</v>
      </c>
      <c r="I59" s="426" t="s">
        <v>2305</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2267</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2268</v>
      </c>
      <c r="B70" s="413" t="s">
        <v>2402</v>
      </c>
      <c r="C70" s="461" t="s">
        <v>2307</v>
      </c>
      <c r="D70" s="461" t="s">
        <v>2308</v>
      </c>
      <c r="E70" s="461" t="s">
        <v>2309</v>
      </c>
      <c r="F70" s="461" t="s">
        <v>2310</v>
      </c>
      <c r="G70" s="461" t="s">
        <v>2311</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2312</v>
      </c>
      <c r="C72" s="466" t="s">
        <v>2307</v>
      </c>
      <c r="D72" s="466" t="s">
        <v>2308</v>
      </c>
      <c r="E72" s="466" t="s">
        <v>2309</v>
      </c>
      <c r="F72" s="466" t="s">
        <v>2310</v>
      </c>
      <c r="G72" s="466" t="s">
        <v>2311</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2313</v>
      </c>
      <c r="C74" s="466" t="s">
        <v>2307</v>
      </c>
      <c r="D74" s="466" t="s">
        <v>2308</v>
      </c>
      <c r="E74" s="466" t="s">
        <v>2309</v>
      </c>
      <c r="F74" s="466" t="s">
        <v>2310</v>
      </c>
      <c r="G74" s="466" t="s">
        <v>2311</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2385</v>
      </c>
      <c r="C76" s="426" t="s">
        <v>2314</v>
      </c>
      <c r="D76" s="426" t="s">
        <v>2315</v>
      </c>
      <c r="E76" s="426" t="s">
        <v>2316</v>
      </c>
      <c r="F76" s="426" t="s">
        <v>2317</v>
      </c>
      <c r="G76" s="426" t="s">
        <v>2318</v>
      </c>
      <c r="H76" s="426"/>
      <c r="I76" s="426"/>
      <c r="J76" s="426"/>
      <c r="K76" s="426"/>
      <c r="L76" s="426"/>
      <c r="M76" s="113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2395</v>
      </c>
      <c r="C78" s="466" t="s">
        <v>2307</v>
      </c>
      <c r="D78" s="466" t="s">
        <v>2308</v>
      </c>
      <c r="E78" s="466" t="s">
        <v>2309</v>
      </c>
      <c r="F78" s="466" t="s">
        <v>2310</v>
      </c>
      <c r="G78" s="466" t="s">
        <v>2311</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2"/>
      <c r="B87" s="457"/>
      <c r="C87" s="458"/>
      <c r="D87" s="458"/>
      <c r="E87" s="458"/>
      <c r="F87" s="458"/>
      <c r="G87" s="479"/>
      <c r="H87" s="479"/>
      <c r="I87" s="479"/>
      <c r="J87" s="479"/>
      <c r="K87" s="479"/>
      <c r="L87" s="479"/>
      <c r="M87" s="480"/>
      <c r="N87" s="424"/>
      <c r="O87" s="424"/>
      <c r="P87" s="18"/>
      <c r="Q87" s="390"/>
    </row>
    <row r="88" spans="1:17">
      <c r="A88" s="412" t="s">
        <v>2273</v>
      </c>
      <c r="B88" s="413" t="s">
        <v>2322</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2323</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2326</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2327</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2328</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2329</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2331</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2403</v>
      </c>
      <c r="C106" s="466" t="s">
        <v>2307</v>
      </c>
      <c r="D106" s="466" t="s">
        <v>2308</v>
      </c>
      <c r="E106" s="466" t="s">
        <v>2309</v>
      </c>
      <c r="F106" s="466" t="s">
        <v>2310</v>
      </c>
      <c r="G106" s="466" t="s">
        <v>2311</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179" priority="20" stopIfTrue="1" operator="containsText" text="超过">
      <formula>NOT(ISERROR(SEARCH("超过",F46)))</formula>
    </cfRule>
  </conditionalFormatting>
  <conditionalFormatting sqref="H48">
    <cfRule type="containsText" dxfId="178" priority="19" stopIfTrue="1" operator="containsText" text="超过">
      <formula>NOT(ISERROR(SEARCH("超过",H48)))</formula>
    </cfRule>
  </conditionalFormatting>
  <conditionalFormatting sqref="F48">
    <cfRule type="containsText" dxfId="177" priority="18" stopIfTrue="1" operator="containsText" text="超过">
      <formula>NOT(ISERROR(SEARCH("超过",F48)))</formula>
    </cfRule>
  </conditionalFormatting>
  <conditionalFormatting sqref="F47 H47">
    <cfRule type="containsText" dxfId="176" priority="17" stopIfTrue="1" operator="containsText" text="超过">
      <formula>NOT(ISERROR(SEARCH("超过",F47)))</formula>
    </cfRule>
  </conditionalFormatting>
  <conditionalFormatting sqref="E46">
    <cfRule type="expression" dxfId="175" priority="16" stopIfTrue="1">
      <formula>$F$46="超过30%"</formula>
    </cfRule>
  </conditionalFormatting>
  <conditionalFormatting sqref="E47">
    <cfRule type="expression" dxfId="174" priority="15" stopIfTrue="1">
      <formula>$F$47="超过20%"</formula>
    </cfRule>
  </conditionalFormatting>
  <conditionalFormatting sqref="E48">
    <cfRule type="expression" dxfId="173" priority="14" stopIfTrue="1">
      <formula>$F$48="超过30%"</formula>
    </cfRule>
  </conditionalFormatting>
  <conditionalFormatting sqref="G48">
    <cfRule type="expression" dxfId="172" priority="13" stopIfTrue="1">
      <formula>$H$48="超过30%"</formula>
    </cfRule>
  </conditionalFormatting>
  <conditionalFormatting sqref="G46">
    <cfRule type="expression" dxfId="171" priority="12" stopIfTrue="1">
      <formula>$H$46="超过30%"</formula>
    </cfRule>
  </conditionalFormatting>
  <conditionalFormatting sqref="G47">
    <cfRule type="expression" dxfId="170" priority="11" stopIfTrue="1">
      <formula>$H$47="超过20%"</formula>
    </cfRule>
  </conditionalFormatting>
  <conditionalFormatting sqref="J46">
    <cfRule type="containsText" dxfId="169" priority="10" stopIfTrue="1" operator="containsText" text="超过">
      <formula>NOT(ISERROR(SEARCH("超过",J46)))</formula>
    </cfRule>
  </conditionalFormatting>
  <conditionalFormatting sqref="J48">
    <cfRule type="containsText" dxfId="168" priority="9" stopIfTrue="1" operator="containsText" text="超过">
      <formula>NOT(ISERROR(SEARCH("超过",J48)))</formula>
    </cfRule>
  </conditionalFormatting>
  <conditionalFormatting sqref="J47">
    <cfRule type="containsText" dxfId="167" priority="8" stopIfTrue="1" operator="containsText" text="超过">
      <formula>NOT(ISERROR(SEARCH("超过",J47)))</formula>
    </cfRule>
  </conditionalFormatting>
  <conditionalFormatting sqref="I46">
    <cfRule type="expression" dxfId="166" priority="7" stopIfTrue="1">
      <formula>$J$46="超过30%"</formula>
    </cfRule>
  </conditionalFormatting>
  <conditionalFormatting sqref="I47">
    <cfRule type="expression" dxfId="165" priority="6" stopIfTrue="1">
      <formula>$J$47="超过20%"</formula>
    </cfRule>
  </conditionalFormatting>
  <conditionalFormatting sqref="I48">
    <cfRule type="expression" dxfId="164" priority="5" stopIfTrue="1">
      <formula>$J$48="超过30%"</formula>
    </cfRule>
  </conditionalFormatting>
  <conditionalFormatting sqref="F42">
    <cfRule type="expression" dxfId="163" priority="4">
      <formula>$D$42="简单平均"</formula>
    </cfRule>
  </conditionalFormatting>
  <conditionalFormatting sqref="H42">
    <cfRule type="expression" dxfId="162" priority="3">
      <formula>$D$42="简单平均"</formula>
    </cfRule>
  </conditionalFormatting>
  <conditionalFormatting sqref="J42">
    <cfRule type="expression" dxfId="161" priority="2">
      <formula>$D$42="简单平均"</formula>
    </cfRule>
  </conditionalFormatting>
  <conditionalFormatting sqref="F7:F40 H7:H40 J7:J40">
    <cfRule type="cellIs" dxfId="160" priority="1" operator="notEqual">
      <formula>100</formula>
    </cfRule>
  </conditionalFormatting>
  <dataValidations count="20">
    <dataValidation type="list" allowBlank="1" showInputMessage="1" showErrorMessage="1" sqref="C10 E10 G10 I10" xr:uid="{00000000-0002-0000-1500-000000000000}">
      <formula1>土地年限区间</formula1>
    </dataValidation>
    <dataValidation type="list" allowBlank="1" showInputMessage="1" showErrorMessage="1" sqref="C20 G20 I20 E20" xr:uid="{00000000-0002-0000-1500-000001000000}">
      <formula1>公共配套设施</formula1>
    </dataValidation>
    <dataValidation type="list" allowBlank="1" showInputMessage="1" showErrorMessage="1" sqref="E18 G18 I18 C18" xr:uid="{00000000-0002-0000-1500-000002000000}">
      <formula1>交通便捷度</formula1>
    </dataValidation>
    <dataValidation type="list" allowBlank="1" showInputMessage="1" showErrorMessage="1" sqref="E24 G24 I24 C24" xr:uid="{00000000-0002-0000-1500-000003000000}">
      <formula1>环境</formula1>
    </dataValidation>
    <dataValidation type="list" allowBlank="1" showInputMessage="1" showErrorMessage="1" sqref="C8 E8 G8 I8" xr:uid="{00000000-0002-0000-1500-000004000000}">
      <formula1>工业交易情况</formula1>
    </dataValidation>
    <dataValidation type="list" allowBlank="1" showInputMessage="1" showErrorMessage="1" sqref="E9 G9 I9" xr:uid="{00000000-0002-0000-1500-000005000000}">
      <formula1>工业用途</formula1>
    </dataValidation>
    <dataValidation type="list" allowBlank="1" showInputMessage="1" showErrorMessage="1" sqref="C29 E29 G29 I29" xr:uid="{00000000-0002-0000-1500-000006000000}">
      <formula1>工业建筑类型</formula1>
    </dataValidation>
    <dataValidation type="list" allowBlank="1" showInputMessage="1" showErrorMessage="1" sqref="C31 E31 G31 I31" xr:uid="{00000000-0002-0000-1500-000007000000}">
      <formula1>工业建筑结构</formula1>
    </dataValidation>
    <dataValidation type="list" allowBlank="1" showInputMessage="1" showErrorMessage="1" sqref="C32 E32 G32 I32" xr:uid="{00000000-0002-0000-1500-000008000000}">
      <formula1>工业公共部分装修</formula1>
    </dataValidation>
    <dataValidation type="list" allowBlank="1" showInputMessage="1" showErrorMessage="1" sqref="C34 E34 G34 I34" xr:uid="{00000000-0002-0000-1500-000009000000}">
      <formula1>工业物业管理</formula1>
    </dataValidation>
    <dataValidation type="list" allowBlank="1" showInputMessage="1" showErrorMessage="1" sqref="C35 E35 G35 I35" xr:uid="{00000000-0002-0000-1500-00000A000000}">
      <formula1>工业基础设施水平</formula1>
    </dataValidation>
    <dataValidation type="list" allowBlank="1" showInputMessage="1" showErrorMessage="1" sqref="C36 E36 G36 I36" xr:uid="{00000000-0002-0000-1500-00000B000000}">
      <formula1>工业内部装修</formula1>
    </dataValidation>
    <dataValidation type="list" allowBlank="1" showInputMessage="1" showErrorMessage="1" sqref="C37 E37 G37 I37" xr:uid="{00000000-0002-0000-1500-00000C000000}">
      <formula1>内部装修维护情况</formula1>
    </dataValidation>
    <dataValidation type="list" allowBlank="1" showInputMessage="1" showErrorMessage="1" sqref="C16 E16 G16 I16" xr:uid="{00000000-0002-0000-1500-00000D000000}">
      <formula1>产业集聚程度</formula1>
    </dataValidation>
    <dataValidation type="list" allowBlank="1" showInputMessage="1" showErrorMessage="1" sqref="C1" xr:uid="{00000000-0002-0000-1500-00000E000000}">
      <formula1>"估价对象,仅计算典型户型"</formula1>
    </dataValidation>
    <dataValidation type="list" allowBlank="1" showInputMessage="1" showErrorMessage="1" sqref="C22 E22 G22 I22" xr:uid="{00000000-0002-0000-1500-00000F000000}">
      <formula1>基础设施水平</formula1>
    </dataValidation>
    <dataValidation type="list" allowBlank="1" showInputMessage="1" showErrorMessage="1" sqref="E1" xr:uid="{00000000-0002-0000-1500-000010000000}">
      <formula1>"售价,租金"</formula1>
    </dataValidation>
    <dataValidation type="list" allowBlank="1" showInputMessage="1" showErrorMessage="1" sqref="D2" xr:uid="{00000000-0002-0000-1500-000011000000}">
      <formula1>"需扣减承租人权益,——"</formula1>
    </dataValidation>
    <dataValidation type="list" allowBlank="1" showInputMessage="1" showErrorMessage="1" sqref="G2" xr:uid="{00000000-0002-0000-1500-000012000000}">
      <formula1>估价方法</formula1>
    </dataValidation>
    <dataValidation type="list" allowBlank="1" showInputMessage="1" showErrorMessage="1" sqref="D42" xr:uid="{00000000-0002-0000-1500-000013000000}">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tabColor rgb="FF92D050"/>
    <pageSetUpPr fitToPage="1"/>
  </sheetPr>
  <dimension ref="A1:AC103"/>
  <sheetViews>
    <sheetView view="pageBreakPreview" zoomScale="90" zoomScaleNormal="60" zoomScaleSheetLayoutView="90" workbookViewId="0">
      <selection activeCell="F35" sqref="F35"/>
    </sheetView>
  </sheetViews>
  <sheetFormatPr defaultColWidth="9" defaultRowHeight="14.25"/>
  <cols>
    <col min="1" max="1" width="10.5" style="296" customWidth="1"/>
    <col min="2" max="2" width="15.625" style="296" customWidth="1"/>
    <col min="3" max="3" width="14.375" style="296" customWidth="1"/>
    <col min="4" max="4" width="12.125" style="296" customWidth="1"/>
    <col min="5" max="5" width="14.375" style="296" customWidth="1"/>
    <col min="6" max="6" width="12.125" style="296" customWidth="1"/>
    <col min="7" max="7" width="14.5" style="296" customWidth="1"/>
    <col min="8" max="8" width="12.125" style="296" customWidth="1"/>
    <col min="9" max="9" width="15.5" style="296" customWidth="1"/>
    <col min="10" max="10" width="12.125" style="296" customWidth="1"/>
    <col min="11" max="11" width="12.125" style="381" customWidth="1"/>
    <col min="12" max="12" width="12.125" style="382" customWidth="1"/>
    <col min="13" max="15" width="12.125" style="296" customWidth="1"/>
    <col min="16" max="16" width="4.625" style="296" customWidth="1"/>
    <col min="17" max="17" width="19.5" style="296" customWidth="1"/>
    <col min="18" max="22" width="6.125" style="296" customWidth="1"/>
    <col min="23" max="23" width="5.625" style="296" customWidth="1"/>
    <col min="24" max="24" width="4.125" style="296" customWidth="1"/>
    <col min="25" max="25" width="3.5" style="296" customWidth="1"/>
    <col min="26" max="26" width="19.625" style="296" customWidth="1"/>
    <col min="27" max="28" width="9.375" style="296" customWidth="1"/>
    <col min="29" max="16384" width="9" style="296"/>
  </cols>
  <sheetData>
    <row r="1" spans="1:29" s="1229" customFormat="1" ht="28.5" customHeight="1" thickBot="1">
      <c r="A1" s="1220" t="s">
        <v>2404</v>
      </c>
      <c r="B1" s="1582" t="s">
        <v>2906</v>
      </c>
      <c r="C1" s="1221" t="s">
        <v>2741</v>
      </c>
      <c r="D1" s="1222"/>
      <c r="E1" s="1559" t="s">
        <v>2739</v>
      </c>
      <c r="F1" s="1223" t="s">
        <v>2242</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1912</v>
      </c>
      <c r="B2" s="1217" t="e">
        <f>IF(D2="——",IF(B37="元/平方米",IF(C2="元",ROUND(C39*D3,0),ROUND(C39*D3/10000,0)),IF(C2="元",ROUND(F3*C39,0),ROUND(F3*C39/10000,0))),IF(B37="元/平方米",IF(C2="元",ROUND(C39*D3,0),ROUND(C39*D3/10000,0)),IF(C2="元",ROUND(F3*C39,0),ROUND(F3*C39/10000,0)))-E2)</f>
        <v>#DIV/0!</v>
      </c>
      <c r="C2" s="79" t="str">
        <f>'数据-取费表'!B3</f>
        <v>元</v>
      </c>
      <c r="D2" s="1560" t="s">
        <v>1240</v>
      </c>
      <c r="E2" s="927" t="e">
        <f ca="1">SUMIF(INDIRECT("'"&amp;G2&amp;"'"&amp;"!A:A"),"承租人权益价值",INDIRECT("'"&amp;G2&amp;"'"&amp;"!c:c"))</f>
        <v>#REF!</v>
      </c>
      <c r="F2" s="1561" t="str">
        <f>C2</f>
        <v>元</v>
      </c>
      <c r="G2" s="1562"/>
      <c r="H2" s="3018"/>
      <c r="I2" s="3018"/>
      <c r="J2" s="3018"/>
      <c r="K2" s="3022"/>
      <c r="L2" s="3019"/>
      <c r="M2" s="3020"/>
      <c r="N2" s="3020"/>
      <c r="O2" s="3020"/>
      <c r="P2" s="625"/>
      <c r="Q2" s="625"/>
      <c r="R2" s="625"/>
      <c r="S2" s="625"/>
      <c r="T2" s="625"/>
      <c r="U2" s="625"/>
      <c r="V2" s="625"/>
      <c r="W2" s="625"/>
      <c r="X2" s="625"/>
      <c r="Y2" s="625"/>
      <c r="Z2" s="625"/>
      <c r="AA2" s="625"/>
      <c r="AB2" s="625"/>
      <c r="AC2" s="626"/>
    </row>
    <row r="3" spans="1:29" s="291" customFormat="1" ht="28.5" customHeight="1" thickBot="1">
      <c r="A3" s="83" t="s">
        <v>1913</v>
      </c>
      <c r="B3" s="495" t="e">
        <f>IF(AND(D2="——",B37="元/平方米"),C39,ROUND(F3*C39/D3,0))</f>
        <v>#DIV/0!</v>
      </c>
      <c r="C3" s="293" t="s">
        <v>2243</v>
      </c>
      <c r="D3" s="292">
        <f>IF(C1="仅计算典型户型",'数据-取费表'!E5,'数据-取费表'!B5)</f>
        <v>1088.48</v>
      </c>
      <c r="E3" s="839" t="s">
        <v>2405</v>
      </c>
      <c r="F3" s="293">
        <f>'数据-取费表'!B42</f>
        <v>1</v>
      </c>
      <c r="G3" s="3018"/>
      <c r="H3" s="3018"/>
      <c r="I3" s="3018"/>
      <c r="J3" s="3018"/>
      <c r="K3" s="3022"/>
      <c r="L3" s="3019"/>
      <c r="M3" s="3020"/>
      <c r="N3" s="3020"/>
      <c r="O3" s="3020"/>
      <c r="P3" s="625"/>
      <c r="Q3" s="625"/>
      <c r="R3" s="625"/>
      <c r="S3" s="625"/>
      <c r="T3" s="625"/>
      <c r="U3" s="625"/>
      <c r="V3" s="625"/>
      <c r="W3" s="625"/>
      <c r="X3" s="625"/>
      <c r="Y3" s="625"/>
      <c r="Z3" s="625"/>
      <c r="AA3" s="625"/>
      <c r="AB3" s="644"/>
      <c r="AC3" s="639"/>
    </row>
    <row r="4" spans="1:29" ht="15">
      <c r="A4" s="294" t="s">
        <v>2244</v>
      </c>
      <c r="B4" s="295"/>
      <c r="C4" s="4553" t="s">
        <v>2245</v>
      </c>
      <c r="D4" s="4554"/>
      <c r="E4" s="4555" t="s">
        <v>2246</v>
      </c>
      <c r="F4" s="4556"/>
      <c r="G4" s="4553" t="s">
        <v>2247</v>
      </c>
      <c r="H4" s="4554"/>
      <c r="I4" s="4553" t="s">
        <v>2248</v>
      </c>
      <c r="J4" s="4554"/>
      <c r="K4" s="496" t="s">
        <v>2249</v>
      </c>
      <c r="L4" s="3023"/>
      <c r="M4" s="3024"/>
      <c r="N4" s="3024"/>
      <c r="O4" s="3024"/>
      <c r="P4" s="4557" t="s">
        <v>2250</v>
      </c>
      <c r="Q4" s="4558"/>
      <c r="R4" s="4540" t="s">
        <v>2246</v>
      </c>
      <c r="S4" s="4541"/>
      <c r="T4" s="4540" t="s">
        <v>2247</v>
      </c>
      <c r="U4" s="4541"/>
      <c r="V4" s="4563" t="s">
        <v>2248</v>
      </c>
      <c r="W4" s="4563"/>
      <c r="X4" s="1335"/>
      <c r="Y4" s="4540" t="s">
        <v>2250</v>
      </c>
      <c r="Z4" s="4541"/>
      <c r="AA4" s="4550" t="s">
        <v>2246</v>
      </c>
      <c r="AB4" s="4551" t="s">
        <v>2247</v>
      </c>
      <c r="AC4" s="4550" t="s">
        <v>2248</v>
      </c>
    </row>
    <row r="5" spans="1:29" ht="15">
      <c r="A5" s="297"/>
      <c r="B5" s="298"/>
      <c r="C5" s="4573" t="s">
        <v>2909</v>
      </c>
      <c r="D5" s="4567"/>
      <c r="E5" s="4572" t="s">
        <v>2908</v>
      </c>
      <c r="F5" s="4565"/>
      <c r="G5" s="4573" t="s">
        <v>2908</v>
      </c>
      <c r="H5" s="4567"/>
      <c r="I5" s="4573" t="s">
        <v>2908</v>
      </c>
      <c r="J5" s="4567"/>
      <c r="K5" s="496"/>
      <c r="L5" s="3023"/>
      <c r="M5" s="3024"/>
      <c r="N5" s="3024"/>
      <c r="O5" s="3024"/>
      <c r="P5" s="4559"/>
      <c r="Q5" s="4560"/>
      <c r="R5" s="4542"/>
      <c r="S5" s="4543"/>
      <c r="T5" s="4542"/>
      <c r="U5" s="4543"/>
      <c r="V5" s="4563"/>
      <c r="W5" s="4563"/>
      <c r="X5" s="1335"/>
      <c r="Y5" s="4542"/>
      <c r="Z5" s="4543"/>
      <c r="AA5" s="4551"/>
      <c r="AB5" s="4551"/>
      <c r="AC5" s="4551"/>
    </row>
    <row r="6" spans="1:29" ht="15.75" thickBot="1">
      <c r="A6" s="299"/>
      <c r="B6" s="300"/>
      <c r="C6" s="4568" t="s">
        <v>2255</v>
      </c>
      <c r="D6" s="4569"/>
      <c r="E6" s="4570" t="s">
        <v>2255</v>
      </c>
      <c r="F6" s="4571"/>
      <c r="G6" s="4568" t="s">
        <v>2255</v>
      </c>
      <c r="H6" s="4569"/>
      <c r="I6" s="4568" t="s">
        <v>2255</v>
      </c>
      <c r="J6" s="4569"/>
      <c r="K6" s="496" t="s">
        <v>2256</v>
      </c>
      <c r="L6" s="3023"/>
      <c r="M6" s="3024"/>
      <c r="N6" s="3024"/>
      <c r="O6" s="3024"/>
      <c r="P6" s="4561"/>
      <c r="Q6" s="4562"/>
      <c r="R6" s="4542"/>
      <c r="S6" s="4543"/>
      <c r="T6" s="4544"/>
      <c r="U6" s="4545"/>
      <c r="V6" s="4563"/>
      <c r="W6" s="4563"/>
      <c r="X6" s="1335"/>
      <c r="Y6" s="4544"/>
      <c r="Z6" s="4545"/>
      <c r="AA6" s="4552"/>
      <c r="AB6" s="4552"/>
      <c r="AC6" s="4552"/>
    </row>
    <row r="7" spans="1:29" s="25" customFormat="1" ht="15.75" thickBot="1">
      <c r="A7" s="301" t="s">
        <v>2257</v>
      </c>
      <c r="B7" s="302"/>
      <c r="C7" s="303">
        <f>'数据-取费表'!B2</f>
        <v>42402</v>
      </c>
      <c r="D7" s="304">
        <v>100</v>
      </c>
      <c r="E7" s="305">
        <v>44215</v>
      </c>
      <c r="F7" s="306">
        <f>SUMIF(48:48,YEAR(E7)&amp;"-"&amp;MONTH(E7),49:49)</f>
        <v>0</v>
      </c>
      <c r="G7" s="305">
        <v>44215</v>
      </c>
      <c r="H7" s="304">
        <f>SUMIF(48:48,YEAR(G7)&amp;"-"&amp;MONTH(G7),49:49)</f>
        <v>0</v>
      </c>
      <c r="I7" s="305">
        <v>44215</v>
      </c>
      <c r="J7" s="304">
        <f>SUMIF(48:48,YEAR(I7)&amp;"-"&amp;MONTH(I7),49:49)</f>
        <v>0</v>
      </c>
      <c r="K7" s="497"/>
      <c r="L7" s="3025"/>
      <c r="M7" s="3026"/>
      <c r="N7" s="3026"/>
      <c r="O7" s="3026"/>
      <c r="P7" s="4538" t="s">
        <v>2258</v>
      </c>
      <c r="Q7" s="4546"/>
      <c r="R7" s="627" t="s">
        <v>25</v>
      </c>
      <c r="S7" s="628">
        <f t="shared" ref="S7:S14" si="0">F7</f>
        <v>0</v>
      </c>
      <c r="T7" s="627" t="s">
        <v>25</v>
      </c>
      <c r="U7" s="628">
        <f t="shared" ref="U7:U14" si="1">H7</f>
        <v>0</v>
      </c>
      <c r="V7" s="627" t="s">
        <v>25</v>
      </c>
      <c r="W7" s="628">
        <f t="shared" ref="W7:W14" si="2">J7</f>
        <v>0</v>
      </c>
      <c r="X7" s="629"/>
      <c r="Y7" s="4538" t="s">
        <v>2258</v>
      </c>
      <c r="Z7" s="4539"/>
      <c r="AA7" s="630" t="e">
        <f>D7/F7</f>
        <v>#DIV/0!</v>
      </c>
      <c r="AB7" s="630" t="e">
        <f>D7/H7</f>
        <v>#DIV/0!</v>
      </c>
      <c r="AC7" s="630" t="e">
        <f>D7/J7</f>
        <v>#DIV/0!</v>
      </c>
    </row>
    <row r="8" spans="1:29" s="25" customFormat="1" ht="15.75" thickBot="1">
      <c r="A8" s="301" t="s">
        <v>2259</v>
      </c>
      <c r="B8" s="302"/>
      <c r="C8" s="307" t="s">
        <v>2260</v>
      </c>
      <c r="D8" s="304">
        <v>100</v>
      </c>
      <c r="E8" s="307" t="s">
        <v>2260</v>
      </c>
      <c r="F8" s="306">
        <f>SUMIF(51:51,E8,52:52)-SUMIF(51:51,C8,52:52)+100</f>
        <v>100</v>
      </c>
      <c r="G8" s="307" t="s">
        <v>2260</v>
      </c>
      <c r="H8" s="304">
        <f>SUMIF(51:51,G8,52:52)-SUMIF(51:51,C8,52:52)+100</f>
        <v>100</v>
      </c>
      <c r="I8" s="307" t="s">
        <v>2260</v>
      </c>
      <c r="J8" s="304">
        <f>SUMIF(51:51,I8,52:52)-SUMIF(51:51,C8,52:52)+100</f>
        <v>100</v>
      </c>
      <c r="K8" s="497"/>
      <c r="L8" s="3025"/>
      <c r="M8" s="3026"/>
      <c r="N8" s="3026"/>
      <c r="O8" s="3026"/>
      <c r="P8" s="4538" t="s">
        <v>2261</v>
      </c>
      <c r="Q8" s="4539"/>
      <c r="R8" s="627" t="s">
        <v>25</v>
      </c>
      <c r="S8" s="628">
        <f t="shared" si="0"/>
        <v>100</v>
      </c>
      <c r="T8" s="627" t="s">
        <v>25</v>
      </c>
      <c r="U8" s="628">
        <f t="shared" si="1"/>
        <v>100</v>
      </c>
      <c r="V8" s="627" t="s">
        <v>25</v>
      </c>
      <c r="W8" s="628">
        <f t="shared" si="2"/>
        <v>100</v>
      </c>
      <c r="X8" s="629"/>
      <c r="Y8" s="4538" t="s">
        <v>2261</v>
      </c>
      <c r="Z8" s="4539"/>
      <c r="AA8" s="630">
        <f t="shared" ref="AA8:AA36" si="3">D8/F8</f>
        <v>1</v>
      </c>
      <c r="AB8" s="630">
        <f t="shared" ref="AB8:AB36" si="4">D8/H8</f>
        <v>1</v>
      </c>
      <c r="AC8" s="630">
        <f t="shared" ref="AC8:AC36" si="5">D8/J8</f>
        <v>1</v>
      </c>
    </row>
    <row r="9" spans="1:29" s="25" customFormat="1">
      <c r="A9" s="21" t="s">
        <v>2262</v>
      </c>
      <c r="B9" s="522" t="s">
        <v>2263</v>
      </c>
      <c r="C9" s="3161" t="s">
        <v>2911</v>
      </c>
      <c r="D9" s="28">
        <v>100</v>
      </c>
      <c r="E9" s="311" t="s">
        <v>2910</v>
      </c>
      <c r="F9" s="28">
        <f>SUMIF(53:53,E9,54:54)-SUMIF(53:53,C9,54:54)+100</f>
        <v>100</v>
      </c>
      <c r="G9" s="311" t="s">
        <v>2910</v>
      </c>
      <c r="H9" s="28">
        <f>SUMIF(53:53,G9,54:54)-SUMIF(53:53,C9,54:54)+100</f>
        <v>100</v>
      </c>
      <c r="I9" s="311" t="s">
        <v>2910</v>
      </c>
      <c r="J9" s="28">
        <f>SUMIF(53:53,I9,54:54)-SUMIF(53:53,C9,54:54)+100</f>
        <v>100</v>
      </c>
      <c r="K9" s="497"/>
      <c r="L9" s="3025"/>
      <c r="M9" s="3026"/>
      <c r="N9" s="3026"/>
      <c r="O9" s="3027"/>
      <c r="P9" s="4530" t="s">
        <v>2264</v>
      </c>
      <c r="Q9" s="1327" t="str">
        <f t="shared" ref="Q9:Q14" si="6">B9</f>
        <v>用途</v>
      </c>
      <c r="R9" s="627" t="s">
        <v>25</v>
      </c>
      <c r="S9" s="628">
        <f t="shared" si="0"/>
        <v>100</v>
      </c>
      <c r="T9" s="627" t="s">
        <v>25</v>
      </c>
      <c r="U9" s="628">
        <f t="shared" si="1"/>
        <v>100</v>
      </c>
      <c r="V9" s="627" t="s">
        <v>25</v>
      </c>
      <c r="W9" s="628">
        <f t="shared" si="2"/>
        <v>100</v>
      </c>
      <c r="X9" s="629"/>
      <c r="Y9" s="4549" t="s">
        <v>2265</v>
      </c>
      <c r="Z9" s="19" t="str">
        <f t="shared" ref="Z9:Z14" si="7">Q9</f>
        <v>用途</v>
      </c>
      <c r="AA9" s="630">
        <f t="shared" si="3"/>
        <v>1</v>
      </c>
      <c r="AB9" s="630">
        <f t="shared" si="4"/>
        <v>1</v>
      </c>
      <c r="AC9" s="630">
        <f t="shared" si="5"/>
        <v>1</v>
      </c>
    </row>
    <row r="10" spans="1:29" s="317" customFormat="1" ht="27.75" thickBot="1">
      <c r="A10" s="523"/>
      <c r="B10" s="524" t="s">
        <v>2266</v>
      </c>
      <c r="C10" s="314" t="s">
        <v>2912</v>
      </c>
      <c r="D10" s="29">
        <v>100</v>
      </c>
      <c r="E10" s="314" t="s">
        <v>2912</v>
      </c>
      <c r="F10" s="29">
        <f>SUMIF(55:55,E10,56:56)-SUMIF(55:55,C10,56:56)+100</f>
        <v>100</v>
      </c>
      <c r="G10" s="314" t="s">
        <v>2912</v>
      </c>
      <c r="H10" s="29">
        <f>SUMIF(55:55,G10,56:56)-SUMIF(55:55,C10,56:56)+100</f>
        <v>100</v>
      </c>
      <c r="I10" s="314" t="s">
        <v>2912</v>
      </c>
      <c r="J10" s="29">
        <f>SUMIF(55:55,I10,56:56)-SUMIF(55:55,C10,56:56)+100</f>
        <v>100</v>
      </c>
      <c r="K10" s="498">
        <v>2</v>
      </c>
      <c r="L10" s="3028"/>
      <c r="M10" s="3029"/>
      <c r="N10" s="3029"/>
      <c r="O10" s="3030"/>
      <c r="P10" s="4530"/>
      <c r="Q10" s="1327" t="str">
        <f t="shared" si="6"/>
        <v>土地使用年限（年）</v>
      </c>
      <c r="R10" s="627" t="s">
        <v>25</v>
      </c>
      <c r="S10" s="628">
        <f t="shared" si="0"/>
        <v>100</v>
      </c>
      <c r="T10" s="627" t="s">
        <v>25</v>
      </c>
      <c r="U10" s="628">
        <f t="shared" si="1"/>
        <v>100</v>
      </c>
      <c r="V10" s="627" t="s">
        <v>25</v>
      </c>
      <c r="W10" s="628">
        <f t="shared" si="2"/>
        <v>100</v>
      </c>
      <c r="X10" s="629"/>
      <c r="Y10" s="4549"/>
      <c r="Z10" s="19" t="str">
        <f t="shared" si="7"/>
        <v>土地使用年限（年）</v>
      </c>
      <c r="AA10" s="630">
        <f t="shared" si="3"/>
        <v>1</v>
      </c>
      <c r="AB10" s="630">
        <f t="shared" si="4"/>
        <v>1</v>
      </c>
      <c r="AC10" s="630">
        <f t="shared" si="5"/>
        <v>1</v>
      </c>
    </row>
    <row r="11" spans="1:29" ht="15" hidden="1">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31"/>
      <c r="M11" s="3024"/>
      <c r="N11" s="3024"/>
      <c r="O11" s="3032"/>
      <c r="P11" s="4530"/>
      <c r="Q11" s="1327">
        <f t="shared" si="6"/>
        <v>111</v>
      </c>
      <c r="R11" s="627" t="s">
        <v>25</v>
      </c>
      <c r="S11" s="628">
        <f t="shared" si="0"/>
        <v>100</v>
      </c>
      <c r="T11" s="627" t="s">
        <v>25</v>
      </c>
      <c r="U11" s="628">
        <f t="shared" si="1"/>
        <v>100</v>
      </c>
      <c r="V11" s="627" t="s">
        <v>25</v>
      </c>
      <c r="W11" s="628">
        <f t="shared" si="2"/>
        <v>100</v>
      </c>
      <c r="X11" s="629"/>
      <c r="Y11" s="4549"/>
      <c r="Z11" s="19">
        <f t="shared" si="7"/>
        <v>111</v>
      </c>
      <c r="AA11" s="630">
        <f t="shared" si="3"/>
        <v>1</v>
      </c>
      <c r="AB11" s="630">
        <f t="shared" si="4"/>
        <v>1</v>
      </c>
      <c r="AC11" s="630">
        <f t="shared" si="5"/>
        <v>1</v>
      </c>
    </row>
    <row r="12" spans="1:29" s="25" customFormat="1" ht="15" hidden="1">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5"/>
      <c r="M12" s="3026"/>
      <c r="N12" s="3026"/>
      <c r="O12" s="3027"/>
      <c r="P12" s="4530"/>
      <c r="Q12" s="1327">
        <f t="shared" si="6"/>
        <v>111</v>
      </c>
      <c r="R12" s="627" t="s">
        <v>25</v>
      </c>
      <c r="S12" s="628">
        <f t="shared" si="0"/>
        <v>100</v>
      </c>
      <c r="T12" s="627" t="s">
        <v>25</v>
      </c>
      <c r="U12" s="628">
        <f t="shared" si="1"/>
        <v>100</v>
      </c>
      <c r="V12" s="627" t="s">
        <v>25</v>
      </c>
      <c r="W12" s="628">
        <f t="shared" si="2"/>
        <v>100</v>
      </c>
      <c r="X12" s="629"/>
      <c r="Y12" s="4549"/>
      <c r="Z12" s="19">
        <f t="shared" si="7"/>
        <v>111</v>
      </c>
      <c r="AA12" s="630">
        <f>D12/F12</f>
        <v>1</v>
      </c>
      <c r="AB12" s="630">
        <f>D12/H12</f>
        <v>1</v>
      </c>
      <c r="AC12" s="630">
        <f>D12/J12</f>
        <v>1</v>
      </c>
    </row>
    <row r="13" spans="1:29" ht="15.75" hidden="1"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3"/>
      <c r="M13" s="3024"/>
      <c r="N13" s="3024"/>
      <c r="O13" s="3032"/>
      <c r="P13" s="4530"/>
      <c r="Q13" s="1327">
        <f t="shared" si="6"/>
        <v>111</v>
      </c>
      <c r="R13" s="627" t="s">
        <v>25</v>
      </c>
      <c r="S13" s="628">
        <f t="shared" si="0"/>
        <v>100</v>
      </c>
      <c r="T13" s="627" t="s">
        <v>25</v>
      </c>
      <c r="U13" s="628">
        <f t="shared" si="1"/>
        <v>100</v>
      </c>
      <c r="V13" s="627" t="s">
        <v>25</v>
      </c>
      <c r="W13" s="628">
        <f t="shared" si="2"/>
        <v>100</v>
      </c>
      <c r="X13" s="629"/>
      <c r="Y13" s="4549"/>
      <c r="Z13" s="19">
        <f t="shared" si="7"/>
        <v>111</v>
      </c>
      <c r="AA13" s="630">
        <f t="shared" si="3"/>
        <v>1</v>
      </c>
      <c r="AB13" s="630">
        <f t="shared" si="4"/>
        <v>1</v>
      </c>
      <c r="AC13" s="630">
        <f t="shared" si="5"/>
        <v>1</v>
      </c>
    </row>
    <row r="14" spans="1:29" ht="68.25" customHeight="1">
      <c r="A14" s="294" t="s">
        <v>2268</v>
      </c>
      <c r="B14" s="511" t="s">
        <v>2406</v>
      </c>
      <c r="C14" s="1143" t="str">
        <f>IF(B1="工业",估价对象房地状况!G4,估价对象房地状况!C6)</f>
        <v>估价对象临近高速路-京新高速，紧邻城市主干道-信息路，距离清河火车站、地铁昌平线、13号线清河站约900米，周边有320路、365路、446路、447路、495路等公交线路通达，停车便捷程度较好，综合评价交通便捷度好。</v>
      </c>
      <c r="D14" s="1137">
        <v>100</v>
      </c>
      <c r="E14" s="331"/>
      <c r="F14" s="330">
        <f>SUMIF(63:63,E15,64:64)-SUMIF(63:63,C15,64:64)+100</f>
        <v>100</v>
      </c>
      <c r="G14" s="331"/>
      <c r="H14" s="330">
        <f>SUMIF(63:63,G15,64:64)-SUMIF(63:63,C15,64:64)+100</f>
        <v>100</v>
      </c>
      <c r="I14" s="331"/>
      <c r="J14" s="330">
        <f>SUMIF(63:63,I15,64:64)-SUMIF(63:63,C15,64:64)+100</f>
        <v>100</v>
      </c>
      <c r="K14" s="500">
        <v>2</v>
      </c>
      <c r="L14" s="3033"/>
      <c r="M14" s="3024"/>
      <c r="N14" s="3024"/>
      <c r="O14" s="3032"/>
      <c r="P14" s="4547" t="s">
        <v>2269</v>
      </c>
      <c r="Q14" s="1334" t="str">
        <f t="shared" si="6"/>
        <v>交通便捷度</v>
      </c>
      <c r="R14" s="631" t="s">
        <v>25</v>
      </c>
      <c r="S14" s="632">
        <f t="shared" si="0"/>
        <v>100</v>
      </c>
      <c r="T14" s="631" t="s">
        <v>25</v>
      </c>
      <c r="U14" s="632">
        <f t="shared" si="1"/>
        <v>100</v>
      </c>
      <c r="V14" s="631" t="s">
        <v>25</v>
      </c>
      <c r="W14" s="632">
        <f t="shared" si="2"/>
        <v>100</v>
      </c>
      <c r="X14" s="1335"/>
      <c r="Y14" s="4547" t="s">
        <v>2269</v>
      </c>
      <c r="Z14" s="1336" t="str">
        <f t="shared" si="7"/>
        <v>交通便捷度</v>
      </c>
      <c r="AA14" s="1337">
        <f t="shared" si="3"/>
        <v>1</v>
      </c>
      <c r="AB14" s="1337">
        <f t="shared" si="4"/>
        <v>1</v>
      </c>
      <c r="AC14" s="1337">
        <f t="shared" si="5"/>
        <v>1</v>
      </c>
    </row>
    <row r="15" spans="1:29" ht="15">
      <c r="A15" s="297"/>
      <c r="B15" s="529"/>
      <c r="C15" s="1144" t="s">
        <v>29</v>
      </c>
      <c r="D15" s="1138"/>
      <c r="E15" s="1144" t="s">
        <v>29</v>
      </c>
      <c r="F15" s="336"/>
      <c r="G15" s="1144" t="s">
        <v>29</v>
      </c>
      <c r="H15" s="339"/>
      <c r="I15" s="1144" t="s">
        <v>29</v>
      </c>
      <c r="J15" s="336"/>
      <c r="K15" s="501"/>
      <c r="L15" s="3033"/>
      <c r="M15" s="3024"/>
      <c r="N15" s="3024"/>
      <c r="O15" s="3032"/>
      <c r="P15" s="4548"/>
      <c r="Q15" s="1334"/>
      <c r="R15" s="631"/>
      <c r="S15" s="632"/>
      <c r="T15" s="631"/>
      <c r="U15" s="632"/>
      <c r="V15" s="631"/>
      <c r="W15" s="632"/>
      <c r="X15" s="1335"/>
      <c r="Y15" s="4548"/>
      <c r="Z15" s="1336"/>
      <c r="AA15" s="1337">
        <v>1</v>
      </c>
      <c r="AB15" s="1337">
        <v>1</v>
      </c>
      <c r="AC15" s="1337">
        <v>1</v>
      </c>
    </row>
    <row r="16" spans="1:29" ht="64.5" customHeight="1">
      <c r="A16" s="297"/>
      <c r="B16" s="513" t="s">
        <v>2384</v>
      </c>
      <c r="C16" s="1145" t="str">
        <f>IF(B1="工业",估价对象房地状况!G5,估价对象房地状况!C7)</f>
        <v>银行：农村商业银行、北京银行（上地支行）、中国工商银行（北京中关村支行）、中国银行（北京上地信息路支行）等金融场所；
商业设施：北京华联上地购物中心、数字山谷下沉商业广场等商业设施；
教育机构：北京八维研修学院、北京市上地实验学校、中关村第一小学（西二旗分校）、北京市海淀区第二实验小学（当代校区）、美和园幼儿园（智学苑分园）等教育机构；
医疗机构：北京市上地医院、北京市海淀区清河街道西二旗社区卫生服务站等医疗机构；
估价对象所在区域公共配套设施齐备情况较好。</v>
      </c>
      <c r="D16" s="1139">
        <v>100</v>
      </c>
      <c r="E16" s="341"/>
      <c r="F16" s="339">
        <f>SUMIF(65:65,E17,66:66)-SUMIF(65:65,C17,66:66)+100</f>
        <v>100</v>
      </c>
      <c r="G16" s="341"/>
      <c r="H16" s="344">
        <f>SUMIF(65:65,G17,66:66)-SUMIF(65:65,C17,66:66)+100</f>
        <v>100</v>
      </c>
      <c r="I16" s="341"/>
      <c r="J16" s="344">
        <f>SUMIF(65:65,I17,66:66)-SUMIF(65:65,C17,66:66)+100</f>
        <v>100</v>
      </c>
      <c r="K16" s="500">
        <v>2</v>
      </c>
      <c r="L16" s="3033"/>
      <c r="M16" s="3024"/>
      <c r="N16" s="3024"/>
      <c r="O16" s="3032"/>
      <c r="P16" s="4548"/>
      <c r="Q16" s="1334" t="str">
        <f>B16</f>
        <v>公共配套设施</v>
      </c>
      <c r="R16" s="631" t="s">
        <v>25</v>
      </c>
      <c r="S16" s="632">
        <f>F16</f>
        <v>100</v>
      </c>
      <c r="T16" s="631" t="s">
        <v>25</v>
      </c>
      <c r="U16" s="632">
        <f>H16</f>
        <v>100</v>
      </c>
      <c r="V16" s="631" t="s">
        <v>25</v>
      </c>
      <c r="W16" s="632">
        <f>J16</f>
        <v>100</v>
      </c>
      <c r="X16" s="1335"/>
      <c r="Y16" s="4548"/>
      <c r="Z16" s="1336" t="str">
        <f>Q16</f>
        <v>公共配套设施</v>
      </c>
      <c r="AA16" s="1337">
        <f t="shared" si="3"/>
        <v>1</v>
      </c>
      <c r="AB16" s="1337">
        <f t="shared" si="4"/>
        <v>1</v>
      </c>
      <c r="AC16" s="1337">
        <f t="shared" si="5"/>
        <v>1</v>
      </c>
    </row>
    <row r="17" spans="1:29" ht="15">
      <c r="A17" s="297"/>
      <c r="B17" s="514"/>
      <c r="C17" s="1133" t="s">
        <v>29</v>
      </c>
      <c r="D17" s="1139"/>
      <c r="E17" s="1144" t="s">
        <v>29</v>
      </c>
      <c r="F17" s="339"/>
      <c r="G17" s="1144" t="s">
        <v>29</v>
      </c>
      <c r="H17" s="336"/>
      <c r="I17" s="1144" t="s">
        <v>29</v>
      </c>
      <c r="J17" s="336"/>
      <c r="K17" s="501"/>
      <c r="L17" s="3033"/>
      <c r="M17" s="3024"/>
      <c r="N17" s="3024"/>
      <c r="O17" s="3032"/>
      <c r="P17" s="4548"/>
      <c r="Q17" s="1334"/>
      <c r="R17" s="631"/>
      <c r="S17" s="632"/>
      <c r="T17" s="631"/>
      <c r="U17" s="632"/>
      <c r="V17" s="631"/>
      <c r="W17" s="632"/>
      <c r="X17" s="1335"/>
      <c r="Y17" s="4548"/>
      <c r="Z17" s="1336"/>
      <c r="AA17" s="1337">
        <v>1</v>
      </c>
      <c r="AB17" s="1337">
        <v>1</v>
      </c>
      <c r="AC17" s="1337">
        <v>1</v>
      </c>
    </row>
    <row r="18" spans="1:29" ht="42.75">
      <c r="A18" s="297"/>
      <c r="B18" s="515" t="s">
        <v>2385</v>
      </c>
      <c r="C18" s="1145" t="str">
        <f>IF(B1="工业",估价对象房地状况!G6,估价对象房地状况!C8)</f>
        <v>估价对象所在区域基础设施水平-七通</v>
      </c>
      <c r="D18" s="1139">
        <v>100</v>
      </c>
      <c r="E18" s="341"/>
      <c r="F18" s="339">
        <f>SUMIF(67:67,E19,68:68)-SUMIF(67:67,C19,68:68)+100</f>
        <v>100</v>
      </c>
      <c r="G18" s="341"/>
      <c r="H18" s="344">
        <f>SUMIF(67:67,G19,68:68)-SUMIF(67:67,C19,68:68)+100</f>
        <v>100</v>
      </c>
      <c r="I18" s="341"/>
      <c r="J18" s="344">
        <f>SUMIF(67:67,I19,68:68)-SUMIF(67:67,C19,68:68)+100</f>
        <v>100</v>
      </c>
      <c r="K18" s="500">
        <v>2</v>
      </c>
      <c r="L18" s="3033"/>
      <c r="M18" s="3024"/>
      <c r="N18" s="3024"/>
      <c r="O18" s="3032"/>
      <c r="P18" s="4548"/>
      <c r="Q18" s="1334" t="str">
        <f>B18</f>
        <v>基础设施水平</v>
      </c>
      <c r="R18" s="631" t="s">
        <v>25</v>
      </c>
      <c r="S18" s="632">
        <f>F18</f>
        <v>100</v>
      </c>
      <c r="T18" s="631" t="s">
        <v>25</v>
      </c>
      <c r="U18" s="632">
        <f>H18</f>
        <v>100</v>
      </c>
      <c r="V18" s="631" t="s">
        <v>25</v>
      </c>
      <c r="W18" s="632">
        <f>J18</f>
        <v>100</v>
      </c>
      <c r="X18" s="1335"/>
      <c r="Y18" s="4548"/>
      <c r="Z18" s="1336" t="str">
        <f>Q18</f>
        <v>基础设施水平</v>
      </c>
      <c r="AA18" s="1337">
        <f t="shared" ref="AA18" si="8">D18/F18</f>
        <v>1</v>
      </c>
      <c r="AB18" s="1337">
        <f t="shared" ref="AB18" si="9">D18/H18</f>
        <v>1</v>
      </c>
      <c r="AC18" s="1337">
        <f t="shared" ref="AC18" si="10">D18/J18</f>
        <v>1</v>
      </c>
    </row>
    <row r="19" spans="1:29" ht="15">
      <c r="A19" s="297"/>
      <c r="B19" s="515"/>
      <c r="C19" s="1134" t="s">
        <v>2921</v>
      </c>
      <c r="D19" s="1139"/>
      <c r="E19" s="1134" t="s">
        <v>2921</v>
      </c>
      <c r="F19" s="339"/>
      <c r="G19" s="1134" t="s">
        <v>2921</v>
      </c>
      <c r="H19" s="336"/>
      <c r="I19" s="1134" t="s">
        <v>2921</v>
      </c>
      <c r="J19" s="336"/>
      <c r="K19" s="1132"/>
      <c r="L19" s="3033"/>
      <c r="M19" s="3024"/>
      <c r="N19" s="3024"/>
      <c r="O19" s="3032"/>
      <c r="P19" s="4548"/>
      <c r="Q19" s="1334"/>
      <c r="R19" s="631"/>
      <c r="S19" s="632"/>
      <c r="T19" s="631"/>
      <c r="U19" s="632"/>
      <c r="V19" s="631"/>
      <c r="W19" s="632"/>
      <c r="X19" s="1335"/>
      <c r="Y19" s="4548"/>
      <c r="Z19" s="1336"/>
      <c r="AA19" s="1337">
        <v>1</v>
      </c>
      <c r="AB19" s="1337">
        <v>1</v>
      </c>
      <c r="AC19" s="1337">
        <v>1</v>
      </c>
    </row>
    <row r="20" spans="1:29" ht="60" customHeight="1">
      <c r="A20" s="297"/>
      <c r="B20" s="513" t="s">
        <v>2407</v>
      </c>
      <c r="C20" s="1145" t="str">
        <f>IF(B1="工业",估价对象房地状况!G7,估价对象房地状况!C9)</f>
        <v>区域自然环境：上地公园、快乐成长家庭人口文化园等；人文环境；周边人文设施较少；
综合评价环境状况一般。</v>
      </c>
      <c r="D20" s="1140">
        <v>100</v>
      </c>
      <c r="E20" s="347"/>
      <c r="F20" s="344">
        <f>SUMIF(69:69,E21,70:70)-SUMIF(69:69,C21,70:70)+100</f>
        <v>100</v>
      </c>
      <c r="G20" s="347"/>
      <c r="H20" s="339">
        <f>SUMIF(69:69,G21,70:70)-SUMIF(69:69,C21,70:70)+100</f>
        <v>100</v>
      </c>
      <c r="I20" s="341"/>
      <c r="J20" s="339">
        <f>SUMIF(69:69,I21,70:70)-SUMIF(69:69,C21,70:70)+100</f>
        <v>100</v>
      </c>
      <c r="K20" s="500">
        <v>2</v>
      </c>
      <c r="L20" s="3033"/>
      <c r="M20" s="3024"/>
      <c r="N20" s="3024"/>
      <c r="O20" s="3032"/>
      <c r="P20" s="4548"/>
      <c r="Q20" s="1334" t="str">
        <f>B20</f>
        <v>自然及人文环境</v>
      </c>
      <c r="R20" s="631" t="s">
        <v>25</v>
      </c>
      <c r="S20" s="632">
        <f>F20</f>
        <v>100</v>
      </c>
      <c r="T20" s="631" t="s">
        <v>25</v>
      </c>
      <c r="U20" s="632">
        <f>H20</f>
        <v>100</v>
      </c>
      <c r="V20" s="631" t="s">
        <v>25</v>
      </c>
      <c r="W20" s="632">
        <f>J20</f>
        <v>100</v>
      </c>
      <c r="X20" s="1335"/>
      <c r="Y20" s="4548"/>
      <c r="Z20" s="1336" t="str">
        <f>Q20</f>
        <v>自然及人文环境</v>
      </c>
      <c r="AA20" s="1337">
        <f t="shared" si="3"/>
        <v>1</v>
      </c>
      <c r="AB20" s="1337">
        <f t="shared" si="4"/>
        <v>1</v>
      </c>
      <c r="AC20" s="1337">
        <f t="shared" si="5"/>
        <v>1</v>
      </c>
    </row>
    <row r="21" spans="1:29" ht="15">
      <c r="A21" s="297"/>
      <c r="B21" s="514"/>
      <c r="C21" s="1144" t="s">
        <v>29</v>
      </c>
      <c r="D21" s="1138"/>
      <c r="E21" s="1144" t="s">
        <v>29</v>
      </c>
      <c r="F21" s="336"/>
      <c r="G21" s="1144" t="s">
        <v>29</v>
      </c>
      <c r="H21" s="336"/>
      <c r="I21" s="1144" t="s">
        <v>29</v>
      </c>
      <c r="J21" s="336"/>
      <c r="K21" s="501"/>
      <c r="L21" s="3033"/>
      <c r="M21" s="3024"/>
      <c r="N21" s="3024"/>
      <c r="O21" s="3032"/>
      <c r="P21" s="4548"/>
      <c r="Q21" s="1334"/>
      <c r="R21" s="631"/>
      <c r="S21" s="632"/>
      <c r="T21" s="631"/>
      <c r="U21" s="632"/>
      <c r="V21" s="631"/>
      <c r="W21" s="632"/>
      <c r="X21" s="1335"/>
      <c r="Y21" s="4548"/>
      <c r="Z21" s="1336"/>
      <c r="AA21" s="1337">
        <v>1</v>
      </c>
      <c r="AB21" s="1337">
        <v>1</v>
      </c>
      <c r="AC21" s="1337">
        <v>1</v>
      </c>
    </row>
    <row r="22" spans="1:29" ht="15">
      <c r="A22" s="297"/>
      <c r="B22" s="513" t="s">
        <v>2408</v>
      </c>
      <c r="C22" s="516"/>
      <c r="D22" s="1139">
        <v>100</v>
      </c>
      <c r="E22" s="502"/>
      <c r="F22" s="325">
        <f>SUMIF(71:71,E22,72:72)-SUMIF(71:71,C22,72:72)+100</f>
        <v>100</v>
      </c>
      <c r="G22" s="516"/>
      <c r="H22" s="325">
        <f>SUMIF(71:71,G22,72:72)-SUMIF(71:71,C22,72:72)+100</f>
        <v>100</v>
      </c>
      <c r="I22" s="502"/>
      <c r="J22" s="325">
        <f>SUMIF(71:71,I22,72:72)-SUMIF(71:71,C22,72:72)+100</f>
        <v>100</v>
      </c>
      <c r="K22" s="498"/>
      <c r="L22" s="3033"/>
      <c r="M22" s="3024"/>
      <c r="N22" s="3024"/>
      <c r="O22" s="3032"/>
      <c r="P22" s="4548"/>
      <c r="Q22" s="1334" t="str">
        <f>B22</f>
        <v>楼层</v>
      </c>
      <c r="R22" s="631" t="s">
        <v>25</v>
      </c>
      <c r="S22" s="632">
        <f>F22</f>
        <v>100</v>
      </c>
      <c r="T22" s="631" t="s">
        <v>25</v>
      </c>
      <c r="U22" s="632">
        <f>H22</f>
        <v>100</v>
      </c>
      <c r="V22" s="631" t="s">
        <v>25</v>
      </c>
      <c r="W22" s="632">
        <f>J22</f>
        <v>100</v>
      </c>
      <c r="X22" s="1335"/>
      <c r="Y22" s="4548"/>
      <c r="Z22" s="1336" t="str">
        <f>Q22</f>
        <v>楼层</v>
      </c>
      <c r="AA22" s="1337">
        <f t="shared" si="3"/>
        <v>1</v>
      </c>
      <c r="AB22" s="1337">
        <f t="shared" si="4"/>
        <v>1</v>
      </c>
      <c r="AC22" s="1337">
        <f t="shared" si="5"/>
        <v>1</v>
      </c>
    </row>
    <row r="23" spans="1:29" ht="1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33"/>
      <c r="M23" s="3024"/>
      <c r="N23" s="3024"/>
      <c r="O23" s="3032"/>
      <c r="P23" s="4548"/>
      <c r="Q23" s="1334">
        <f>B23</f>
        <v>111</v>
      </c>
      <c r="R23" s="631" t="s">
        <v>25</v>
      </c>
      <c r="S23" s="632">
        <f>F23</f>
        <v>100</v>
      </c>
      <c r="T23" s="631" t="s">
        <v>25</v>
      </c>
      <c r="U23" s="632">
        <f>H23</f>
        <v>100</v>
      </c>
      <c r="V23" s="631" t="s">
        <v>25</v>
      </c>
      <c r="W23" s="632">
        <f>J23</f>
        <v>100</v>
      </c>
      <c r="X23" s="1335"/>
      <c r="Y23" s="4548"/>
      <c r="Z23" s="1336">
        <f>Q23</f>
        <v>111</v>
      </c>
      <c r="AA23" s="1337">
        <f t="shared" si="3"/>
        <v>1</v>
      </c>
      <c r="AB23" s="1337">
        <f t="shared" si="4"/>
        <v>1</v>
      </c>
      <c r="AC23" s="1337">
        <f t="shared" si="5"/>
        <v>1</v>
      </c>
    </row>
    <row r="24" spans="1:29" ht="1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33"/>
      <c r="M24" s="3024"/>
      <c r="N24" s="3024"/>
      <c r="O24" s="3032"/>
      <c r="P24" s="4548"/>
      <c r="Q24" s="1334">
        <f t="shared" ref="Q24:Q36" si="11">B24</f>
        <v>111</v>
      </c>
      <c r="R24" s="631" t="s">
        <v>25</v>
      </c>
      <c r="S24" s="632">
        <f>F24</f>
        <v>100</v>
      </c>
      <c r="T24" s="631" t="s">
        <v>25</v>
      </c>
      <c r="U24" s="632">
        <f>H24</f>
        <v>100</v>
      </c>
      <c r="V24" s="631" t="s">
        <v>25</v>
      </c>
      <c r="W24" s="632">
        <f>J24</f>
        <v>100</v>
      </c>
      <c r="X24" s="1335"/>
      <c r="Y24" s="4548"/>
      <c r="Z24" s="1336">
        <f>Q24</f>
        <v>111</v>
      </c>
      <c r="AA24" s="1337">
        <f t="shared" si="3"/>
        <v>1</v>
      </c>
      <c r="AB24" s="1337">
        <f t="shared" si="4"/>
        <v>1</v>
      </c>
      <c r="AC24" s="1337">
        <f t="shared" si="5"/>
        <v>1</v>
      </c>
    </row>
    <row r="25" spans="1:29" s="25" customFormat="1" ht="15.75"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25"/>
      <c r="M25" s="3026"/>
      <c r="N25" s="3026"/>
      <c r="O25" s="3027"/>
      <c r="P25" s="4548"/>
      <c r="Q25" s="1327">
        <f t="shared" si="11"/>
        <v>111</v>
      </c>
      <c r="R25" s="627" t="s">
        <v>25</v>
      </c>
      <c r="S25" s="628">
        <f>F25</f>
        <v>100</v>
      </c>
      <c r="T25" s="627" t="s">
        <v>25</v>
      </c>
      <c r="U25" s="628">
        <f>H25</f>
        <v>100</v>
      </c>
      <c r="V25" s="627" t="s">
        <v>25</v>
      </c>
      <c r="W25" s="628">
        <f>J25</f>
        <v>100</v>
      </c>
      <c r="X25" s="629"/>
      <c r="Y25" s="4548"/>
      <c r="Z25" s="19">
        <f>Q25</f>
        <v>111</v>
      </c>
      <c r="AA25" s="1337">
        <f>D25/F25</f>
        <v>1</v>
      </c>
      <c r="AB25" s="1337">
        <f>D25/H25</f>
        <v>1</v>
      </c>
      <c r="AC25" s="1337">
        <f>D25/J25</f>
        <v>1</v>
      </c>
    </row>
    <row r="26" spans="1:29" ht="15">
      <c r="A26" s="533" t="s">
        <v>2273</v>
      </c>
      <c r="B26" s="23" t="s">
        <v>2409</v>
      </c>
      <c r="C26" s="3164" t="s">
        <v>2922</v>
      </c>
      <c r="D26" s="336">
        <v>100</v>
      </c>
      <c r="E26" s="335" t="s">
        <v>2877</v>
      </c>
      <c r="F26" s="338">
        <f>SUMIF(79:79,E26,80:80)-SUMIF(79:79,C26,80:80)+100</f>
        <v>100</v>
      </c>
      <c r="G26" s="335" t="s">
        <v>2877</v>
      </c>
      <c r="H26" s="336">
        <f>SUMIF(79:79,G26,80:80)-SUMIF(79:79,C26,80:80)+100</f>
        <v>100</v>
      </c>
      <c r="I26" s="335" t="s">
        <v>2877</v>
      </c>
      <c r="J26" s="336">
        <f>SUMIF(79:79,I26,80:80)-SUMIF(79:79,C26,80:80)+100</f>
        <v>100</v>
      </c>
      <c r="K26" s="498">
        <v>2</v>
      </c>
      <c r="L26" s="3033"/>
      <c r="M26" s="3024"/>
      <c r="N26" s="3024"/>
      <c r="O26" s="3032"/>
      <c r="P26" s="4535" t="s">
        <v>2275</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4536" t="s">
        <v>2275</v>
      </c>
      <c r="Z26" s="1336" t="str">
        <f t="shared" ref="Z26:Z36" si="15">Q26</f>
        <v>配套类型</v>
      </c>
      <c r="AA26" s="1337">
        <f t="shared" si="3"/>
        <v>1</v>
      </c>
      <c r="AB26" s="1337">
        <f t="shared" si="4"/>
        <v>1</v>
      </c>
      <c r="AC26" s="1337">
        <f t="shared" si="5"/>
        <v>1</v>
      </c>
    </row>
    <row r="27" spans="1:29" s="359" customFormat="1" ht="15">
      <c r="A27" s="534"/>
      <c r="B27" s="535" t="s">
        <v>2410</v>
      </c>
      <c r="C27" s="536"/>
      <c r="D27" s="29">
        <v>100</v>
      </c>
      <c r="E27" s="536"/>
      <c r="F27" s="351">
        <f>SUMIF(81:81,E27,82:82)-SUMIF(81:81,C27,82:82)+100</f>
        <v>100</v>
      </c>
      <c r="G27" s="536"/>
      <c r="H27" s="325">
        <f>SUMIF(81:81,G27,82:82)-SUMIF(81:81,C27,82:82)+100</f>
        <v>100</v>
      </c>
      <c r="I27" s="536"/>
      <c r="J27" s="325">
        <f>SUMIF(81:81,I27,82:82)-SUMIF(81:81,C27,82:82)+100</f>
        <v>100</v>
      </c>
      <c r="K27" s="499"/>
      <c r="L27" s="3031"/>
      <c r="M27" s="358"/>
      <c r="N27" s="358"/>
      <c r="O27" s="3034"/>
      <c r="P27" s="4536"/>
      <c r="Q27" s="633" t="str">
        <f t="shared" si="11"/>
        <v>项目停车位配比</v>
      </c>
      <c r="R27" s="634" t="s">
        <v>25</v>
      </c>
      <c r="S27" s="635">
        <f t="shared" si="12"/>
        <v>100</v>
      </c>
      <c r="T27" s="634" t="s">
        <v>25</v>
      </c>
      <c r="U27" s="635">
        <f t="shared" si="13"/>
        <v>100</v>
      </c>
      <c r="V27" s="634" t="s">
        <v>25</v>
      </c>
      <c r="W27" s="635">
        <f t="shared" si="14"/>
        <v>100</v>
      </c>
      <c r="X27" s="636"/>
      <c r="Y27" s="4536"/>
      <c r="Z27" s="637" t="str">
        <f t="shared" si="15"/>
        <v>项目停车位配比</v>
      </c>
      <c r="AA27" s="1337">
        <f t="shared" si="3"/>
        <v>1</v>
      </c>
      <c r="AB27" s="1337">
        <f t="shared" si="4"/>
        <v>1</v>
      </c>
      <c r="AC27" s="1337">
        <f t="shared" si="5"/>
        <v>1</v>
      </c>
    </row>
    <row r="28" spans="1:29" ht="15">
      <c r="A28" s="537"/>
      <c r="B28" s="535" t="s">
        <v>2411</v>
      </c>
      <c r="C28" s="350" t="s">
        <v>2894</v>
      </c>
      <c r="D28" s="325">
        <v>100</v>
      </c>
      <c r="E28" s="350" t="s">
        <v>2894</v>
      </c>
      <c r="F28" s="351">
        <f>SUMIF(83:83,E28,84:84)-SUMIF(83:83,C28,84:84)+100</f>
        <v>100</v>
      </c>
      <c r="G28" s="350" t="s">
        <v>2894</v>
      </c>
      <c r="H28" s="325">
        <f>SUMIF(83:83,G28,84:84)-SUMIF(83:83,C28,84:84)+100</f>
        <v>100</v>
      </c>
      <c r="I28" s="350" t="s">
        <v>2894</v>
      </c>
      <c r="J28" s="325">
        <f>SUMIF(83:83,I28,84:84)-SUMIF(83:83,C28,84:84)+100</f>
        <v>100</v>
      </c>
      <c r="K28" s="498">
        <v>1</v>
      </c>
      <c r="L28" s="3033"/>
      <c r="M28" s="3024"/>
      <c r="N28" s="3024"/>
      <c r="O28" s="3032"/>
      <c r="P28" s="4536"/>
      <c r="Q28" s="1334" t="str">
        <f t="shared" si="11"/>
        <v>公共部分装修</v>
      </c>
      <c r="R28" s="631" t="s">
        <v>25</v>
      </c>
      <c r="S28" s="632">
        <f t="shared" si="12"/>
        <v>100</v>
      </c>
      <c r="T28" s="631" t="s">
        <v>25</v>
      </c>
      <c r="U28" s="632">
        <f t="shared" si="13"/>
        <v>100</v>
      </c>
      <c r="V28" s="631" t="s">
        <v>25</v>
      </c>
      <c r="W28" s="632">
        <f t="shared" si="14"/>
        <v>100</v>
      </c>
      <c r="X28" s="1335"/>
      <c r="Y28" s="4536"/>
      <c r="Z28" s="1336" t="str">
        <f t="shared" si="15"/>
        <v>公共部分装修</v>
      </c>
      <c r="AA28" s="1337">
        <f t="shared" si="3"/>
        <v>1</v>
      </c>
      <c r="AB28" s="1337">
        <f t="shared" si="4"/>
        <v>1</v>
      </c>
      <c r="AC28" s="1337">
        <f t="shared" si="5"/>
        <v>1</v>
      </c>
    </row>
    <row r="29" spans="1:29" ht="15">
      <c r="A29" s="537"/>
      <c r="B29" s="535" t="s">
        <v>2412</v>
      </c>
      <c r="C29" s="3160">
        <f>'数据-取费表'!E20</f>
        <v>0.77</v>
      </c>
      <c r="D29" s="325">
        <v>100</v>
      </c>
      <c r="E29" s="362">
        <f>C29</f>
        <v>0.77</v>
      </c>
      <c r="F29" s="351">
        <f>LOOKUP(E29,86:86,87:87)-LOOKUP(C29,86:86,87:87)+100</f>
        <v>100</v>
      </c>
      <c r="G29" s="362">
        <f>C29</f>
        <v>0.77</v>
      </c>
      <c r="H29" s="351">
        <f>LOOKUP(G29,86:86,87:87)-LOOKUP(C29,86:86,87:87)+100</f>
        <v>100</v>
      </c>
      <c r="I29" s="362">
        <f>C29</f>
        <v>0.77</v>
      </c>
      <c r="J29" s="325">
        <f>LOOKUP(I29,86:86,87:87)-LOOKUP(C29,86:86,87:87)+100</f>
        <v>100</v>
      </c>
      <c r="K29" s="498">
        <v>1</v>
      </c>
      <c r="L29" s="3033"/>
      <c r="M29" s="3024"/>
      <c r="N29" s="3024"/>
      <c r="O29" s="3032"/>
      <c r="P29" s="4536"/>
      <c r="Q29" s="1334" t="str">
        <f t="shared" si="11"/>
        <v>成新率</v>
      </c>
      <c r="R29" s="631" t="s">
        <v>25</v>
      </c>
      <c r="S29" s="632">
        <f t="shared" si="12"/>
        <v>100</v>
      </c>
      <c r="T29" s="631" t="s">
        <v>25</v>
      </c>
      <c r="U29" s="632">
        <f t="shared" si="13"/>
        <v>100</v>
      </c>
      <c r="V29" s="631" t="s">
        <v>25</v>
      </c>
      <c r="W29" s="632">
        <f t="shared" si="14"/>
        <v>100</v>
      </c>
      <c r="X29" s="1335"/>
      <c r="Y29" s="4536"/>
      <c r="Z29" s="1336" t="str">
        <f t="shared" si="15"/>
        <v>成新率</v>
      </c>
      <c r="AA29" s="1337">
        <f t="shared" si="3"/>
        <v>1</v>
      </c>
      <c r="AB29" s="1337">
        <f t="shared" si="4"/>
        <v>1</v>
      </c>
      <c r="AC29" s="1337">
        <f t="shared" si="5"/>
        <v>1</v>
      </c>
    </row>
    <row r="30" spans="1:29" ht="15">
      <c r="A30" s="537"/>
      <c r="B30" s="535" t="s">
        <v>2413</v>
      </c>
      <c r="C30" s="538" t="s">
        <v>2914</v>
      </c>
      <c r="D30" s="325">
        <v>100</v>
      </c>
      <c r="E30" s="538" t="s">
        <v>2914</v>
      </c>
      <c r="F30" s="351">
        <f>SUMIF(88:88,E30,89:89)-SUMIF(88:88,C30,89:89)+100</f>
        <v>100</v>
      </c>
      <c r="G30" s="538" t="s">
        <v>2914</v>
      </c>
      <c r="H30" s="325">
        <f>SUMIF(88:88,G30,89:89)-SUMIF(88:88,C30,89:89)+100</f>
        <v>100</v>
      </c>
      <c r="I30" s="538" t="s">
        <v>2914</v>
      </c>
      <c r="J30" s="325">
        <f>SUMIF(88:88,I30,89:89)-SUMIF(88:88,C30,89:89)+100</f>
        <v>100</v>
      </c>
      <c r="K30" s="498">
        <v>2</v>
      </c>
      <c r="L30" s="3033"/>
      <c r="M30" s="3024"/>
      <c r="N30" s="3024"/>
      <c r="O30" s="3032"/>
      <c r="P30" s="4536"/>
      <c r="Q30" s="1334" t="str">
        <f t="shared" si="11"/>
        <v>物业等级</v>
      </c>
      <c r="R30" s="631" t="s">
        <v>25</v>
      </c>
      <c r="S30" s="632">
        <f t="shared" si="12"/>
        <v>100</v>
      </c>
      <c r="T30" s="631" t="s">
        <v>25</v>
      </c>
      <c r="U30" s="632">
        <f t="shared" si="13"/>
        <v>100</v>
      </c>
      <c r="V30" s="631" t="s">
        <v>25</v>
      </c>
      <c r="W30" s="632">
        <f t="shared" si="14"/>
        <v>100</v>
      </c>
      <c r="X30" s="1335"/>
      <c r="Y30" s="4536"/>
      <c r="Z30" s="1336" t="str">
        <f t="shared" si="15"/>
        <v>物业等级</v>
      </c>
      <c r="AA30" s="1337">
        <f t="shared" si="3"/>
        <v>1</v>
      </c>
      <c r="AB30" s="1337">
        <f t="shared" si="4"/>
        <v>1</v>
      </c>
      <c r="AC30" s="1337">
        <f t="shared" si="5"/>
        <v>1</v>
      </c>
    </row>
    <row r="31" spans="1:29" s="25" customFormat="1" ht="15">
      <c r="A31" s="539"/>
      <c r="B31" s="535" t="s">
        <v>2414</v>
      </c>
      <c r="C31" s="357">
        <f>'数据-取费表'!B5</f>
        <v>1088.48</v>
      </c>
      <c r="D31" s="29">
        <v>100</v>
      </c>
      <c r="E31" s="357">
        <v>29</v>
      </c>
      <c r="F31" s="351">
        <f>LOOKUP(E31,91:91,92:92)-LOOKUP(C31,91:91,92:92)+100</f>
        <v>98</v>
      </c>
      <c r="G31" s="357">
        <v>30</v>
      </c>
      <c r="H31" s="325">
        <f>LOOKUP(G31,91:91,92:92)-LOOKUP(C31,91:91,92:92)+100</f>
        <v>98</v>
      </c>
      <c r="I31" s="357">
        <v>31</v>
      </c>
      <c r="J31" s="325">
        <f>LOOKUP(I31,91:91,92:92)-LOOKUP(C31,91:91,92:92)+100</f>
        <v>98</v>
      </c>
      <c r="K31" s="498">
        <v>2</v>
      </c>
      <c r="L31" s="3025"/>
      <c r="M31" s="3026"/>
      <c r="N31" s="3026"/>
      <c r="O31" s="3027"/>
      <c r="P31" s="4536"/>
      <c r="Q31" s="1327" t="str">
        <f t="shared" si="11"/>
        <v>停车位面积</v>
      </c>
      <c r="R31" s="627" t="s">
        <v>25</v>
      </c>
      <c r="S31" s="628">
        <f t="shared" si="12"/>
        <v>98</v>
      </c>
      <c r="T31" s="627" t="s">
        <v>25</v>
      </c>
      <c r="U31" s="628">
        <f t="shared" si="13"/>
        <v>98</v>
      </c>
      <c r="V31" s="627" t="s">
        <v>25</v>
      </c>
      <c r="W31" s="628">
        <f t="shared" si="14"/>
        <v>98</v>
      </c>
      <c r="X31" s="629"/>
      <c r="Y31" s="4536"/>
      <c r="Z31" s="19" t="str">
        <f t="shared" si="15"/>
        <v>停车位面积</v>
      </c>
      <c r="AA31" s="630">
        <f t="shared" si="3"/>
        <v>1.0204081632653061</v>
      </c>
      <c r="AB31" s="630">
        <f t="shared" si="4"/>
        <v>1.0204081632653061</v>
      </c>
      <c r="AC31" s="630">
        <f t="shared" si="5"/>
        <v>1.0204081632653061</v>
      </c>
    </row>
    <row r="32" spans="1:29" ht="15">
      <c r="A32" s="537"/>
      <c r="B32" s="535" t="s">
        <v>2415</v>
      </c>
      <c r="C32" s="350" t="s">
        <v>2916</v>
      </c>
      <c r="D32" s="325">
        <v>100</v>
      </c>
      <c r="E32" s="350" t="s">
        <v>2916</v>
      </c>
      <c r="F32" s="351">
        <f>SUMIF(93:93,E32,94:94)-SUMIF(93:93,C32,94:94)+100</f>
        <v>100</v>
      </c>
      <c r="G32" s="350" t="s">
        <v>2916</v>
      </c>
      <c r="H32" s="325">
        <f>SUMIF(93:93,G32,94:94)-SUMIF(93:93,C32,94:94)+100</f>
        <v>100</v>
      </c>
      <c r="I32" s="350" t="s">
        <v>2916</v>
      </c>
      <c r="J32" s="325">
        <f>SUMIF(93:93,I32,94:94)-SUMIF(93:93,C32,94:94)+100</f>
        <v>100</v>
      </c>
      <c r="K32" s="498">
        <v>2</v>
      </c>
      <c r="L32" s="3033"/>
      <c r="M32" s="3024"/>
      <c r="N32" s="3024"/>
      <c r="O32" s="3032"/>
      <c r="P32" s="4536" t="s">
        <v>2275</v>
      </c>
      <c r="Q32" s="1334" t="str">
        <f t="shared" si="11"/>
        <v>车位类型</v>
      </c>
      <c r="R32" s="631" t="s">
        <v>25</v>
      </c>
      <c r="S32" s="632">
        <f t="shared" si="12"/>
        <v>100</v>
      </c>
      <c r="T32" s="631" t="s">
        <v>25</v>
      </c>
      <c r="U32" s="632">
        <f t="shared" si="13"/>
        <v>100</v>
      </c>
      <c r="V32" s="631" t="s">
        <v>25</v>
      </c>
      <c r="W32" s="632">
        <f t="shared" si="14"/>
        <v>100</v>
      </c>
      <c r="X32" s="1335"/>
      <c r="Y32" s="4536" t="s">
        <v>2275</v>
      </c>
      <c r="Z32" s="1336" t="str">
        <f t="shared" si="15"/>
        <v>车位类型</v>
      </c>
      <c r="AA32" s="1337">
        <f t="shared" si="3"/>
        <v>1</v>
      </c>
      <c r="AB32" s="1337">
        <f t="shared" si="4"/>
        <v>1</v>
      </c>
      <c r="AC32" s="1337">
        <f t="shared" si="5"/>
        <v>1</v>
      </c>
    </row>
    <row r="33" spans="1:29" ht="15">
      <c r="A33" s="537"/>
      <c r="B33" s="535" t="s">
        <v>2416</v>
      </c>
      <c r="C33" s="350" t="s">
        <v>2919</v>
      </c>
      <c r="D33" s="325">
        <v>100</v>
      </c>
      <c r="E33" s="350" t="s">
        <v>2919</v>
      </c>
      <c r="F33" s="351">
        <f>SUMIF(95:95,E33,96:96)-SUMIF(95:95,C33,96:96)+100</f>
        <v>100</v>
      </c>
      <c r="G33" s="350" t="s">
        <v>2919</v>
      </c>
      <c r="H33" s="325">
        <f>SUMIF(95:95,G33,96:96)-SUMIF(95:95,C33,96:96)+100</f>
        <v>100</v>
      </c>
      <c r="I33" s="350" t="s">
        <v>2919</v>
      </c>
      <c r="J33" s="325">
        <f>SUMIF(95:95,I33,96:96)-SUMIF(95:95,C33,96:96)+100</f>
        <v>100</v>
      </c>
      <c r="K33" s="498">
        <v>2</v>
      </c>
      <c r="L33" s="3033"/>
      <c r="M33" s="3024"/>
      <c r="N33" s="3024"/>
      <c r="O33" s="3032"/>
      <c r="P33" s="4536"/>
      <c r="Q33" s="1334" t="str">
        <f t="shared" si="11"/>
        <v>是否直接入户</v>
      </c>
      <c r="R33" s="631" t="s">
        <v>25</v>
      </c>
      <c r="S33" s="632">
        <f t="shared" si="12"/>
        <v>100</v>
      </c>
      <c r="T33" s="631" t="s">
        <v>25</v>
      </c>
      <c r="U33" s="632">
        <f t="shared" si="13"/>
        <v>100</v>
      </c>
      <c r="V33" s="631" t="s">
        <v>25</v>
      </c>
      <c r="W33" s="632">
        <f t="shared" si="14"/>
        <v>100</v>
      </c>
      <c r="X33" s="1335"/>
      <c r="Y33" s="4536"/>
      <c r="Z33" s="1336" t="str">
        <f t="shared" si="15"/>
        <v>是否直接入户</v>
      </c>
      <c r="AA33" s="1337">
        <f t="shared" si="3"/>
        <v>1</v>
      </c>
      <c r="AB33" s="1337">
        <f t="shared" si="4"/>
        <v>1</v>
      </c>
      <c r="AC33" s="1337">
        <f t="shared" si="5"/>
        <v>1</v>
      </c>
    </row>
    <row r="34" spans="1:29" ht="15">
      <c r="A34" s="537"/>
      <c r="B34" s="3165" t="s">
        <v>2923</v>
      </c>
      <c r="C34" s="3167" t="s">
        <v>2924</v>
      </c>
      <c r="D34" s="325">
        <v>100</v>
      </c>
      <c r="E34" s="3167" t="s">
        <v>2926</v>
      </c>
      <c r="F34" s="351">
        <f>SUMIF(97:97,E34,98:98)-SUMIF(97:97,C34,98:98)+100</f>
        <v>105</v>
      </c>
      <c r="G34" s="3167" t="s">
        <v>2926</v>
      </c>
      <c r="H34" s="325">
        <f>SUMIF(97:97,G34,98:98)-SUMIF(97:97,C34,98:98)+100</f>
        <v>105</v>
      </c>
      <c r="I34" s="3167" t="s">
        <v>2924</v>
      </c>
      <c r="J34" s="325">
        <f>SUMIF(97:97,I34,98:98)-SUMIF(97:97,C34,98:98)+100</f>
        <v>100</v>
      </c>
      <c r="K34" s="499"/>
      <c r="L34" s="3033"/>
      <c r="M34" s="3024"/>
      <c r="N34" s="3024"/>
      <c r="O34" s="3032"/>
      <c r="P34" s="4536"/>
      <c r="Q34" s="1334" t="str">
        <f t="shared" si="11"/>
        <v>离出入口距离</v>
      </c>
      <c r="R34" s="631" t="s">
        <v>25</v>
      </c>
      <c r="S34" s="632">
        <f t="shared" si="12"/>
        <v>105</v>
      </c>
      <c r="T34" s="631" t="s">
        <v>25</v>
      </c>
      <c r="U34" s="632">
        <f t="shared" si="13"/>
        <v>105</v>
      </c>
      <c r="V34" s="631" t="s">
        <v>25</v>
      </c>
      <c r="W34" s="632">
        <f t="shared" si="14"/>
        <v>100</v>
      </c>
      <c r="X34" s="1335"/>
      <c r="Y34" s="4536"/>
      <c r="Z34" s="1336" t="str">
        <f t="shared" si="15"/>
        <v>离出入口距离</v>
      </c>
      <c r="AA34" s="1337">
        <f t="shared" si="3"/>
        <v>0.95238095238095233</v>
      </c>
      <c r="AB34" s="1337">
        <f t="shared" si="4"/>
        <v>0.95238095238095233</v>
      </c>
      <c r="AC34" s="133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31"/>
      <c r="M35" s="358"/>
      <c r="N35" s="358"/>
      <c r="O35" s="3034"/>
      <c r="P35" s="4536"/>
      <c r="Q35" s="633">
        <f t="shared" si="11"/>
        <v>111</v>
      </c>
      <c r="R35" s="634" t="s">
        <v>25</v>
      </c>
      <c r="S35" s="635">
        <f t="shared" si="12"/>
        <v>100</v>
      </c>
      <c r="T35" s="634" t="s">
        <v>25</v>
      </c>
      <c r="U35" s="635">
        <f t="shared" si="13"/>
        <v>100</v>
      </c>
      <c r="V35" s="634" t="s">
        <v>25</v>
      </c>
      <c r="W35" s="635">
        <f t="shared" si="14"/>
        <v>100</v>
      </c>
      <c r="X35" s="636"/>
      <c r="Y35" s="4536"/>
      <c r="Z35" s="637">
        <f t="shared" si="15"/>
        <v>111</v>
      </c>
      <c r="AA35" s="1337">
        <f t="shared" si="3"/>
        <v>1</v>
      </c>
      <c r="AB35" s="1337">
        <f t="shared" si="4"/>
        <v>1</v>
      </c>
      <c r="AC35" s="133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3"/>
      <c r="M36" s="3024"/>
      <c r="N36" s="3024"/>
      <c r="O36" s="3032"/>
      <c r="P36" s="4536"/>
      <c r="Q36" s="1334">
        <f t="shared" si="11"/>
        <v>111</v>
      </c>
      <c r="R36" s="631" t="s">
        <v>25</v>
      </c>
      <c r="S36" s="632">
        <f t="shared" si="12"/>
        <v>100</v>
      </c>
      <c r="T36" s="631" t="s">
        <v>25</v>
      </c>
      <c r="U36" s="632">
        <f t="shared" si="13"/>
        <v>100</v>
      </c>
      <c r="V36" s="631" t="s">
        <v>25</v>
      </c>
      <c r="W36" s="632">
        <f t="shared" si="14"/>
        <v>100</v>
      </c>
      <c r="X36" s="1335"/>
      <c r="Y36" s="4536"/>
      <c r="Z36" s="1336">
        <f t="shared" si="15"/>
        <v>111</v>
      </c>
      <c r="AA36" s="1337">
        <f t="shared" si="3"/>
        <v>1</v>
      </c>
      <c r="AB36" s="1337">
        <f t="shared" si="4"/>
        <v>1</v>
      </c>
      <c r="AC36" s="1337">
        <f t="shared" si="5"/>
        <v>1</v>
      </c>
    </row>
    <row r="37" spans="1:29" ht="15">
      <c r="A37" s="367" t="s">
        <v>2417</v>
      </c>
      <c r="B37" s="840" t="s">
        <v>2418</v>
      </c>
      <c r="C37" s="1153" t="s">
        <v>1</v>
      </c>
      <c r="D37" s="1154"/>
      <c r="E37" s="1155">
        <v>16695</v>
      </c>
      <c r="F37" s="1156"/>
      <c r="G37" s="1157">
        <v>17017</v>
      </c>
      <c r="H37" s="1158"/>
      <c r="I37" s="1155">
        <v>16024</v>
      </c>
      <c r="J37" s="1158"/>
      <c r="K37" s="503"/>
      <c r="L37" s="3035"/>
      <c r="N37" s="3024"/>
      <c r="P37" s="4530" t="str">
        <f>A37</f>
        <v>成交单价</v>
      </c>
      <c r="Q37" s="4530"/>
      <c r="R37" s="4531">
        <f>E37</f>
        <v>16695</v>
      </c>
      <c r="S37" s="4531"/>
      <c r="T37" s="4531">
        <f>G37</f>
        <v>17017</v>
      </c>
      <c r="U37" s="4531"/>
      <c r="V37" s="4531">
        <f>I37</f>
        <v>16024</v>
      </c>
      <c r="W37" s="4531"/>
      <c r="X37" s="618"/>
      <c r="Y37" s="638"/>
      <c r="Z37" s="618"/>
      <c r="AA37" s="618"/>
      <c r="AB37" s="618"/>
      <c r="AC37" s="618"/>
    </row>
    <row r="38" spans="1:29" ht="15.75" thickBot="1">
      <c r="A38" s="374" t="s">
        <v>2419</v>
      </c>
      <c r="B38" s="375" t="str">
        <f>B37</f>
        <v>元/平方米</v>
      </c>
      <c r="C38" s="1159" t="e">
        <f>R39</f>
        <v>#DIV/0!</v>
      </c>
      <c r="D38" s="1796" t="s">
        <v>2738</v>
      </c>
      <c r="E38" s="1160" t="e">
        <f>R38</f>
        <v>#DIV/0!</v>
      </c>
      <c r="F38" s="1798"/>
      <c r="G38" s="1159" t="e">
        <f>T38</f>
        <v>#DIV/0!</v>
      </c>
      <c r="H38" s="1798"/>
      <c r="I38" s="1160" t="e">
        <f>V38</f>
        <v>#DIV/0!</v>
      </c>
      <c r="J38" s="1798"/>
      <c r="K38" s="2509">
        <f>F38+H38+J38</f>
        <v>0</v>
      </c>
      <c r="L38" s="3035"/>
      <c r="P38" s="4530" t="str">
        <f>A38</f>
        <v>比较价值</v>
      </c>
      <c r="Q38" s="4530"/>
      <c r="R38" s="4531" t="e">
        <f>IF(E1="售价",ROUND(PRODUCT(R37,AA7:AA36),0),ROUND(PRODUCT(R37,AA7:AA36),1))</f>
        <v>#DIV/0!</v>
      </c>
      <c r="S38" s="4531"/>
      <c r="T38" s="4531" t="e">
        <f>IF(E1="售价",ROUND(PRODUCT(T37,AB7:AB36),0),ROUND(PRODUCT(T37,AB7:AB36),1))</f>
        <v>#DIV/0!</v>
      </c>
      <c r="U38" s="4531"/>
      <c r="V38" s="4531" t="e">
        <f>IF(E1="售价",ROUND(PRODUCT(V37,AC7:AC36),0),ROUND(PRODUCT(V37,AC7:AC36),1))</f>
        <v>#DIV/0!</v>
      </c>
      <c r="W38" s="4531"/>
      <c r="X38" s="618"/>
      <c r="Y38" s="618"/>
      <c r="Z38" s="618"/>
      <c r="AA38" s="618"/>
      <c r="AB38" s="618"/>
      <c r="AC38" s="618"/>
    </row>
    <row r="39" spans="1:29" ht="15.75" thickBot="1">
      <c r="A39" s="378" t="s">
        <v>2420</v>
      </c>
      <c r="B39" s="379"/>
      <c r="C39" s="1161" t="e">
        <f>R39</f>
        <v>#DIV/0!</v>
      </c>
      <c r="D39" s="1161"/>
      <c r="E39" s="1161"/>
      <c r="F39" s="1161"/>
      <c r="G39" s="1161"/>
      <c r="H39" s="1161"/>
      <c r="I39" s="1161"/>
      <c r="J39" s="1161"/>
      <c r="K39" s="504"/>
      <c r="L39" s="3035"/>
      <c r="P39" s="4532" t="str">
        <f>A39</f>
        <v>估价对象XX用房的比较价值（楼面单价，元/平方米）</v>
      </c>
      <c r="Q39" s="4533"/>
      <c r="R39" s="4534" t="e">
        <f>IF(E1="售价",ROUND(IF(D38="简单平均",AVERAGE(R38:W38),R38*F38+T38*H38+V38*J38),0),ROUND(IF(D38="简单平均",AVERAGE(R38:V38),R38*F38+T38*H38+V38*J38),1))</f>
        <v>#DIV/0!</v>
      </c>
      <c r="S39" s="4534"/>
      <c r="T39" s="4534"/>
      <c r="U39" s="4534"/>
      <c r="V39" s="4534"/>
      <c r="W39" s="4534"/>
      <c r="X39" s="618"/>
      <c r="Y39" s="618"/>
      <c r="Z39" s="618"/>
      <c r="AA39" s="618"/>
      <c r="AB39" s="618"/>
      <c r="AC39" s="618"/>
    </row>
    <row r="40" spans="1:29">
      <c r="G40" s="3038"/>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2421</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2422</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2423</v>
      </c>
      <c r="D44" s="387"/>
      <c r="E44" s="385">
        <f>IF(E37&lt;G37,G37/E37-1,E37/G37-1)</f>
        <v>1.9287211740041998E-2</v>
      </c>
      <c r="F44" s="386" t="str">
        <f>IF(OR(E44&gt;=0.3,E44&lt;=-0.3),"超过30%","")</f>
        <v/>
      </c>
      <c r="G44" s="385">
        <f>IF(G37&lt;I37,I37/G37-1,G37/I37-1)</f>
        <v>6.1969545681477722E-2</v>
      </c>
      <c r="H44" s="386" t="str">
        <f>IF(OR(G44&gt;=0.3,G44&lt;=-0.3),"超过30%","")</f>
        <v/>
      </c>
      <c r="I44" s="385">
        <f>IF(I37&lt;E37,E37/I37-1,I37/E37-1)</f>
        <v>4.187468796804783E-2</v>
      </c>
      <c r="J44" s="386" t="str">
        <f>IF(OR(I44&gt;=0.3,I44&lt;=-0.3),"超过30%","")</f>
        <v/>
      </c>
      <c r="K44" s="3039"/>
      <c r="L44" s="3036"/>
      <c r="P44" s="619"/>
      <c r="Q44" s="619"/>
      <c r="R44" s="619"/>
      <c r="S44" s="619"/>
      <c r="T44" s="619"/>
      <c r="U44" s="619"/>
      <c r="V44" s="619"/>
      <c r="W44" s="619"/>
      <c r="X44" s="619"/>
      <c r="Y44" s="619"/>
      <c r="Z44" s="619"/>
      <c r="AA44" s="619"/>
      <c r="AB44" s="619"/>
      <c r="AC44" s="619"/>
    </row>
    <row r="45" spans="1:29" s="388" customFormat="1">
      <c r="B45" s="3037"/>
      <c r="C45" s="3040"/>
      <c r="K45" s="3039"/>
      <c r="L45" s="3036"/>
      <c r="P45" s="619"/>
      <c r="Q45" s="619"/>
      <c r="R45" s="619"/>
      <c r="S45" s="619"/>
      <c r="T45" s="619"/>
      <c r="U45" s="619"/>
      <c r="V45" s="619"/>
      <c r="W45" s="619"/>
      <c r="X45" s="619"/>
      <c r="Y45" s="619"/>
      <c r="Z45" s="619"/>
      <c r="AA45" s="619"/>
      <c r="AB45" s="619"/>
      <c r="AC45" s="619"/>
    </row>
    <row r="46" spans="1:29">
      <c r="B46" s="3037"/>
      <c r="C46" s="3040"/>
      <c r="P46" s="618"/>
      <c r="Q46" s="618"/>
      <c r="R46" s="618"/>
      <c r="S46" s="618"/>
      <c r="T46" s="618"/>
      <c r="U46" s="618"/>
      <c r="V46" s="618"/>
      <c r="W46" s="618"/>
      <c r="X46" s="618"/>
      <c r="Y46" s="618"/>
      <c r="Z46" s="618"/>
      <c r="AA46" s="618"/>
      <c r="AB46" s="618"/>
      <c r="AC46" s="618"/>
    </row>
    <row r="47" spans="1:29" ht="21.75" thickBot="1">
      <c r="A47" s="1163" t="s">
        <v>2424</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ht="15">
      <c r="A48" s="391" t="s">
        <v>2425</v>
      </c>
      <c r="B48" s="392"/>
      <c r="C48" s="1187" t="str">
        <f>YEAR(C7)&amp;"-"&amp;MONTH(C7)</f>
        <v>2016-2</v>
      </c>
      <c r="D48" s="1188">
        <f>EDATE(C48,-1)</f>
        <v>42370</v>
      </c>
      <c r="E48" s="1188">
        <f t="shared" ref="E48:O48" si="16">EDATE(D48,-1)</f>
        <v>42339</v>
      </c>
      <c r="F48" s="1188">
        <f t="shared" si="16"/>
        <v>42309</v>
      </c>
      <c r="G48" s="1188">
        <f t="shared" si="16"/>
        <v>42278</v>
      </c>
      <c r="H48" s="1188">
        <f t="shared" si="16"/>
        <v>42248</v>
      </c>
      <c r="I48" s="1188">
        <f t="shared" si="16"/>
        <v>42217</v>
      </c>
      <c r="J48" s="1188">
        <f t="shared" si="16"/>
        <v>42186</v>
      </c>
      <c r="K48" s="1188">
        <f t="shared" si="16"/>
        <v>42156</v>
      </c>
      <c r="L48" s="1188">
        <f t="shared" si="16"/>
        <v>42125</v>
      </c>
      <c r="M48" s="1188">
        <f t="shared" si="16"/>
        <v>42095</v>
      </c>
      <c r="N48" s="1188">
        <f t="shared" si="16"/>
        <v>42064</v>
      </c>
      <c r="O48" s="1188">
        <f t="shared" si="16"/>
        <v>42036</v>
      </c>
      <c r="P48" s="393"/>
    </row>
    <row r="49" spans="1:17" s="25" customFormat="1" ht="15">
      <c r="A49" s="395"/>
      <c r="B49" s="396"/>
      <c r="C49" s="1186">
        <v>100</v>
      </c>
      <c r="D49" s="397">
        <v>100</v>
      </c>
      <c r="E49" s="397">
        <v>100</v>
      </c>
      <c r="F49" s="397">
        <v>99.5</v>
      </c>
      <c r="G49" s="397">
        <v>99.5</v>
      </c>
      <c r="H49" s="397">
        <v>99.5</v>
      </c>
      <c r="I49" s="397">
        <v>99</v>
      </c>
      <c r="J49" s="397">
        <v>99</v>
      </c>
      <c r="K49" s="397">
        <v>99</v>
      </c>
      <c r="L49" s="397"/>
      <c r="M49" s="398"/>
      <c r="N49" s="397"/>
      <c r="O49" s="399"/>
      <c r="P49" s="390"/>
    </row>
    <row r="50" spans="1:17" s="25" customFormat="1" ht="15.75" thickBot="1">
      <c r="A50" s="400" t="s">
        <v>2295</v>
      </c>
      <c r="B50" s="401"/>
      <c r="C50" s="402"/>
      <c r="D50" s="403"/>
      <c r="E50" s="403"/>
      <c r="F50" s="403"/>
      <c r="G50" s="403"/>
      <c r="H50" s="403"/>
      <c r="I50" s="403"/>
      <c r="J50" s="403"/>
      <c r="K50" s="403"/>
      <c r="L50" s="403"/>
      <c r="M50" s="404"/>
      <c r="N50" s="403"/>
      <c r="O50" s="405"/>
      <c r="P50" s="390"/>
      <c r="Q50" s="390"/>
    </row>
    <row r="51" spans="1:17" s="25" customFormat="1" ht="15">
      <c r="A51" s="406" t="s">
        <v>2259</v>
      </c>
      <c r="B51" s="396"/>
      <c r="C51" s="407" t="s">
        <v>2260</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2298</v>
      </c>
      <c r="B53" s="413" t="s">
        <v>2263</v>
      </c>
      <c r="C53" s="414" t="str">
        <f>C9</f>
        <v>车位</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2266</v>
      </c>
      <c r="C55" s="426" t="s">
        <v>2299</v>
      </c>
      <c r="D55" s="426" t="s">
        <v>2300</v>
      </c>
      <c r="E55" s="426" t="s">
        <v>2301</v>
      </c>
      <c r="F55" s="426" t="s">
        <v>2302</v>
      </c>
      <c r="G55" s="426" t="s">
        <v>2303</v>
      </c>
      <c r="H55" s="426" t="s">
        <v>2304</v>
      </c>
      <c r="I55" s="426" t="s">
        <v>2305</v>
      </c>
      <c r="J55" s="426"/>
      <c r="K55" s="427"/>
      <c r="L55" s="428"/>
      <c r="M55" s="429"/>
      <c r="N55" s="419"/>
      <c r="O55" s="419"/>
      <c r="P55" s="18"/>
      <c r="Q55" s="390"/>
    </row>
    <row r="56" spans="1:17" ht="15.75" thickBot="1">
      <c r="A56" s="420"/>
      <c r="B56" s="430"/>
      <c r="C56" s="431" t="s">
        <v>36</v>
      </c>
      <c r="D56" s="431" t="s">
        <v>37</v>
      </c>
      <c r="E56" s="431">
        <v>100</v>
      </c>
      <c r="F56" s="431">
        <f>E56-$K10</f>
        <v>98</v>
      </c>
      <c r="G56" s="431">
        <f>F56-$K10</f>
        <v>96</v>
      </c>
      <c r="H56" s="431">
        <f>G56-$K10</f>
        <v>94</v>
      </c>
      <c r="I56" s="431">
        <f>H56-$K10</f>
        <v>92</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2268</v>
      </c>
      <c r="B63" s="413" t="s">
        <v>2312</v>
      </c>
      <c r="C63" s="461" t="s">
        <v>2307</v>
      </c>
      <c r="D63" s="461" t="s">
        <v>2308</v>
      </c>
      <c r="E63" s="461" t="s">
        <v>2309</v>
      </c>
      <c r="F63" s="461" t="s">
        <v>2310</v>
      </c>
      <c r="G63" s="461" t="s">
        <v>2311</v>
      </c>
      <c r="H63" s="414"/>
      <c r="I63" s="414"/>
      <c r="J63" s="414"/>
      <c r="K63" s="462"/>
      <c r="L63" s="463"/>
      <c r="M63" s="464"/>
      <c r="N63" s="419"/>
      <c r="O63" s="419"/>
      <c r="P63" s="465"/>
      <c r="Q63" s="390"/>
    </row>
    <row r="64" spans="1:17" ht="15.75" thickBot="1">
      <c r="A64" s="420"/>
      <c r="B64" s="430"/>
      <c r="C64" s="431">
        <v>100</v>
      </c>
      <c r="D64" s="431">
        <f>C64-$K14</f>
        <v>98</v>
      </c>
      <c r="E64" s="431">
        <f>D64-$K14</f>
        <v>96</v>
      </c>
      <c r="F64" s="431">
        <f>E64-$K14</f>
        <v>94</v>
      </c>
      <c r="G64" s="431">
        <f>F64-$K14</f>
        <v>92</v>
      </c>
      <c r="H64" s="431"/>
      <c r="I64" s="431"/>
      <c r="J64" s="431"/>
      <c r="K64" s="431"/>
      <c r="L64" s="431"/>
      <c r="M64" s="432"/>
      <c r="N64" s="424"/>
      <c r="O64" s="424"/>
      <c r="P64" s="18"/>
      <c r="Q64" s="390"/>
    </row>
    <row r="65" spans="1:17" ht="15.75" thickTop="1">
      <c r="A65" s="420"/>
      <c r="B65" s="425" t="s">
        <v>2313</v>
      </c>
      <c r="C65" s="466" t="s">
        <v>2307</v>
      </c>
      <c r="D65" s="466" t="s">
        <v>2308</v>
      </c>
      <c r="E65" s="466" t="s">
        <v>2309</v>
      </c>
      <c r="F65" s="466" t="s">
        <v>2310</v>
      </c>
      <c r="G65" s="466" t="s">
        <v>2311</v>
      </c>
      <c r="H65" s="426"/>
      <c r="I65" s="426"/>
      <c r="J65" s="426"/>
      <c r="K65" s="427"/>
      <c r="L65" s="428"/>
      <c r="M65" s="429"/>
      <c r="N65" s="419"/>
      <c r="O65" s="419"/>
      <c r="P65" s="18"/>
      <c r="Q65" s="390"/>
    </row>
    <row r="66" spans="1:17" ht="15.75" thickBot="1">
      <c r="A66" s="420"/>
      <c r="B66" s="430"/>
      <c r="C66" s="431">
        <v>100</v>
      </c>
      <c r="D66" s="431">
        <f>C66-$K16</f>
        <v>98</v>
      </c>
      <c r="E66" s="431">
        <f>D66-$K16</f>
        <v>96</v>
      </c>
      <c r="F66" s="431">
        <f>E66-$K16</f>
        <v>94</v>
      </c>
      <c r="G66" s="431">
        <f>F66-$K16</f>
        <v>92</v>
      </c>
      <c r="H66" s="431"/>
      <c r="I66" s="431"/>
      <c r="J66" s="431"/>
      <c r="K66" s="431"/>
      <c r="L66" s="431"/>
      <c r="M66" s="432"/>
      <c r="N66" s="424"/>
      <c r="O66" s="424"/>
      <c r="P66" s="18"/>
      <c r="Q66" s="390"/>
    </row>
    <row r="67" spans="1:17" ht="15.75" thickTop="1">
      <c r="A67" s="420"/>
      <c r="B67" s="433" t="s">
        <v>2385</v>
      </c>
      <c r="C67" s="426" t="s">
        <v>2314</v>
      </c>
      <c r="D67" s="426" t="s">
        <v>2315</v>
      </c>
      <c r="E67" s="426" t="s">
        <v>2316</v>
      </c>
      <c r="F67" s="426" t="s">
        <v>2317</v>
      </c>
      <c r="G67" s="426" t="s">
        <v>2318</v>
      </c>
      <c r="H67" s="426"/>
      <c r="I67" s="426"/>
      <c r="J67" s="426"/>
      <c r="K67" s="426"/>
      <c r="L67" s="426"/>
      <c r="M67" s="1130"/>
      <c r="N67" s="424"/>
      <c r="O67" s="424"/>
      <c r="P67" s="18"/>
      <c r="Q67" s="390"/>
    </row>
    <row r="68" spans="1:17" ht="15.75" thickBot="1">
      <c r="A68" s="420"/>
      <c r="B68" s="433"/>
      <c r="C68" s="431">
        <v>100</v>
      </c>
      <c r="D68" s="431">
        <f>C68-$K18</f>
        <v>98</v>
      </c>
      <c r="E68" s="431">
        <f>D68-$K18</f>
        <v>96</v>
      </c>
      <c r="F68" s="431">
        <f>E68-$K18</f>
        <v>94</v>
      </c>
      <c r="G68" s="431">
        <f>F68-$K18</f>
        <v>92</v>
      </c>
      <c r="H68" s="541"/>
      <c r="I68" s="541"/>
      <c r="J68" s="541"/>
      <c r="K68" s="541"/>
      <c r="L68" s="541"/>
      <c r="M68" s="339"/>
      <c r="N68" s="424"/>
      <c r="O68" s="424"/>
      <c r="P68" s="18"/>
      <c r="Q68" s="390"/>
    </row>
    <row r="69" spans="1:17" ht="15.75" thickTop="1">
      <c r="A69" s="420"/>
      <c r="B69" s="425" t="s">
        <v>2319</v>
      </c>
      <c r="C69" s="466" t="s">
        <v>2307</v>
      </c>
      <c r="D69" s="466" t="s">
        <v>2308</v>
      </c>
      <c r="E69" s="466" t="s">
        <v>2309</v>
      </c>
      <c r="F69" s="466" t="s">
        <v>2310</v>
      </c>
      <c r="G69" s="466" t="s">
        <v>2311</v>
      </c>
      <c r="H69" s="426"/>
      <c r="I69" s="426"/>
      <c r="J69" s="426"/>
      <c r="K69" s="427"/>
      <c r="L69" s="428"/>
      <c r="M69" s="429"/>
      <c r="N69" s="419"/>
      <c r="O69" s="419"/>
      <c r="P69" s="18"/>
      <c r="Q69" s="390"/>
    </row>
    <row r="70" spans="1:17" ht="15.75" thickBot="1">
      <c r="A70" s="420"/>
      <c r="B70" s="430"/>
      <c r="C70" s="431">
        <v>100</v>
      </c>
      <c r="D70" s="431">
        <f>C70-$K20</f>
        <v>98</v>
      </c>
      <c r="E70" s="431">
        <f>D70-$K20</f>
        <v>96</v>
      </c>
      <c r="F70" s="431">
        <f>E70-$K20</f>
        <v>94</v>
      </c>
      <c r="G70" s="431">
        <f>F70-$K20</f>
        <v>92</v>
      </c>
      <c r="H70" s="431"/>
      <c r="I70" s="431"/>
      <c r="J70" s="431"/>
      <c r="K70" s="431"/>
      <c r="L70" s="431"/>
      <c r="M70" s="432"/>
      <c r="N70" s="424"/>
      <c r="O70" s="424"/>
      <c r="P70" s="18"/>
      <c r="Q70" s="390"/>
    </row>
    <row r="71" spans="1:17" ht="15.75" thickTop="1">
      <c r="A71" s="420"/>
      <c r="B71" s="425" t="s">
        <v>2426</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2273</v>
      </c>
      <c r="B79" s="413" t="s">
        <v>2427</v>
      </c>
      <c r="C79" s="414" t="str">
        <f>C26</f>
        <v>住宅</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98</v>
      </c>
      <c r="E80" s="431">
        <f t="shared" si="17"/>
        <v>96</v>
      </c>
      <c r="F80" s="431">
        <f t="shared" si="17"/>
        <v>94</v>
      </c>
      <c r="G80" s="431">
        <f t="shared" si="17"/>
        <v>92</v>
      </c>
      <c r="H80" s="431">
        <f t="shared" si="17"/>
        <v>90</v>
      </c>
      <c r="I80" s="431">
        <f t="shared" si="17"/>
        <v>88</v>
      </c>
      <c r="J80" s="431">
        <f t="shared" si="17"/>
        <v>86</v>
      </c>
      <c r="K80" s="431">
        <f t="shared" si="17"/>
        <v>84</v>
      </c>
      <c r="L80" s="431">
        <f t="shared" si="17"/>
        <v>82</v>
      </c>
      <c r="M80" s="432">
        <f t="shared" si="17"/>
        <v>80</v>
      </c>
      <c r="N80" s="424"/>
      <c r="O80" s="424"/>
      <c r="P80" s="18"/>
      <c r="Q80" s="390"/>
    </row>
    <row r="81" spans="1:17" ht="15.75" thickTop="1">
      <c r="A81" s="420"/>
      <c r="B81" s="425" t="s">
        <v>2428</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2326</v>
      </c>
      <c r="C83" s="3162" t="s">
        <v>2913</v>
      </c>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99</v>
      </c>
      <c r="E84" s="431">
        <f t="shared" si="18"/>
        <v>98</v>
      </c>
      <c r="F84" s="431">
        <f t="shared" si="18"/>
        <v>97</v>
      </c>
      <c r="G84" s="431">
        <f t="shared" si="18"/>
        <v>96</v>
      </c>
      <c r="H84" s="431">
        <f t="shared" si="18"/>
        <v>95</v>
      </c>
      <c r="I84" s="431">
        <f t="shared" si="18"/>
        <v>94</v>
      </c>
      <c r="J84" s="431">
        <f t="shared" si="18"/>
        <v>93</v>
      </c>
      <c r="K84" s="431">
        <f t="shared" si="18"/>
        <v>92</v>
      </c>
      <c r="L84" s="431">
        <f t="shared" si="18"/>
        <v>91</v>
      </c>
      <c r="M84" s="432">
        <f t="shared" si="18"/>
        <v>90</v>
      </c>
      <c r="N84" s="424"/>
      <c r="O84" s="424"/>
      <c r="P84" s="18"/>
      <c r="Q84" s="390"/>
    </row>
    <row r="85" spans="1:17" ht="15" thickTop="1">
      <c r="A85" s="487"/>
      <c r="B85" s="425" t="s">
        <v>2429</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101</v>
      </c>
      <c r="E87" s="431">
        <f t="shared" ref="E87:M87" si="19">D87+$K$29</f>
        <v>102</v>
      </c>
      <c r="F87" s="431">
        <f t="shared" si="19"/>
        <v>103</v>
      </c>
      <c r="G87" s="431">
        <f t="shared" si="19"/>
        <v>104</v>
      </c>
      <c r="H87" s="431">
        <f t="shared" si="19"/>
        <v>105</v>
      </c>
      <c r="I87" s="431">
        <f t="shared" si="19"/>
        <v>106</v>
      </c>
      <c r="J87" s="431">
        <f t="shared" si="19"/>
        <v>107</v>
      </c>
      <c r="K87" s="431">
        <f t="shared" si="19"/>
        <v>108</v>
      </c>
      <c r="L87" s="431">
        <f t="shared" si="19"/>
        <v>109</v>
      </c>
      <c r="M87" s="431">
        <f t="shared" si="19"/>
        <v>110</v>
      </c>
      <c r="N87" s="424"/>
      <c r="O87" s="424"/>
      <c r="P87" s="18"/>
      <c r="Q87" s="390"/>
    </row>
    <row r="88" spans="1:17" ht="15" thickTop="1">
      <c r="A88" s="487"/>
      <c r="B88" s="433" t="s">
        <v>2430</v>
      </c>
      <c r="C88" s="3163" t="s">
        <v>2915</v>
      </c>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102</v>
      </c>
      <c r="E89" s="431">
        <f t="shared" si="20"/>
        <v>104</v>
      </c>
      <c r="F89" s="431">
        <f t="shared" si="20"/>
        <v>106</v>
      </c>
      <c r="G89" s="431">
        <f t="shared" si="20"/>
        <v>108</v>
      </c>
      <c r="H89" s="431">
        <f t="shared" si="20"/>
        <v>110</v>
      </c>
      <c r="I89" s="431">
        <f t="shared" si="20"/>
        <v>112</v>
      </c>
      <c r="J89" s="431">
        <f t="shared" si="20"/>
        <v>114</v>
      </c>
      <c r="K89" s="431">
        <f t="shared" si="20"/>
        <v>116</v>
      </c>
      <c r="L89" s="431">
        <f t="shared" si="20"/>
        <v>118</v>
      </c>
      <c r="M89" s="431">
        <f t="shared" si="20"/>
        <v>120</v>
      </c>
      <c r="N89" s="424"/>
      <c r="O89" s="424"/>
      <c r="P89" s="18"/>
      <c r="Q89" s="390"/>
    </row>
    <row r="90" spans="1:17" s="359" customFormat="1" ht="15" thickTop="1">
      <c r="A90" s="481"/>
      <c r="B90" s="425" t="s">
        <v>2431</v>
      </c>
      <c r="C90" s="466" t="str">
        <f>C91&amp;"(含)"&amp;"-"&amp;D91</f>
        <v>0(含)-20</v>
      </c>
      <c r="D90" s="466" t="str">
        <f t="shared" ref="D90:L90" si="21">D91&amp;"(含)"&amp;"-"&amp;E91</f>
        <v>20(含)-40</v>
      </c>
      <c r="E90" s="466" t="str">
        <f t="shared" si="21"/>
        <v>40(含)-50</v>
      </c>
      <c r="F90" s="466" t="str">
        <f t="shared" si="21"/>
        <v>50(含)-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v>0</v>
      </c>
      <c r="D91" s="483">
        <v>20</v>
      </c>
      <c r="E91" s="483">
        <v>40</v>
      </c>
      <c r="F91" s="483">
        <v>50</v>
      </c>
      <c r="G91" s="483"/>
      <c r="H91" s="483"/>
      <c r="I91" s="483"/>
      <c r="J91" s="484"/>
      <c r="K91" s="484"/>
      <c r="L91" s="485"/>
      <c r="M91" s="486"/>
      <c r="N91" s="445"/>
      <c r="O91" s="445"/>
      <c r="P91" s="446"/>
      <c r="Q91" s="447"/>
    </row>
    <row r="92" spans="1:17" s="359" customFormat="1" ht="15.75" thickBot="1">
      <c r="A92" s="440"/>
      <c r="B92" s="430"/>
      <c r="C92" s="448">
        <v>100</v>
      </c>
      <c r="D92" s="422">
        <v>101</v>
      </c>
      <c r="E92" s="422">
        <v>102</v>
      </c>
      <c r="F92" s="422">
        <v>103</v>
      </c>
      <c r="G92" s="422"/>
      <c r="H92" s="422"/>
      <c r="I92" s="422"/>
      <c r="J92" s="422"/>
      <c r="K92" s="422"/>
      <c r="L92" s="422"/>
      <c r="M92" s="423"/>
      <c r="N92" s="445"/>
      <c r="O92" s="445"/>
      <c r="P92" s="446"/>
      <c r="Q92" s="447"/>
    </row>
    <row r="93" spans="1:17" ht="15" thickTop="1">
      <c r="A93" s="487"/>
      <c r="B93" s="425" t="s">
        <v>2432</v>
      </c>
      <c r="C93" s="3162" t="s">
        <v>2917</v>
      </c>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98</v>
      </c>
      <c r="E94" s="431">
        <f t="shared" si="22"/>
        <v>96</v>
      </c>
      <c r="F94" s="431">
        <f t="shared" si="22"/>
        <v>94</v>
      </c>
      <c r="G94" s="431">
        <f t="shared" si="22"/>
        <v>92</v>
      </c>
      <c r="H94" s="431">
        <f t="shared" si="22"/>
        <v>90</v>
      </c>
      <c r="I94" s="431">
        <f t="shared" si="22"/>
        <v>88</v>
      </c>
      <c r="J94" s="431">
        <f t="shared" si="22"/>
        <v>86</v>
      </c>
      <c r="K94" s="431">
        <f t="shared" si="22"/>
        <v>84</v>
      </c>
      <c r="L94" s="431">
        <f t="shared" si="22"/>
        <v>82</v>
      </c>
      <c r="M94" s="432">
        <f t="shared" si="22"/>
        <v>80</v>
      </c>
      <c r="N94" s="424"/>
      <c r="O94" s="424"/>
      <c r="P94" s="18"/>
      <c r="Q94" s="390"/>
    </row>
    <row r="95" spans="1:17" ht="15" thickTop="1">
      <c r="A95" s="487"/>
      <c r="B95" s="425" t="s">
        <v>2433</v>
      </c>
      <c r="C95" s="3163" t="s">
        <v>2918</v>
      </c>
      <c r="D95" s="3163" t="s">
        <v>2920</v>
      </c>
      <c r="E95" s="415"/>
      <c r="F95" s="415"/>
      <c r="G95" s="415"/>
      <c r="H95" s="415"/>
      <c r="I95" s="415"/>
      <c r="J95" s="415"/>
      <c r="K95" s="416"/>
      <c r="L95" s="417"/>
      <c r="M95" s="418"/>
      <c r="N95" s="419"/>
      <c r="O95" s="419"/>
      <c r="P95" s="18"/>
      <c r="Q95" s="390"/>
    </row>
    <row r="96" spans="1:17" ht="15.75" thickBot="1">
      <c r="A96" s="420"/>
      <c r="B96" s="430"/>
      <c r="C96" s="431">
        <v>100</v>
      </c>
      <c r="D96" s="431">
        <f>C96-$K33</f>
        <v>98</v>
      </c>
      <c r="E96" s="431">
        <f>D96-$K33</f>
        <v>96</v>
      </c>
      <c r="F96" s="431">
        <f>E96-$K33</f>
        <v>94</v>
      </c>
      <c r="G96" s="431">
        <f>F96-$K33</f>
        <v>92</v>
      </c>
      <c r="H96" s="431"/>
      <c r="I96" s="431"/>
      <c r="J96" s="431"/>
      <c r="K96" s="431"/>
      <c r="L96" s="431"/>
      <c r="M96" s="432"/>
      <c r="N96" s="424"/>
      <c r="O96" s="424"/>
      <c r="P96" s="18"/>
      <c r="Q96" s="390"/>
    </row>
    <row r="97" spans="1:17" ht="15" thickTop="1">
      <c r="A97" s="487"/>
      <c r="B97" s="518" t="str">
        <f>B34</f>
        <v>离出入口距离</v>
      </c>
      <c r="C97" s="3166" t="s">
        <v>2924</v>
      </c>
      <c r="D97" s="3166" t="s">
        <v>2925</v>
      </c>
      <c r="E97" s="436"/>
      <c r="F97" s="436"/>
      <c r="G97" s="441"/>
      <c r="H97" s="442"/>
      <c r="I97" s="442"/>
      <c r="J97" s="442"/>
      <c r="K97" s="442"/>
      <c r="L97" s="443"/>
      <c r="M97" s="444"/>
      <c r="N97" s="424"/>
      <c r="O97" s="424"/>
      <c r="P97" s="519"/>
      <c r="Q97" s="520"/>
    </row>
    <row r="98" spans="1:17" ht="15.75" thickBot="1">
      <c r="A98" s="420"/>
      <c r="B98" s="430"/>
      <c r="C98" s="448">
        <v>95</v>
      </c>
      <c r="D98" s="422">
        <v>100</v>
      </c>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159" priority="18" stopIfTrue="1" operator="containsText" text="超过">
      <formula>NOT(ISERROR(SEARCH("超过",F42)))</formula>
    </cfRule>
  </conditionalFormatting>
  <conditionalFormatting sqref="J44">
    <cfRule type="containsText" dxfId="158" priority="17" stopIfTrue="1" operator="containsText" text="超过">
      <formula>NOT(ISERROR(SEARCH("超过",J44)))</formula>
    </cfRule>
  </conditionalFormatting>
  <conditionalFormatting sqref="H44">
    <cfRule type="containsText" dxfId="157" priority="16" stopIfTrue="1" operator="containsText" text="超过">
      <formula>NOT(ISERROR(SEARCH("超过",H44)))</formula>
    </cfRule>
  </conditionalFormatting>
  <conditionalFormatting sqref="F44">
    <cfRule type="containsText" dxfId="156" priority="15" stopIfTrue="1" operator="containsText" text="超过">
      <formula>NOT(ISERROR(SEARCH("超过",F44)))</formula>
    </cfRule>
  </conditionalFormatting>
  <conditionalFormatting sqref="F43 H43 J43">
    <cfRule type="containsText" dxfId="155" priority="14" stopIfTrue="1" operator="containsText" text="超过">
      <formula>NOT(ISERROR(SEARCH("超过",F43)))</formula>
    </cfRule>
  </conditionalFormatting>
  <conditionalFormatting sqref="E42">
    <cfRule type="expression" dxfId="154" priority="13" stopIfTrue="1">
      <formula>$F$42="超过30%"</formula>
    </cfRule>
  </conditionalFormatting>
  <conditionalFormatting sqref="G44">
    <cfRule type="expression" dxfId="153" priority="12" stopIfTrue="1">
      <formula>$H$54+$H$44="超过30%"</formula>
    </cfRule>
  </conditionalFormatting>
  <conditionalFormatting sqref="E43">
    <cfRule type="expression" dxfId="152" priority="11" stopIfTrue="1">
      <formula>$F$43="超过20%"</formula>
    </cfRule>
  </conditionalFormatting>
  <conditionalFormatting sqref="E44">
    <cfRule type="expression" dxfId="151" priority="10" stopIfTrue="1">
      <formula>$F$44="超过30%"</formula>
    </cfRule>
  </conditionalFormatting>
  <conditionalFormatting sqref="G42">
    <cfRule type="expression" dxfId="150" priority="9" stopIfTrue="1">
      <formula>$H$52+$H$42="超过30%"</formula>
    </cfRule>
  </conditionalFormatting>
  <conditionalFormatting sqref="G43">
    <cfRule type="expression" dxfId="149" priority="8" stopIfTrue="1">
      <formula>$H$43="超过20%"</formula>
    </cfRule>
  </conditionalFormatting>
  <conditionalFormatting sqref="I42">
    <cfRule type="expression" dxfId="148" priority="7" stopIfTrue="1">
      <formula>$J$52+$J$42="超过30%"</formula>
    </cfRule>
  </conditionalFormatting>
  <conditionalFormatting sqref="I43">
    <cfRule type="expression" dxfId="147" priority="6" stopIfTrue="1">
      <formula>$J$53+$J$43="超过20%"</formula>
    </cfRule>
  </conditionalFormatting>
  <conditionalFormatting sqref="I44">
    <cfRule type="expression" dxfId="146" priority="5" stopIfTrue="1">
      <formula>$J$44="超过30%"</formula>
    </cfRule>
  </conditionalFormatting>
  <conditionalFormatting sqref="F38">
    <cfRule type="expression" dxfId="145" priority="4">
      <formula>$D$38="简单平均"</formula>
    </cfRule>
  </conditionalFormatting>
  <conditionalFormatting sqref="H38">
    <cfRule type="expression" dxfId="144" priority="3">
      <formula>$D$38="简单平均"</formula>
    </cfRule>
  </conditionalFormatting>
  <conditionalFormatting sqref="J38">
    <cfRule type="expression" dxfId="143" priority="2">
      <formula>$D$38="简单平均"</formula>
    </cfRule>
  </conditionalFormatting>
  <conditionalFormatting sqref="F7:F36 H7:H36 J7:J36">
    <cfRule type="cellIs" dxfId="142" priority="1" operator="notEqual">
      <formula>100</formula>
    </cfRule>
  </conditionalFormatting>
  <dataValidations count="20">
    <dataValidation type="list" allowBlank="1" showInputMessage="1" showErrorMessage="1" sqref="C10 E10 G10 I10" xr:uid="{00000000-0002-0000-1600-000000000000}">
      <formula1>土地年限区间</formula1>
    </dataValidation>
    <dataValidation type="list" allowBlank="1" showInputMessage="1" showErrorMessage="1" sqref="G17 C17 I17 E17" xr:uid="{00000000-0002-0000-1600-000001000000}">
      <formula1>公共配套设施</formula1>
    </dataValidation>
    <dataValidation type="list" allowBlank="1" showInputMessage="1" showErrorMessage="1" sqref="G15 E15 C15 I15" xr:uid="{00000000-0002-0000-1600-000002000000}">
      <formula1>交通便捷度</formula1>
    </dataValidation>
    <dataValidation type="list" allowBlank="1" showInputMessage="1" showErrorMessage="1" sqref="C8 E8 G8 I8" xr:uid="{00000000-0002-0000-1600-000003000000}">
      <formula1>车位交易情况</formula1>
    </dataValidation>
    <dataValidation type="list" allowBlank="1" showInputMessage="1" showErrorMessage="1" sqref="E9 G9 I9" xr:uid="{00000000-0002-0000-1600-000004000000}">
      <formula1>车位用途</formula1>
    </dataValidation>
    <dataValidation type="list" allowBlank="1" showInputMessage="1" showErrorMessage="1" sqref="C22 E22 G22 I22" xr:uid="{00000000-0002-0000-1600-000005000000}">
      <formula1>车位楼层</formula1>
    </dataValidation>
    <dataValidation type="list" allowBlank="1" showInputMessage="1" showErrorMessage="1" sqref="C30 E30 G30 I30" xr:uid="{00000000-0002-0000-1600-000006000000}">
      <formula1>车位物业等级</formula1>
    </dataValidation>
    <dataValidation type="list" allowBlank="1" showInputMessage="1" showErrorMessage="1" sqref="C32 E32 G32 I32" xr:uid="{00000000-0002-0000-1600-000007000000}">
      <formula1>车位类型</formula1>
    </dataValidation>
    <dataValidation type="list" allowBlank="1" showInputMessage="1" showErrorMessage="1" sqref="C33 E33 G33 I33" xr:uid="{00000000-0002-0000-1600-000008000000}">
      <formula1>是否直接入户</formula1>
    </dataValidation>
    <dataValidation type="list" allowBlank="1" showInputMessage="1" showErrorMessage="1" sqref="B1" xr:uid="{00000000-0002-0000-1600-000009000000}">
      <formula1>地类判定</formula1>
    </dataValidation>
    <dataValidation type="list" allowBlank="1" showInputMessage="1" showErrorMessage="1" sqref="I26 E26 G26" xr:uid="{00000000-0002-0000-1600-00000A000000}">
      <formula1>车位配套类型</formula1>
    </dataValidation>
    <dataValidation type="list" allowBlank="1" showInputMessage="1" showErrorMessage="1" sqref="C28 E28 G28 I28" xr:uid="{00000000-0002-0000-1600-00000B000000}">
      <formula1>车位公共部分装修</formula1>
    </dataValidation>
    <dataValidation type="list" allowBlank="1" showInputMessage="1" showErrorMessage="1" sqref="C21 E21 G21 I21" xr:uid="{00000000-0002-0000-1600-00000C000000}">
      <formula1>环境</formula1>
    </dataValidation>
    <dataValidation type="list" allowBlank="1" showInputMessage="1" showErrorMessage="1" sqref="B37" xr:uid="{00000000-0002-0000-1600-00000D000000}">
      <formula1>"元/平方米,元/车位"</formula1>
    </dataValidation>
    <dataValidation type="list" allowBlank="1" showInputMessage="1" showErrorMessage="1" sqref="C1" xr:uid="{00000000-0002-0000-1600-00000E000000}">
      <formula1>"估价对象,仅计算典型户型"</formula1>
    </dataValidation>
    <dataValidation type="list" allowBlank="1" showInputMessage="1" showErrorMessage="1" sqref="C19 E19 G19 I19" xr:uid="{00000000-0002-0000-1600-00000F000000}">
      <formula1>基础设施水平</formula1>
    </dataValidation>
    <dataValidation type="list" allowBlank="1" showInputMessage="1" showErrorMessage="1" sqref="E1" xr:uid="{00000000-0002-0000-1600-000010000000}">
      <formula1>"售价,租金"</formula1>
    </dataValidation>
    <dataValidation type="list" allowBlank="1" showInputMessage="1" showErrorMessage="1" sqref="D2" xr:uid="{00000000-0002-0000-1600-000011000000}">
      <formula1>"需扣减承租人权益,——"</formula1>
    </dataValidation>
    <dataValidation type="list" allowBlank="1" showInputMessage="1" showErrorMessage="1" sqref="G2" xr:uid="{00000000-0002-0000-1600-000012000000}">
      <formula1>估价方法</formula1>
    </dataValidation>
    <dataValidation type="list" allowBlank="1" showInputMessage="1" showErrorMessage="1" sqref="D38" xr:uid="{00000000-0002-0000-1600-000013000000}">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625" style="296" customWidth="1"/>
    <col min="3" max="3" width="14.375" style="296" customWidth="1"/>
    <col min="4" max="4" width="12.125" style="296" customWidth="1"/>
    <col min="5" max="5" width="14.375" style="296" customWidth="1"/>
    <col min="6" max="6" width="12.125" style="296" customWidth="1"/>
    <col min="7" max="7" width="14.5" style="296" customWidth="1"/>
    <col min="8" max="8" width="12.125" style="296" customWidth="1"/>
    <col min="9" max="9" width="14.5" style="296" customWidth="1"/>
    <col min="10" max="10" width="12.125" style="296" customWidth="1"/>
    <col min="11" max="11" width="12.125" style="381" customWidth="1"/>
    <col min="12" max="12" width="12.125" style="382" customWidth="1"/>
    <col min="13" max="15" width="12.125" style="296" customWidth="1"/>
    <col min="16" max="16" width="4.625" style="296" customWidth="1"/>
    <col min="17" max="17" width="19.5" style="296" customWidth="1"/>
    <col min="18" max="22" width="6.125" style="296" customWidth="1"/>
    <col min="23" max="23" width="5.625" style="296" customWidth="1"/>
    <col min="24" max="24" width="4.125" style="296" customWidth="1"/>
    <col min="25" max="25" width="3.5" style="296" customWidth="1"/>
    <col min="26" max="26" width="19.625" style="296" customWidth="1"/>
    <col min="27" max="28" width="9.375" style="296" customWidth="1"/>
    <col min="29" max="16384" width="9" style="296"/>
  </cols>
  <sheetData>
    <row r="1" spans="1:29" s="1229" customFormat="1" ht="28.5" customHeight="1" thickBot="1">
      <c r="A1" s="1220" t="s">
        <v>2404</v>
      </c>
      <c r="B1" s="1582"/>
      <c r="C1" s="1221"/>
      <c r="D1" s="1231"/>
      <c r="E1" s="1559" t="s">
        <v>2739</v>
      </c>
      <c r="F1" s="1232" t="s">
        <v>2242</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1912</v>
      </c>
      <c r="B2" s="1217" t="e">
        <f ca="1">IF(D2="——",IF(C2="元",ROUND(C37*D3,0),ROUND(C37*D3/10000,0)),IF(C2="元",ROUND(C37*D3,0),ROUND(C37*D3/10000,0))-E2)</f>
        <v>#DIV/0!</v>
      </c>
      <c r="C2" s="79" t="str">
        <f>'数据-取费表'!B3</f>
        <v>元</v>
      </c>
      <c r="D2" s="1560"/>
      <c r="E2" s="1230" t="e">
        <f ca="1">SUMIF(INDIRECT("'"&amp;G2&amp;"'"&amp;"!A:A"),"承租人权益价值",INDIRECT("'"&amp;G2&amp;"'"&amp;"!c:c"))</f>
        <v>#REF!</v>
      </c>
      <c r="F2" s="1561" t="str">
        <f>C2</f>
        <v>元</v>
      </c>
      <c r="G2" s="1562"/>
      <c r="H2" s="3018"/>
      <c r="I2" s="3018"/>
      <c r="J2" s="3018"/>
      <c r="K2" s="3022"/>
      <c r="L2" s="3019"/>
      <c r="M2" s="3020"/>
      <c r="N2" s="3020"/>
      <c r="O2" s="3020"/>
      <c r="P2" s="625"/>
      <c r="Q2" s="625"/>
      <c r="R2" s="625"/>
      <c r="S2" s="625"/>
      <c r="T2" s="625"/>
      <c r="U2" s="625"/>
      <c r="V2" s="625"/>
      <c r="W2" s="625"/>
      <c r="X2" s="625"/>
      <c r="Y2" s="625"/>
      <c r="Z2" s="625"/>
      <c r="AA2" s="625"/>
      <c r="AB2" s="625"/>
      <c r="AC2" s="626"/>
    </row>
    <row r="3" spans="1:29" s="291" customFormat="1" ht="28.5" customHeight="1" thickBot="1">
      <c r="A3" s="83" t="s">
        <v>1913</v>
      </c>
      <c r="B3" s="495" t="e">
        <f ca="1">ROUND(IF(D2="——",C37,IF(C2="万元",B2*10000/D3,B2/D3)),0)</f>
        <v>#DIV/0!</v>
      </c>
      <c r="C3" s="293" t="s">
        <v>2243</v>
      </c>
      <c r="D3" s="292">
        <f>IF(C1="仅计算典型户型",'数据-取费表'!E5,'数据-取费表'!B5)</f>
        <v>1088.48</v>
      </c>
      <c r="E3" s="3018"/>
      <c r="F3" s="3021"/>
      <c r="G3" s="3018"/>
      <c r="H3" s="3018"/>
      <c r="I3" s="3018"/>
      <c r="J3" s="3018"/>
      <c r="K3" s="3022"/>
      <c r="L3" s="3019"/>
      <c r="M3" s="3020"/>
      <c r="N3" s="3020"/>
      <c r="O3" s="3020"/>
      <c r="P3" s="625"/>
      <c r="Q3" s="625"/>
      <c r="R3" s="625"/>
      <c r="S3" s="625"/>
      <c r="T3" s="625"/>
      <c r="U3" s="625"/>
      <c r="V3" s="625"/>
      <c r="W3" s="625"/>
      <c r="X3" s="625"/>
      <c r="Y3" s="625"/>
      <c r="Z3" s="625"/>
      <c r="AA3" s="625"/>
      <c r="AB3" s="644"/>
      <c r="AC3" s="639"/>
    </row>
    <row r="4" spans="1:29" ht="15">
      <c r="A4" s="294" t="s">
        <v>2244</v>
      </c>
      <c r="B4" s="295"/>
      <c r="C4" s="4553" t="s">
        <v>2245</v>
      </c>
      <c r="D4" s="4554"/>
      <c r="E4" s="4555" t="s">
        <v>2246</v>
      </c>
      <c r="F4" s="4556"/>
      <c r="G4" s="4553" t="s">
        <v>2247</v>
      </c>
      <c r="H4" s="4554"/>
      <c r="I4" s="4553" t="s">
        <v>2248</v>
      </c>
      <c r="J4" s="4554"/>
      <c r="K4" s="496" t="s">
        <v>2249</v>
      </c>
      <c r="L4" s="3023"/>
      <c r="M4" s="3024"/>
      <c r="N4" s="3024"/>
      <c r="O4" s="3024"/>
      <c r="P4" s="4557" t="s">
        <v>2250</v>
      </c>
      <c r="Q4" s="4558"/>
      <c r="R4" s="4540" t="s">
        <v>2246</v>
      </c>
      <c r="S4" s="4541"/>
      <c r="T4" s="4540" t="s">
        <v>2247</v>
      </c>
      <c r="U4" s="4541"/>
      <c r="V4" s="4563" t="s">
        <v>2248</v>
      </c>
      <c r="W4" s="4563"/>
      <c r="X4" s="1335"/>
      <c r="Y4" s="4540" t="s">
        <v>2250</v>
      </c>
      <c r="Z4" s="4541"/>
      <c r="AA4" s="4550" t="s">
        <v>2246</v>
      </c>
      <c r="AB4" s="4551" t="s">
        <v>2247</v>
      </c>
      <c r="AC4" s="4550" t="s">
        <v>2248</v>
      </c>
    </row>
    <row r="5" spans="1:29" ht="15">
      <c r="A5" s="297"/>
      <c r="B5" s="298"/>
      <c r="C5" s="4566" t="s">
        <v>2251</v>
      </c>
      <c r="D5" s="4567"/>
      <c r="E5" s="4564" t="s">
        <v>2252</v>
      </c>
      <c r="F5" s="4565"/>
      <c r="G5" s="4566" t="s">
        <v>2253</v>
      </c>
      <c r="H5" s="4567"/>
      <c r="I5" s="4566" t="s">
        <v>2254</v>
      </c>
      <c r="J5" s="4567"/>
      <c r="K5" s="496"/>
      <c r="L5" s="3023"/>
      <c r="M5" s="3024"/>
      <c r="N5" s="3024"/>
      <c r="O5" s="3024"/>
      <c r="P5" s="4559"/>
      <c r="Q5" s="4560"/>
      <c r="R5" s="4542"/>
      <c r="S5" s="4543"/>
      <c r="T5" s="4542"/>
      <c r="U5" s="4543"/>
      <c r="V5" s="4563"/>
      <c r="W5" s="4563"/>
      <c r="X5" s="1335"/>
      <c r="Y5" s="4542"/>
      <c r="Z5" s="4543"/>
      <c r="AA5" s="4551"/>
      <c r="AB5" s="4551"/>
      <c r="AC5" s="4551"/>
    </row>
    <row r="6" spans="1:29" ht="15.75" thickBot="1">
      <c r="A6" s="299"/>
      <c r="B6" s="300"/>
      <c r="C6" s="4568" t="s">
        <v>2255</v>
      </c>
      <c r="D6" s="4569"/>
      <c r="E6" s="4570" t="s">
        <v>2255</v>
      </c>
      <c r="F6" s="4571"/>
      <c r="G6" s="4568" t="s">
        <v>2255</v>
      </c>
      <c r="H6" s="4569"/>
      <c r="I6" s="4568" t="s">
        <v>2255</v>
      </c>
      <c r="J6" s="4569"/>
      <c r="K6" s="496" t="s">
        <v>2256</v>
      </c>
      <c r="L6" s="3023"/>
      <c r="M6" s="3024"/>
      <c r="N6" s="3024"/>
      <c r="O6" s="3024"/>
      <c r="P6" s="4561"/>
      <c r="Q6" s="4562"/>
      <c r="R6" s="4542"/>
      <c r="S6" s="4543"/>
      <c r="T6" s="4544"/>
      <c r="U6" s="4545"/>
      <c r="V6" s="4563"/>
      <c r="W6" s="4563"/>
      <c r="X6" s="1335"/>
      <c r="Y6" s="4544"/>
      <c r="Z6" s="4545"/>
      <c r="AA6" s="4552"/>
      <c r="AB6" s="4552"/>
      <c r="AC6" s="4552"/>
    </row>
    <row r="7" spans="1:29" s="25" customFormat="1" ht="15.75" thickBot="1">
      <c r="A7" s="301" t="s">
        <v>2257</v>
      </c>
      <c r="B7" s="302"/>
      <c r="C7" s="303">
        <f>'数据-取费表'!B2</f>
        <v>42402</v>
      </c>
      <c r="D7" s="304">
        <v>100</v>
      </c>
      <c r="E7" s="1575"/>
      <c r="F7" s="304">
        <f>SUMIF(46:46,YEAR(E7)&amp;"-"&amp;MONTH(E7),47:47)</f>
        <v>0</v>
      </c>
      <c r="G7" s="305"/>
      <c r="H7" s="304">
        <f>SUMIF(46:46,YEAR(G7)&amp;"-"&amp;MONTH(G7),47:47)</f>
        <v>0</v>
      </c>
      <c r="I7" s="305"/>
      <c r="J7" s="304">
        <f>SUMIF(46:46,YEAR(I7)&amp;"-"&amp;MONTH(I7),47:47)</f>
        <v>0</v>
      </c>
      <c r="K7" s="497"/>
      <c r="L7" s="3025"/>
      <c r="M7" s="3026"/>
      <c r="N7" s="3026"/>
      <c r="O7" s="3026"/>
      <c r="P7" s="4538" t="s">
        <v>2258</v>
      </c>
      <c r="Q7" s="4546"/>
      <c r="R7" s="627" t="s">
        <v>25</v>
      </c>
      <c r="S7" s="628">
        <f t="shared" ref="S7:S14" si="0">F7</f>
        <v>0</v>
      </c>
      <c r="T7" s="627" t="s">
        <v>25</v>
      </c>
      <c r="U7" s="628">
        <f t="shared" ref="U7:U14" si="1">H7</f>
        <v>0</v>
      </c>
      <c r="V7" s="627" t="s">
        <v>25</v>
      </c>
      <c r="W7" s="628">
        <f t="shared" ref="W7:W14" si="2">J7</f>
        <v>0</v>
      </c>
      <c r="X7" s="629"/>
      <c r="Y7" s="4538" t="s">
        <v>2258</v>
      </c>
      <c r="Z7" s="4539"/>
      <c r="AA7" s="630" t="e">
        <f>D7/F7</f>
        <v>#DIV/0!</v>
      </c>
      <c r="AB7" s="630" t="e">
        <f>D7/H7</f>
        <v>#DIV/0!</v>
      </c>
      <c r="AC7" s="630" t="e">
        <f>D7/J7</f>
        <v>#DIV/0!</v>
      </c>
    </row>
    <row r="8" spans="1:29" s="25" customFormat="1" ht="15.75" thickBot="1">
      <c r="A8" s="301" t="s">
        <v>2259</v>
      </c>
      <c r="B8" s="302"/>
      <c r="C8" s="307" t="s">
        <v>2260</v>
      </c>
      <c r="D8" s="304">
        <v>100</v>
      </c>
      <c r="E8" s="307"/>
      <c r="F8" s="306">
        <f>SUMIF(49:49,E8,50:50)-SUMIF(49:49,C8,50:50)+100</f>
        <v>0</v>
      </c>
      <c r="G8" s="307"/>
      <c r="H8" s="304">
        <f>SUMIF(49:49,G8,50:50)-SUMIF(49:49,C8,50:50)+100</f>
        <v>0</v>
      </c>
      <c r="I8" s="307"/>
      <c r="J8" s="304">
        <f>SUMIF(49:49,I8,50:50)-SUMIF(49:49,C8,50:50)+100</f>
        <v>0</v>
      </c>
      <c r="K8" s="497"/>
      <c r="L8" s="3025"/>
      <c r="M8" s="3026"/>
      <c r="N8" s="3026"/>
      <c r="O8" s="3026"/>
      <c r="P8" s="4538" t="s">
        <v>2261</v>
      </c>
      <c r="Q8" s="4539"/>
      <c r="R8" s="627" t="s">
        <v>25</v>
      </c>
      <c r="S8" s="628">
        <f t="shared" si="0"/>
        <v>0</v>
      </c>
      <c r="T8" s="627" t="s">
        <v>25</v>
      </c>
      <c r="U8" s="628">
        <f t="shared" si="1"/>
        <v>0</v>
      </c>
      <c r="V8" s="627" t="s">
        <v>25</v>
      </c>
      <c r="W8" s="628">
        <f t="shared" si="2"/>
        <v>0</v>
      </c>
      <c r="X8" s="629"/>
      <c r="Y8" s="4538" t="s">
        <v>2261</v>
      </c>
      <c r="Z8" s="4539"/>
      <c r="AA8" s="630" t="e">
        <f t="shared" ref="AA8:AA34" si="3">D8/F8</f>
        <v>#DIV/0!</v>
      </c>
      <c r="AB8" s="630" t="e">
        <f t="shared" ref="AB8:AB34" si="4">D8/H8</f>
        <v>#DIV/0!</v>
      </c>
      <c r="AC8" s="630" t="e">
        <f t="shared" ref="AC8:AC34" si="5">D8/J8</f>
        <v>#DIV/0!</v>
      </c>
    </row>
    <row r="9" spans="1:29" s="25" customFormat="1">
      <c r="A9" s="308" t="s">
        <v>2262</v>
      </c>
      <c r="B9" s="24" t="s">
        <v>2263</v>
      </c>
      <c r="C9" s="309"/>
      <c r="D9" s="28">
        <v>100</v>
      </c>
      <c r="E9" s="311"/>
      <c r="F9" s="28">
        <f>SUMIF(51:51,E9,52:52)-SUMIF(51:51,C9,52:52)+100</f>
        <v>100</v>
      </c>
      <c r="G9" s="311"/>
      <c r="H9" s="28">
        <f>SUMIF(51:51,G9,52:52)-SUMIF(51:51,C9,52:52)+100</f>
        <v>100</v>
      </c>
      <c r="I9" s="311"/>
      <c r="J9" s="28">
        <f>SUMIF(51:51,I9,52:52)-SUMIF(51:51,C9,52:52)+100</f>
        <v>100</v>
      </c>
      <c r="K9" s="497"/>
      <c r="L9" s="3025"/>
      <c r="M9" s="3026"/>
      <c r="N9" s="3026"/>
      <c r="O9" s="3027"/>
      <c r="P9" s="4530" t="s">
        <v>2264</v>
      </c>
      <c r="Q9" s="1327" t="str">
        <f t="shared" ref="Q9:Q14" si="6">B9</f>
        <v>用途</v>
      </c>
      <c r="R9" s="627" t="s">
        <v>25</v>
      </c>
      <c r="S9" s="628">
        <f t="shared" si="0"/>
        <v>100</v>
      </c>
      <c r="T9" s="627" t="s">
        <v>25</v>
      </c>
      <c r="U9" s="628">
        <f t="shared" si="1"/>
        <v>100</v>
      </c>
      <c r="V9" s="627" t="s">
        <v>25</v>
      </c>
      <c r="W9" s="628">
        <f t="shared" si="2"/>
        <v>100</v>
      </c>
      <c r="X9" s="629"/>
      <c r="Y9" s="4549" t="s">
        <v>2265</v>
      </c>
      <c r="Z9" s="19" t="str">
        <f t="shared" ref="Z9:Z14" si="7">Q9</f>
        <v>用途</v>
      </c>
      <c r="AA9" s="630">
        <f t="shared" si="3"/>
        <v>1</v>
      </c>
      <c r="AB9" s="630">
        <f t="shared" si="4"/>
        <v>1</v>
      </c>
      <c r="AC9" s="630">
        <f t="shared" si="5"/>
        <v>1</v>
      </c>
    </row>
    <row r="10" spans="1:29" s="317" customFormat="1" ht="27">
      <c r="A10" s="312"/>
      <c r="B10" s="313" t="s">
        <v>2266</v>
      </c>
      <c r="C10" s="314"/>
      <c r="D10" s="29">
        <v>100</v>
      </c>
      <c r="E10" s="314"/>
      <c r="F10" s="29">
        <f>SUMIF(53:53,E10,54:54)-SUMIF(53:53,C10,54:54)+100</f>
        <v>100</v>
      </c>
      <c r="G10" s="315"/>
      <c r="H10" s="29">
        <f>SUMIF(53:53,G10,54:54)-SUMIF(53:53,C10,54:54)+100</f>
        <v>100</v>
      </c>
      <c r="I10" s="314"/>
      <c r="J10" s="29">
        <f>SUMIF(53:53,I10,54:54)-SUMIF(53:53,C10,54:54)+100</f>
        <v>100</v>
      </c>
      <c r="K10" s="498"/>
      <c r="L10" s="3028"/>
      <c r="M10" s="3029"/>
      <c r="N10" s="3029"/>
      <c r="O10" s="3030"/>
      <c r="P10" s="4530"/>
      <c r="Q10" s="1327" t="str">
        <f t="shared" si="6"/>
        <v>土地使用年限（年）</v>
      </c>
      <c r="R10" s="627" t="s">
        <v>25</v>
      </c>
      <c r="S10" s="628">
        <f t="shared" si="0"/>
        <v>100</v>
      </c>
      <c r="T10" s="627" t="s">
        <v>25</v>
      </c>
      <c r="U10" s="628">
        <f t="shared" si="1"/>
        <v>100</v>
      </c>
      <c r="V10" s="627" t="s">
        <v>25</v>
      </c>
      <c r="W10" s="628">
        <f t="shared" si="2"/>
        <v>100</v>
      </c>
      <c r="X10" s="629"/>
      <c r="Y10" s="4549"/>
      <c r="Z10" s="19" t="str">
        <f t="shared" si="7"/>
        <v>土地使用年限（年）</v>
      </c>
      <c r="AA10" s="630">
        <f t="shared" si="3"/>
        <v>1</v>
      </c>
      <c r="AB10" s="630">
        <f t="shared" si="4"/>
        <v>1</v>
      </c>
      <c r="AC10" s="630">
        <f t="shared" si="5"/>
        <v>1</v>
      </c>
    </row>
    <row r="11" spans="1:29" ht="15">
      <c r="A11" s="318"/>
      <c r="B11" s="1563">
        <v>111</v>
      </c>
      <c r="C11" s="322"/>
      <c r="D11" s="29">
        <v>100</v>
      </c>
      <c r="E11" s="357"/>
      <c r="F11" s="29">
        <f>SUMIF(55:55,E11,56:56)-SUMIF(55:55,C11,56:56)+100</f>
        <v>100</v>
      </c>
      <c r="G11" s="357"/>
      <c r="H11" s="29">
        <f>SUMIF(55:55,G11,56:56)-SUMIF(55:55,C11,56:56)+100</f>
        <v>100</v>
      </c>
      <c r="I11" s="357"/>
      <c r="J11" s="29">
        <f>SUMIF(55:55,I11,56:56)-SUMIF(55:55,C11,56:56)+100</f>
        <v>100</v>
      </c>
      <c r="K11" s="499"/>
      <c r="L11" s="3031"/>
      <c r="M11" s="3024"/>
      <c r="N11" s="3024"/>
      <c r="O11" s="3032"/>
      <c r="P11" s="4530"/>
      <c r="Q11" s="1327">
        <f t="shared" si="6"/>
        <v>111</v>
      </c>
      <c r="R11" s="627" t="s">
        <v>25</v>
      </c>
      <c r="S11" s="628">
        <f t="shared" si="0"/>
        <v>100</v>
      </c>
      <c r="T11" s="627" t="s">
        <v>25</v>
      </c>
      <c r="U11" s="628">
        <f t="shared" si="1"/>
        <v>100</v>
      </c>
      <c r="V11" s="627" t="s">
        <v>25</v>
      </c>
      <c r="W11" s="628">
        <f t="shared" si="2"/>
        <v>100</v>
      </c>
      <c r="X11" s="629"/>
      <c r="Y11" s="4549"/>
      <c r="Z11" s="19">
        <f t="shared" si="7"/>
        <v>111</v>
      </c>
      <c r="AA11" s="630">
        <f t="shared" si="3"/>
        <v>1</v>
      </c>
      <c r="AB11" s="630">
        <f t="shared" si="4"/>
        <v>1</v>
      </c>
      <c r="AC11" s="630">
        <f t="shared" si="5"/>
        <v>1</v>
      </c>
    </row>
    <row r="12" spans="1:29" s="25" customFormat="1" ht="15">
      <c r="A12" s="321"/>
      <c r="B12" s="1563">
        <v>111</v>
      </c>
      <c r="C12" s="322"/>
      <c r="D12" s="323">
        <v>100</v>
      </c>
      <c r="E12" s="357"/>
      <c r="F12" s="29">
        <f>SUMIF(57:57,E12,58:58)-SUMIF(57:57,C12,58:58)+100</f>
        <v>100</v>
      </c>
      <c r="G12" s="357"/>
      <c r="H12" s="29">
        <f>SUMIF(57:57,G12,58:58)-SUMIF(57:57,C12,58:58)+100</f>
        <v>100</v>
      </c>
      <c r="I12" s="357"/>
      <c r="J12" s="29">
        <f>SUMIF(57:57,I12,58:58)-SUMIF(57:57,C12,58:58)+100</f>
        <v>100</v>
      </c>
      <c r="K12" s="499"/>
      <c r="L12" s="3025"/>
      <c r="M12" s="3026"/>
      <c r="N12" s="3026"/>
      <c r="O12" s="3027"/>
      <c r="P12" s="4530"/>
      <c r="Q12" s="1327">
        <f t="shared" si="6"/>
        <v>111</v>
      </c>
      <c r="R12" s="627" t="s">
        <v>25</v>
      </c>
      <c r="S12" s="628">
        <f t="shared" si="0"/>
        <v>100</v>
      </c>
      <c r="T12" s="627" t="s">
        <v>25</v>
      </c>
      <c r="U12" s="628">
        <f t="shared" si="1"/>
        <v>100</v>
      </c>
      <c r="V12" s="627" t="s">
        <v>25</v>
      </c>
      <c r="W12" s="628">
        <f t="shared" si="2"/>
        <v>100</v>
      </c>
      <c r="X12" s="629"/>
      <c r="Y12" s="4549"/>
      <c r="Z12" s="19">
        <f t="shared" si="7"/>
        <v>111</v>
      </c>
      <c r="AA12" s="630">
        <f>D12/F12</f>
        <v>1</v>
      </c>
      <c r="AB12" s="630">
        <f>D12/H12</f>
        <v>1</v>
      </c>
      <c r="AC12" s="630">
        <f>D12/J12</f>
        <v>1</v>
      </c>
    </row>
    <row r="13" spans="1:29" ht="15.75" thickBot="1">
      <c r="A13" s="318"/>
      <c r="B13" s="1563">
        <v>111</v>
      </c>
      <c r="C13" s="324"/>
      <c r="D13" s="325">
        <v>100</v>
      </c>
      <c r="E13" s="357"/>
      <c r="F13" s="29">
        <f>SUMIF(59:59,E13,60:60)-SUMIF(59:59,C13,60:60)+100</f>
        <v>100</v>
      </c>
      <c r="G13" s="357"/>
      <c r="H13" s="325">
        <f>SUMIF(59:59,G13,60:60)-SUMIF(59:59,C13,60:60)+100</f>
        <v>100</v>
      </c>
      <c r="I13" s="357"/>
      <c r="J13" s="325">
        <f>SUMIF(59:59,I13,60:60)-SUMIF(59:59,C13,60:60)+100</f>
        <v>100</v>
      </c>
      <c r="K13" s="499"/>
      <c r="L13" s="3033"/>
      <c r="M13" s="3024"/>
      <c r="N13" s="3024"/>
      <c r="O13" s="3032"/>
      <c r="P13" s="4530"/>
      <c r="Q13" s="1327">
        <f t="shared" si="6"/>
        <v>111</v>
      </c>
      <c r="R13" s="627" t="s">
        <v>25</v>
      </c>
      <c r="S13" s="628">
        <f t="shared" si="0"/>
        <v>100</v>
      </c>
      <c r="T13" s="627" t="s">
        <v>25</v>
      </c>
      <c r="U13" s="628">
        <f t="shared" si="1"/>
        <v>100</v>
      </c>
      <c r="V13" s="627" t="s">
        <v>25</v>
      </c>
      <c r="W13" s="628">
        <f t="shared" si="2"/>
        <v>100</v>
      </c>
      <c r="X13" s="629"/>
      <c r="Y13" s="4549"/>
      <c r="Z13" s="19">
        <f t="shared" si="7"/>
        <v>111</v>
      </c>
      <c r="AA13" s="630">
        <f t="shared" si="3"/>
        <v>1</v>
      </c>
      <c r="AB13" s="630">
        <f t="shared" si="4"/>
        <v>1</v>
      </c>
      <c r="AC13" s="630">
        <f t="shared" si="5"/>
        <v>1</v>
      </c>
    </row>
    <row r="14" spans="1:29" ht="213.75">
      <c r="A14" s="329" t="s">
        <v>2268</v>
      </c>
      <c r="B14" s="22" t="s">
        <v>2406</v>
      </c>
      <c r="C14" s="1581" t="str">
        <f>IF(B1="工业",估价对象房地状况!G4,估价对象房地状况!C6)</f>
        <v>估价对象临近高速路-京新高速，紧邻城市主干道-信息路，距离清河火车站、地铁昌平线、13号线清河站约900米，周边有320路、365路、446路、447路、495路等公交线路通达，停车便捷程度较好，综合评价交通便捷度好。</v>
      </c>
      <c r="D14" s="330">
        <v>100</v>
      </c>
      <c r="E14" s="331"/>
      <c r="F14" s="332">
        <f>SUMIF(61:61,E15,62:62)-SUMIF(61:61,C15,62:62)+100</f>
        <v>100</v>
      </c>
      <c r="G14" s="333"/>
      <c r="H14" s="330">
        <f>SUMIF(61:61,G15,62:62)-SUMIF(61:61,C15,62:62)+100</f>
        <v>100</v>
      </c>
      <c r="I14" s="331"/>
      <c r="J14" s="330">
        <f>SUMIF(61:61,I15,62:62)-SUMIF(61:61,C15,62:62)+100</f>
        <v>100</v>
      </c>
      <c r="K14" s="500"/>
      <c r="L14" s="3033"/>
      <c r="M14" s="3024"/>
      <c r="N14" s="3024"/>
      <c r="O14" s="3032"/>
      <c r="P14" s="4547" t="s">
        <v>2269</v>
      </c>
      <c r="Q14" s="1334" t="str">
        <f t="shared" si="6"/>
        <v>交通便捷度</v>
      </c>
      <c r="R14" s="631" t="s">
        <v>25</v>
      </c>
      <c r="S14" s="632">
        <f t="shared" si="0"/>
        <v>100</v>
      </c>
      <c r="T14" s="631" t="s">
        <v>25</v>
      </c>
      <c r="U14" s="632">
        <f t="shared" si="1"/>
        <v>100</v>
      </c>
      <c r="V14" s="631" t="s">
        <v>25</v>
      </c>
      <c r="W14" s="632">
        <f t="shared" si="2"/>
        <v>100</v>
      </c>
      <c r="X14" s="1335"/>
      <c r="Y14" s="4547" t="s">
        <v>2269</v>
      </c>
      <c r="Z14" s="1336" t="str">
        <f t="shared" si="7"/>
        <v>交通便捷度</v>
      </c>
      <c r="AA14" s="1337">
        <f t="shared" si="3"/>
        <v>1</v>
      </c>
      <c r="AB14" s="1337">
        <f t="shared" si="4"/>
        <v>1</v>
      </c>
      <c r="AC14" s="1337">
        <f t="shared" si="5"/>
        <v>1</v>
      </c>
    </row>
    <row r="15" spans="1:29" ht="15">
      <c r="A15" s="318"/>
      <c r="B15" s="334"/>
      <c r="C15" s="335"/>
      <c r="D15" s="336"/>
      <c r="E15" s="335"/>
      <c r="F15" s="338"/>
      <c r="G15" s="335"/>
      <c r="H15" s="339"/>
      <c r="I15" s="335"/>
      <c r="J15" s="336"/>
      <c r="K15" s="501"/>
      <c r="L15" s="3033"/>
      <c r="M15" s="3024"/>
      <c r="N15" s="3024"/>
      <c r="O15" s="3032"/>
      <c r="P15" s="4548"/>
      <c r="Q15" s="1334"/>
      <c r="R15" s="631"/>
      <c r="S15" s="632"/>
      <c r="T15" s="631"/>
      <c r="U15" s="632"/>
      <c r="V15" s="631"/>
      <c r="W15" s="632"/>
      <c r="X15" s="1335"/>
      <c r="Y15" s="4548"/>
      <c r="Z15" s="1336"/>
      <c r="AA15" s="1337">
        <v>1</v>
      </c>
      <c r="AB15" s="1337">
        <v>1</v>
      </c>
      <c r="AC15" s="1337">
        <v>1</v>
      </c>
    </row>
    <row r="16" spans="1:29" ht="409.5">
      <c r="A16" s="318"/>
      <c r="B16" s="513" t="s">
        <v>2384</v>
      </c>
      <c r="C16" s="1567" t="str">
        <f>IF(B1="工业",估价对象房地状况!G5,估价对象房地状况!C7)</f>
        <v>银行：农村商业银行、北京银行（上地支行）、中国工商银行（北京中关村支行）、中国银行（北京上地信息路支行）等金融场所；
商业设施：北京华联上地购物中心、数字山谷下沉商业广场等商业设施；
教育机构：北京八维研修学院、北京市上地实验学校、中关村第一小学（西二旗分校）、北京市海淀区第二实验小学（当代校区）、美和园幼儿园（智学苑分园）等教育机构；
医疗机构：北京市上地医院、北京市海淀区清河街道西二旗社区卫生服务站等医疗机构；
估价对象所在区域公共配套设施齐备情况较好。</v>
      </c>
      <c r="D16" s="339">
        <v>100</v>
      </c>
      <c r="E16" s="341"/>
      <c r="F16" s="342">
        <f>SUMIF(63:63,E17,64:64)-SUMIF(63:63,C17,64:64)+100</f>
        <v>100</v>
      </c>
      <c r="G16" s="343"/>
      <c r="H16" s="344">
        <f>SUMIF(63:63,G17,64:64)-SUMIF(63:63,C17,64:64)+100</f>
        <v>100</v>
      </c>
      <c r="I16" s="341"/>
      <c r="J16" s="344">
        <f>SUMIF(63:63,I17,64:64)-SUMIF(63:63,C17,64:64)+100</f>
        <v>100</v>
      </c>
      <c r="K16" s="500"/>
      <c r="L16" s="3033"/>
      <c r="M16" s="3024"/>
      <c r="N16" s="3024"/>
      <c r="O16" s="3032"/>
      <c r="P16" s="4548"/>
      <c r="Q16" s="1334" t="str">
        <f>B16</f>
        <v>公共配套设施</v>
      </c>
      <c r="R16" s="631" t="s">
        <v>25</v>
      </c>
      <c r="S16" s="632">
        <f>F16</f>
        <v>100</v>
      </c>
      <c r="T16" s="631" t="s">
        <v>25</v>
      </c>
      <c r="U16" s="632">
        <f>H16</f>
        <v>100</v>
      </c>
      <c r="V16" s="631" t="s">
        <v>25</v>
      </c>
      <c r="W16" s="632">
        <f>J16</f>
        <v>100</v>
      </c>
      <c r="X16" s="1335"/>
      <c r="Y16" s="4548"/>
      <c r="Z16" s="1336" t="str">
        <f>Q16</f>
        <v>公共配套设施</v>
      </c>
      <c r="AA16" s="1337">
        <f t="shared" si="3"/>
        <v>1</v>
      </c>
      <c r="AB16" s="1337">
        <f t="shared" si="4"/>
        <v>1</v>
      </c>
      <c r="AC16" s="1337">
        <f t="shared" si="5"/>
        <v>1</v>
      </c>
    </row>
    <row r="17" spans="1:29" ht="15">
      <c r="A17" s="318"/>
      <c r="B17" s="514"/>
      <c r="C17" s="346"/>
      <c r="D17" s="336"/>
      <c r="E17" s="335"/>
      <c r="F17" s="338"/>
      <c r="G17" s="335"/>
      <c r="H17" s="336"/>
      <c r="I17" s="335"/>
      <c r="J17" s="336"/>
      <c r="K17" s="501"/>
      <c r="L17" s="3033"/>
      <c r="M17" s="3024"/>
      <c r="N17" s="3024"/>
      <c r="O17" s="3032"/>
      <c r="P17" s="4548"/>
      <c r="Q17" s="1334"/>
      <c r="R17" s="631"/>
      <c r="S17" s="632"/>
      <c r="T17" s="631"/>
      <c r="U17" s="632"/>
      <c r="V17" s="631"/>
      <c r="W17" s="632"/>
      <c r="X17" s="1335"/>
      <c r="Y17" s="4548"/>
      <c r="Z17" s="1336"/>
      <c r="AA17" s="1337">
        <v>1</v>
      </c>
      <c r="AB17" s="1337">
        <v>1</v>
      </c>
      <c r="AC17" s="1337">
        <v>1</v>
      </c>
    </row>
    <row r="18" spans="1:29" ht="42.75">
      <c r="A18" s="318"/>
      <c r="B18" s="515" t="s">
        <v>2385</v>
      </c>
      <c r="C18" s="1567" t="str">
        <f>IF(B1="工业",估价对象房地状况!G6,估价对象房地状况!C8)</f>
        <v>估价对象所在区域基础设施水平-七通</v>
      </c>
      <c r="D18" s="339">
        <v>100</v>
      </c>
      <c r="E18" s="341"/>
      <c r="F18" s="342">
        <f>SUMIF(65:65,E19,66:66)-SUMIF(65:65,C19,66:66)+100</f>
        <v>100</v>
      </c>
      <c r="G18" s="343"/>
      <c r="H18" s="339">
        <f>SUMIF(65:65,G19,66:66)-SUMIF(65:65,C19,66:66)+100</f>
        <v>100</v>
      </c>
      <c r="I18" s="341"/>
      <c r="J18" s="339">
        <f>SUMIF(65:65,I19,66:66)-SUMIF(65:65,C19,66:66)+100</f>
        <v>100</v>
      </c>
      <c r="K18" s="500"/>
      <c r="L18" s="3033"/>
      <c r="M18" s="3024"/>
      <c r="N18" s="3024"/>
      <c r="O18" s="3032"/>
      <c r="P18" s="4548"/>
      <c r="Q18" s="1334" t="str">
        <f>B18</f>
        <v>基础设施水平</v>
      </c>
      <c r="R18" s="631" t="s">
        <v>25</v>
      </c>
      <c r="S18" s="632">
        <f>F18</f>
        <v>100</v>
      </c>
      <c r="T18" s="631" t="s">
        <v>25</v>
      </c>
      <c r="U18" s="632">
        <f>H18</f>
        <v>100</v>
      </c>
      <c r="V18" s="631" t="s">
        <v>25</v>
      </c>
      <c r="W18" s="632">
        <f>J18</f>
        <v>100</v>
      </c>
      <c r="X18" s="1335"/>
      <c r="Y18" s="4548"/>
      <c r="Z18" s="1336" t="str">
        <f>Q18</f>
        <v>基础设施水平</v>
      </c>
      <c r="AA18" s="1337">
        <f t="shared" ref="AA18" si="8">D18/F18</f>
        <v>1</v>
      </c>
      <c r="AB18" s="1337">
        <f t="shared" ref="AB18" si="9">D18/H18</f>
        <v>1</v>
      </c>
      <c r="AC18" s="1337">
        <f t="shared" ref="AC18" si="10">D18/J18</f>
        <v>1</v>
      </c>
    </row>
    <row r="19" spans="1:29" ht="15">
      <c r="A19" s="318"/>
      <c r="B19" s="515"/>
      <c r="C19" s="346"/>
      <c r="D19" s="336"/>
      <c r="E19" s="346"/>
      <c r="F19" s="342"/>
      <c r="G19" s="346"/>
      <c r="H19" s="336"/>
      <c r="I19" s="335"/>
      <c r="J19" s="336"/>
      <c r="K19" s="1132"/>
      <c r="L19" s="3033"/>
      <c r="M19" s="3024"/>
      <c r="N19" s="3024"/>
      <c r="O19" s="3032"/>
      <c r="P19" s="4548"/>
      <c r="Q19" s="1334"/>
      <c r="R19" s="631"/>
      <c r="S19" s="632"/>
      <c r="T19" s="631"/>
      <c r="U19" s="632"/>
      <c r="V19" s="631"/>
      <c r="W19" s="632"/>
      <c r="X19" s="1335"/>
      <c r="Y19" s="4548"/>
      <c r="Z19" s="1336"/>
      <c r="AA19" s="1337">
        <v>1</v>
      </c>
      <c r="AB19" s="1337">
        <v>1</v>
      </c>
      <c r="AC19" s="1337">
        <v>1</v>
      </c>
    </row>
    <row r="20" spans="1:29" ht="114">
      <c r="A20" s="318"/>
      <c r="B20" s="340" t="s">
        <v>2407</v>
      </c>
      <c r="C20" s="1567" t="str">
        <f>IF(B1="工业",估价对象房地状况!G7,估价对象房地状况!C9)</f>
        <v>区域自然环境：上地公园、快乐成长家庭人口文化园等；人文环境；周边人文设施较少；
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33"/>
      <c r="M20" s="3024"/>
      <c r="N20" s="3024"/>
      <c r="O20" s="3032"/>
      <c r="P20" s="4548"/>
      <c r="Q20" s="1334" t="str">
        <f>B20</f>
        <v>自然及人文环境</v>
      </c>
      <c r="R20" s="631" t="s">
        <v>25</v>
      </c>
      <c r="S20" s="632">
        <f>F20</f>
        <v>100</v>
      </c>
      <c r="T20" s="631" t="s">
        <v>25</v>
      </c>
      <c r="U20" s="632">
        <f>H20</f>
        <v>100</v>
      </c>
      <c r="V20" s="631" t="s">
        <v>25</v>
      </c>
      <c r="W20" s="632">
        <f>J20</f>
        <v>100</v>
      </c>
      <c r="X20" s="1335"/>
      <c r="Y20" s="4548"/>
      <c r="Z20" s="1336" t="str">
        <f>Q20</f>
        <v>自然及人文环境</v>
      </c>
      <c r="AA20" s="1337">
        <f t="shared" si="3"/>
        <v>1</v>
      </c>
      <c r="AB20" s="1337">
        <f t="shared" si="4"/>
        <v>1</v>
      </c>
      <c r="AC20" s="1337">
        <f t="shared" si="5"/>
        <v>1</v>
      </c>
    </row>
    <row r="21" spans="1:29" ht="15">
      <c r="A21" s="318"/>
      <c r="B21" s="345"/>
      <c r="C21" s="335"/>
      <c r="D21" s="336"/>
      <c r="E21" s="335"/>
      <c r="F21" s="338"/>
      <c r="G21" s="335"/>
      <c r="H21" s="336"/>
      <c r="I21" s="335"/>
      <c r="J21" s="336"/>
      <c r="K21" s="501"/>
      <c r="L21" s="3033"/>
      <c r="M21" s="3024"/>
      <c r="N21" s="3024"/>
      <c r="O21" s="3032"/>
      <c r="P21" s="4548"/>
      <c r="Q21" s="1334"/>
      <c r="R21" s="631"/>
      <c r="S21" s="632"/>
      <c r="T21" s="631"/>
      <c r="U21" s="632"/>
      <c r="V21" s="631"/>
      <c r="W21" s="632"/>
      <c r="X21" s="1335"/>
      <c r="Y21" s="4548"/>
      <c r="Z21" s="1336"/>
      <c r="AA21" s="1337">
        <v>1</v>
      </c>
      <c r="AB21" s="1337">
        <v>1</v>
      </c>
      <c r="AC21" s="1337">
        <v>1</v>
      </c>
    </row>
    <row r="22" spans="1:29" ht="15">
      <c r="A22" s="318"/>
      <c r="B22" s="340" t="s">
        <v>2408</v>
      </c>
      <c r="C22" s="502"/>
      <c r="D22" s="339">
        <v>100</v>
      </c>
      <c r="E22" s="502"/>
      <c r="F22" s="351">
        <f>SUMIF(69:69,E22,70:70)-SUMIF(69:69,C22,70:70)+100</f>
        <v>100</v>
      </c>
      <c r="G22" s="502"/>
      <c r="H22" s="325">
        <f>SUMIF(69:69,G22,70:70)-SUMIF(69:69,C22,70:70)+100</f>
        <v>100</v>
      </c>
      <c r="I22" s="502"/>
      <c r="J22" s="325">
        <f>SUMIF(69:69,I22,70:70)-SUMIF(69:69,C22,70:70)+100</f>
        <v>100</v>
      </c>
      <c r="K22" s="498"/>
      <c r="L22" s="3033"/>
      <c r="M22" s="3024"/>
      <c r="N22" s="3024"/>
      <c r="O22" s="3032"/>
      <c r="P22" s="4548"/>
      <c r="Q22" s="1334" t="str">
        <f>B22</f>
        <v>楼层</v>
      </c>
      <c r="R22" s="631" t="s">
        <v>25</v>
      </c>
      <c r="S22" s="632">
        <f>F22</f>
        <v>100</v>
      </c>
      <c r="T22" s="631" t="s">
        <v>25</v>
      </c>
      <c r="U22" s="632">
        <f>H22</f>
        <v>100</v>
      </c>
      <c r="V22" s="631" t="s">
        <v>25</v>
      </c>
      <c r="W22" s="632">
        <f>J22</f>
        <v>100</v>
      </c>
      <c r="X22" s="1335"/>
      <c r="Y22" s="4548"/>
      <c r="Z22" s="1336" t="str">
        <f>Q22</f>
        <v>楼层</v>
      </c>
      <c r="AA22" s="1337">
        <f t="shared" si="3"/>
        <v>1</v>
      </c>
      <c r="AB22" s="1337">
        <f t="shared" si="4"/>
        <v>1</v>
      </c>
      <c r="AC22" s="1337">
        <f t="shared" si="5"/>
        <v>1</v>
      </c>
    </row>
    <row r="23" spans="1:29" ht="15">
      <c r="A23" s="297"/>
      <c r="B23" s="1563">
        <v>111</v>
      </c>
      <c r="C23" s="322"/>
      <c r="D23" s="325">
        <v>100</v>
      </c>
      <c r="E23" s="324"/>
      <c r="F23" s="351">
        <f>SUMIF(71:71,E23,72:72)-SUMIF(71:71,C23,72:72)+100</f>
        <v>100</v>
      </c>
      <c r="G23" s="324"/>
      <c r="H23" s="325">
        <f>SUMIF(71:71,G23,72:72)-SUMIF(71:71,C23,72:72)+100</f>
        <v>100</v>
      </c>
      <c r="I23" s="324"/>
      <c r="J23" s="325">
        <f>SUMIF(71:71,I23,72:72)-SUMIF(71:71,C23,72:72)+100</f>
        <v>100</v>
      </c>
      <c r="K23" s="499"/>
      <c r="L23" s="3033"/>
      <c r="M23" s="3024"/>
      <c r="N23" s="3024"/>
      <c r="O23" s="3032"/>
      <c r="P23" s="4548"/>
      <c r="Q23" s="1334">
        <f>B23</f>
        <v>111</v>
      </c>
      <c r="R23" s="631" t="s">
        <v>25</v>
      </c>
      <c r="S23" s="632">
        <f>F23</f>
        <v>100</v>
      </c>
      <c r="T23" s="631" t="s">
        <v>25</v>
      </c>
      <c r="U23" s="632">
        <f>H23</f>
        <v>100</v>
      </c>
      <c r="V23" s="631" t="s">
        <v>25</v>
      </c>
      <c r="W23" s="632">
        <f>J23</f>
        <v>100</v>
      </c>
      <c r="X23" s="1335"/>
      <c r="Y23" s="4548"/>
      <c r="Z23" s="1336">
        <f>Q23</f>
        <v>111</v>
      </c>
      <c r="AA23" s="1337">
        <f t="shared" si="3"/>
        <v>1</v>
      </c>
      <c r="AB23" s="1337">
        <f t="shared" si="4"/>
        <v>1</v>
      </c>
      <c r="AC23" s="1337">
        <f t="shared" si="5"/>
        <v>1</v>
      </c>
    </row>
    <row r="24" spans="1:29" ht="15">
      <c r="A24" s="318"/>
      <c r="B24" s="1563">
        <v>111</v>
      </c>
      <c r="C24" s="322"/>
      <c r="D24" s="325">
        <v>100</v>
      </c>
      <c r="E24" s="324"/>
      <c r="F24" s="351">
        <f>SUMIF(73:73,E24,74:74)-SUMIF(73:73,C24,74:74)+100</f>
        <v>100</v>
      </c>
      <c r="G24" s="324"/>
      <c r="H24" s="325">
        <f>SUMIF(73:73,G24,74:74)-SUMIF(73:73,C24,74:74)+100</f>
        <v>100</v>
      </c>
      <c r="I24" s="324"/>
      <c r="J24" s="325">
        <f>SUMIF(73:73,I24,74:74)-SUMIF(73:73,C24,74:74)+100</f>
        <v>100</v>
      </c>
      <c r="K24" s="499"/>
      <c r="L24" s="3033"/>
      <c r="M24" s="3024"/>
      <c r="N24" s="3024"/>
      <c r="O24" s="3032"/>
      <c r="P24" s="4548"/>
      <c r="Q24" s="1334">
        <f t="shared" ref="Q24:Q34" si="11">B24</f>
        <v>111</v>
      </c>
      <c r="R24" s="631" t="s">
        <v>25</v>
      </c>
      <c r="S24" s="632">
        <f>F24</f>
        <v>100</v>
      </c>
      <c r="T24" s="631" t="s">
        <v>25</v>
      </c>
      <c r="U24" s="632">
        <f>H24</f>
        <v>100</v>
      </c>
      <c r="V24" s="631" t="s">
        <v>25</v>
      </c>
      <c r="W24" s="632">
        <f>J24</f>
        <v>100</v>
      </c>
      <c r="X24" s="1335"/>
      <c r="Y24" s="4548"/>
      <c r="Z24" s="1336">
        <f>Q24</f>
        <v>111</v>
      </c>
      <c r="AA24" s="1337">
        <f t="shared" si="3"/>
        <v>1</v>
      </c>
      <c r="AB24" s="1337">
        <f t="shared" si="4"/>
        <v>1</v>
      </c>
      <c r="AC24" s="1337">
        <f t="shared" si="5"/>
        <v>1</v>
      </c>
    </row>
    <row r="25" spans="1:29" s="25" customFormat="1" ht="15.75" thickBot="1">
      <c r="A25" s="321"/>
      <c r="B25" s="1563">
        <v>111</v>
      </c>
      <c r="C25" s="1583"/>
      <c r="D25" s="546">
        <v>100</v>
      </c>
      <c r="E25" s="1583"/>
      <c r="F25" s="547">
        <f>SUMIF(75:75,E25,76:76)-SUMIF(75:75,C25,76:76)+100</f>
        <v>100</v>
      </c>
      <c r="G25" s="1583"/>
      <c r="H25" s="546">
        <f>SUMIF(75:75,G25,76:76)-SUMIF(75:75,C25,76:76)+100</f>
        <v>100</v>
      </c>
      <c r="I25" s="1583"/>
      <c r="J25" s="546">
        <f>SUMIF(75:75,I25,76:76)-SUMIF(75:75,C25,76:76)+100</f>
        <v>100</v>
      </c>
      <c r="K25" s="499"/>
      <c r="L25" s="3025"/>
      <c r="M25" s="3026"/>
      <c r="N25" s="3026"/>
      <c r="O25" s="3027"/>
      <c r="P25" s="4548"/>
      <c r="Q25" s="1327">
        <f t="shared" si="11"/>
        <v>111</v>
      </c>
      <c r="R25" s="627" t="s">
        <v>25</v>
      </c>
      <c r="S25" s="628">
        <f>F25</f>
        <v>100</v>
      </c>
      <c r="T25" s="627" t="s">
        <v>25</v>
      </c>
      <c r="U25" s="628">
        <f>H25</f>
        <v>100</v>
      </c>
      <c r="V25" s="627" t="s">
        <v>25</v>
      </c>
      <c r="W25" s="628">
        <f>J25</f>
        <v>100</v>
      </c>
      <c r="X25" s="629"/>
      <c r="Y25" s="4548"/>
      <c r="Z25" s="19">
        <f>Q25</f>
        <v>111</v>
      </c>
      <c r="AA25" s="1337">
        <f>D25/F25</f>
        <v>1</v>
      </c>
      <c r="AB25" s="1337">
        <f>D25/H25</f>
        <v>1</v>
      </c>
      <c r="AC25" s="1337">
        <f>D25/J25</f>
        <v>1</v>
      </c>
    </row>
    <row r="26" spans="1:29" ht="15">
      <c r="A26" s="354" t="s">
        <v>2273</v>
      </c>
      <c r="B26" s="24" t="s">
        <v>2411</v>
      </c>
      <c r="C26" s="1577"/>
      <c r="D26" s="355">
        <v>100</v>
      </c>
      <c r="E26" s="1577"/>
      <c r="F26" s="548">
        <f>SUMIF(77:77,E26,78:78)-SUMIF(77:77,C26,78:78)+100</f>
        <v>100</v>
      </c>
      <c r="G26" s="1577"/>
      <c r="H26" s="355">
        <f>SUMIF(77:77,G26,78:78)-SUMIF(77:77,C26,78:78)+100</f>
        <v>100</v>
      </c>
      <c r="I26" s="1577"/>
      <c r="J26" s="355">
        <f>SUMIF(77:77,I26,78:78)-SUMIF(77:77,C26,78:78)+100</f>
        <v>100</v>
      </c>
      <c r="K26" s="498"/>
      <c r="L26" s="3033"/>
      <c r="M26" s="3024"/>
      <c r="N26" s="3024"/>
      <c r="O26" s="3032"/>
      <c r="P26" s="4535" t="s">
        <v>2275</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4536" t="s">
        <v>2275</v>
      </c>
      <c r="Z26" s="1336" t="str">
        <f t="shared" ref="Z26:Z34" si="15">Q26</f>
        <v>公共部分装修</v>
      </c>
      <c r="AA26" s="1337">
        <f t="shared" si="3"/>
        <v>1</v>
      </c>
      <c r="AB26" s="1337">
        <f t="shared" si="4"/>
        <v>1</v>
      </c>
      <c r="AC26" s="1337">
        <f t="shared" si="5"/>
        <v>1</v>
      </c>
    </row>
    <row r="27" spans="1:29" s="359" customFormat="1" ht="15">
      <c r="A27" s="356"/>
      <c r="B27" s="313" t="s">
        <v>2412</v>
      </c>
      <c r="C27" s="362"/>
      <c r="D27" s="29">
        <v>100</v>
      </c>
      <c r="E27" s="363"/>
      <c r="F27" s="351" t="e">
        <f>LOOKUP(E27,80:80,81:81)-LOOKUP(C27,80:80,81:81)+100</f>
        <v>#N/A</v>
      </c>
      <c r="G27" s="364"/>
      <c r="H27" s="325" t="e">
        <f>LOOKUP(G27,80:80,81:81)-LOOKUP(C27,80:80,81:81)+100</f>
        <v>#N/A</v>
      </c>
      <c r="I27" s="364"/>
      <c r="J27" s="325" t="e">
        <f>LOOKUP(I27,80:80,81:81)-LOOKUP(C27,80:80,81:81)+100</f>
        <v>#N/A</v>
      </c>
      <c r="K27" s="498"/>
      <c r="L27" s="3031"/>
      <c r="M27" s="358"/>
      <c r="N27" s="358"/>
      <c r="O27" s="3034"/>
      <c r="P27" s="4536"/>
      <c r="Q27" s="633" t="str">
        <f t="shared" si="11"/>
        <v>成新率</v>
      </c>
      <c r="R27" s="634" t="s">
        <v>25</v>
      </c>
      <c r="S27" s="635" t="e">
        <f t="shared" si="12"/>
        <v>#N/A</v>
      </c>
      <c r="T27" s="634" t="s">
        <v>25</v>
      </c>
      <c r="U27" s="635" t="e">
        <f t="shared" si="13"/>
        <v>#N/A</v>
      </c>
      <c r="V27" s="634" t="s">
        <v>25</v>
      </c>
      <c r="W27" s="635" t="e">
        <f t="shared" si="14"/>
        <v>#N/A</v>
      </c>
      <c r="X27" s="636"/>
      <c r="Y27" s="4536"/>
      <c r="Z27" s="637" t="str">
        <f t="shared" si="15"/>
        <v>成新率</v>
      </c>
      <c r="AA27" s="1337" t="e">
        <f t="shared" si="3"/>
        <v>#N/A</v>
      </c>
      <c r="AB27" s="1337" t="e">
        <f t="shared" si="4"/>
        <v>#N/A</v>
      </c>
      <c r="AC27" s="1337" t="e">
        <f t="shared" si="5"/>
        <v>#N/A</v>
      </c>
    </row>
    <row r="28" spans="1:29" ht="15">
      <c r="A28" s="360"/>
      <c r="B28" s="313" t="s">
        <v>2413</v>
      </c>
      <c r="C28" s="350"/>
      <c r="D28" s="325">
        <v>100</v>
      </c>
      <c r="E28" s="350"/>
      <c r="F28" s="351">
        <f>SUMIF(82:82,E28,83:83)-SUMIF(82:82,C28,83:83)+100</f>
        <v>100</v>
      </c>
      <c r="G28" s="350"/>
      <c r="H28" s="325">
        <f>SUMIF(82:82,G28,83:83)-SUMIF(82:82,C28,83:83)+100</f>
        <v>100</v>
      </c>
      <c r="I28" s="350"/>
      <c r="J28" s="325">
        <f>SUMIF(82:82,I28,83:83)-SUMIF(82:82,C28,83:83)+100</f>
        <v>100</v>
      </c>
      <c r="K28" s="498"/>
      <c r="L28" s="3033"/>
      <c r="M28" s="3024"/>
      <c r="N28" s="3024"/>
      <c r="O28" s="3032"/>
      <c r="P28" s="4536"/>
      <c r="Q28" s="1334" t="str">
        <f t="shared" si="11"/>
        <v>物业等级</v>
      </c>
      <c r="R28" s="631" t="s">
        <v>25</v>
      </c>
      <c r="S28" s="632">
        <f t="shared" si="12"/>
        <v>100</v>
      </c>
      <c r="T28" s="631" t="s">
        <v>25</v>
      </c>
      <c r="U28" s="632">
        <f t="shared" si="13"/>
        <v>100</v>
      </c>
      <c r="V28" s="631" t="s">
        <v>25</v>
      </c>
      <c r="W28" s="632">
        <f t="shared" si="14"/>
        <v>100</v>
      </c>
      <c r="X28" s="1335"/>
      <c r="Y28" s="4536"/>
      <c r="Z28" s="1336" t="str">
        <f t="shared" si="15"/>
        <v>物业等级</v>
      </c>
      <c r="AA28" s="1337">
        <f t="shared" si="3"/>
        <v>1</v>
      </c>
      <c r="AB28" s="1337">
        <f t="shared" si="4"/>
        <v>1</v>
      </c>
      <c r="AC28" s="1337">
        <f t="shared" si="5"/>
        <v>1</v>
      </c>
    </row>
    <row r="29" spans="1:29" ht="15">
      <c r="A29" s="360"/>
      <c r="B29" s="313" t="s">
        <v>2434</v>
      </c>
      <c r="C29" s="538"/>
      <c r="D29" s="325">
        <v>100</v>
      </c>
      <c r="E29" s="538"/>
      <c r="F29" s="351">
        <f>SUMIF(84:84,E29,85:85)-SUMIF(84:84,C29,85:85)+100</f>
        <v>100</v>
      </c>
      <c r="G29" s="538"/>
      <c r="H29" s="325">
        <f>SUMIF(84:84,G29,85:85)-SUMIF(84:84,C29,85:85)+100</f>
        <v>100</v>
      </c>
      <c r="I29" s="538"/>
      <c r="J29" s="325">
        <f>SUMIF(84:84,I29,85:85)-SUMIF(84:84,C29,85:85)+100</f>
        <v>100</v>
      </c>
      <c r="K29" s="498"/>
      <c r="L29" s="3033"/>
      <c r="M29" s="3024"/>
      <c r="N29" s="3024"/>
      <c r="O29" s="3032"/>
      <c r="P29" s="4536"/>
      <c r="Q29" s="1334" t="str">
        <f t="shared" si="11"/>
        <v>有无电梯</v>
      </c>
      <c r="R29" s="631" t="s">
        <v>25</v>
      </c>
      <c r="S29" s="632">
        <f t="shared" si="12"/>
        <v>100</v>
      </c>
      <c r="T29" s="631" t="s">
        <v>25</v>
      </c>
      <c r="U29" s="632">
        <f t="shared" si="13"/>
        <v>100</v>
      </c>
      <c r="V29" s="631" t="s">
        <v>25</v>
      </c>
      <c r="W29" s="632">
        <f t="shared" si="14"/>
        <v>100</v>
      </c>
      <c r="X29" s="1335"/>
      <c r="Y29" s="4536"/>
      <c r="Z29" s="1336" t="str">
        <f t="shared" si="15"/>
        <v>有无电梯</v>
      </c>
      <c r="AA29" s="1337">
        <f t="shared" si="3"/>
        <v>1</v>
      </c>
      <c r="AB29" s="1337">
        <f t="shared" si="4"/>
        <v>1</v>
      </c>
      <c r="AC29" s="1337">
        <f t="shared" si="5"/>
        <v>1</v>
      </c>
    </row>
    <row r="30" spans="1:29" ht="15">
      <c r="A30" s="360"/>
      <c r="B30" s="313" t="s">
        <v>2435</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3"/>
      <c r="M30" s="3024"/>
      <c r="N30" s="3024"/>
      <c r="O30" s="3032"/>
      <c r="P30" s="4536"/>
      <c r="Q30" s="1334" t="str">
        <f t="shared" si="11"/>
        <v>建筑面积</v>
      </c>
      <c r="R30" s="631" t="s">
        <v>25</v>
      </c>
      <c r="S30" s="632" t="e">
        <f t="shared" si="12"/>
        <v>#N/A</v>
      </c>
      <c r="T30" s="631" t="s">
        <v>25</v>
      </c>
      <c r="U30" s="632" t="e">
        <f t="shared" si="13"/>
        <v>#N/A</v>
      </c>
      <c r="V30" s="631" t="s">
        <v>25</v>
      </c>
      <c r="W30" s="632" t="e">
        <f t="shared" si="14"/>
        <v>#N/A</v>
      </c>
      <c r="X30" s="1335"/>
      <c r="Y30" s="4536"/>
      <c r="Z30" s="1336" t="str">
        <f t="shared" si="15"/>
        <v>建筑面积</v>
      </c>
      <c r="AA30" s="1337" t="e">
        <f t="shared" si="3"/>
        <v>#N/A</v>
      </c>
      <c r="AB30" s="1337" t="e">
        <f t="shared" si="4"/>
        <v>#N/A</v>
      </c>
      <c r="AC30" s="1337" t="e">
        <f t="shared" si="5"/>
        <v>#N/A</v>
      </c>
    </row>
    <row r="31" spans="1:29" s="25" customFormat="1" ht="15">
      <c r="A31" s="361"/>
      <c r="B31" s="313" t="s">
        <v>2436</v>
      </c>
      <c r="C31" s="538"/>
      <c r="D31" s="29">
        <v>100</v>
      </c>
      <c r="E31" s="538"/>
      <c r="F31" s="351">
        <f>SUMIF(89:89,E31,90:90)-SUMIF(89:89,C31,90:90)+100</f>
        <v>100</v>
      </c>
      <c r="G31" s="538"/>
      <c r="H31" s="325">
        <f>SUMIF(89:89,G31,90:90)-SUMIF(89:89,C31,90:90)+100</f>
        <v>100</v>
      </c>
      <c r="I31" s="538"/>
      <c r="J31" s="325">
        <f>SUMIF(89:89,I31,90:90)-SUMIF(89:89,C31,90:90)+100</f>
        <v>100</v>
      </c>
      <c r="K31" s="498"/>
      <c r="L31" s="3025"/>
      <c r="M31" s="3026"/>
      <c r="N31" s="3026"/>
      <c r="O31" s="3027"/>
      <c r="P31" s="4536"/>
      <c r="Q31" s="1327" t="str">
        <f t="shared" si="11"/>
        <v>是否封闭</v>
      </c>
      <c r="R31" s="627" t="s">
        <v>25</v>
      </c>
      <c r="S31" s="628">
        <f t="shared" si="12"/>
        <v>100</v>
      </c>
      <c r="T31" s="627" t="s">
        <v>25</v>
      </c>
      <c r="U31" s="628">
        <f t="shared" si="13"/>
        <v>100</v>
      </c>
      <c r="V31" s="627" t="s">
        <v>25</v>
      </c>
      <c r="W31" s="628">
        <f t="shared" si="14"/>
        <v>100</v>
      </c>
      <c r="X31" s="629"/>
      <c r="Y31" s="4536"/>
      <c r="Z31" s="19" t="str">
        <f t="shared" si="15"/>
        <v>是否封闭</v>
      </c>
      <c r="AA31" s="630">
        <f t="shared" si="3"/>
        <v>1</v>
      </c>
      <c r="AB31" s="630">
        <f t="shared" si="4"/>
        <v>1</v>
      </c>
      <c r="AC31" s="630">
        <f t="shared" si="5"/>
        <v>1</v>
      </c>
    </row>
    <row r="32" spans="1:29" ht="15">
      <c r="A32" s="360"/>
      <c r="B32" s="1563">
        <v>111</v>
      </c>
      <c r="C32" s="322"/>
      <c r="D32" s="325">
        <v>100</v>
      </c>
      <c r="E32" s="357"/>
      <c r="F32" s="351">
        <f>SUMIF(91:91,E32,92:92)-SUMIF(91:91,C32,92:92)+100</f>
        <v>100</v>
      </c>
      <c r="G32" s="357"/>
      <c r="H32" s="325">
        <f>SUMIF(91:91,G32,92:92)-SUMIF(91:91,C32,92:92)+100</f>
        <v>100</v>
      </c>
      <c r="I32" s="357"/>
      <c r="J32" s="325">
        <f>SUMIF(91:91,I32,92:92)-SUMIF(91:91,C32,92:92)+100</f>
        <v>100</v>
      </c>
      <c r="K32" s="499"/>
      <c r="L32" s="3033"/>
      <c r="M32" s="3024"/>
      <c r="N32" s="3024"/>
      <c r="O32" s="3032"/>
      <c r="P32" s="4536" t="s">
        <v>2275</v>
      </c>
      <c r="Q32" s="1334">
        <f t="shared" si="11"/>
        <v>111</v>
      </c>
      <c r="R32" s="631" t="s">
        <v>25</v>
      </c>
      <c r="S32" s="632">
        <f t="shared" si="12"/>
        <v>100</v>
      </c>
      <c r="T32" s="631" t="s">
        <v>25</v>
      </c>
      <c r="U32" s="632">
        <f t="shared" si="13"/>
        <v>100</v>
      </c>
      <c r="V32" s="631" t="s">
        <v>25</v>
      </c>
      <c r="W32" s="632">
        <f t="shared" si="14"/>
        <v>100</v>
      </c>
      <c r="X32" s="1335"/>
      <c r="Y32" s="4536" t="s">
        <v>2275</v>
      </c>
      <c r="Z32" s="1336">
        <f t="shared" si="15"/>
        <v>111</v>
      </c>
      <c r="AA32" s="1337">
        <f t="shared" si="3"/>
        <v>1</v>
      </c>
      <c r="AB32" s="1337">
        <f t="shared" si="4"/>
        <v>1</v>
      </c>
      <c r="AC32" s="1337">
        <f t="shared" si="5"/>
        <v>1</v>
      </c>
    </row>
    <row r="33" spans="1:29" ht="15">
      <c r="A33" s="360"/>
      <c r="B33" s="1563">
        <v>111</v>
      </c>
      <c r="C33" s="322"/>
      <c r="D33" s="325">
        <v>100</v>
      </c>
      <c r="E33" s="357"/>
      <c r="F33" s="351">
        <f>SUMIF(93:93,E33,94:94)-SUMIF(93:93,C33,94:94)+100</f>
        <v>100</v>
      </c>
      <c r="G33" s="357"/>
      <c r="H33" s="325">
        <f>SUMIF(93:93,G33,94:94)-SUMIF(93:93,C33,94:94)+100</f>
        <v>100</v>
      </c>
      <c r="I33" s="357"/>
      <c r="J33" s="325">
        <f>SUMIF(93:93,I33,94:94)-SUMIF(93:93,C33,94:94)+100</f>
        <v>100</v>
      </c>
      <c r="K33" s="499"/>
      <c r="L33" s="3033"/>
      <c r="M33" s="3024"/>
      <c r="N33" s="3024"/>
      <c r="O33" s="3032"/>
      <c r="P33" s="4536"/>
      <c r="Q33" s="1334">
        <f t="shared" si="11"/>
        <v>111</v>
      </c>
      <c r="R33" s="631" t="s">
        <v>25</v>
      </c>
      <c r="S33" s="632">
        <f t="shared" si="12"/>
        <v>100</v>
      </c>
      <c r="T33" s="631" t="s">
        <v>25</v>
      </c>
      <c r="U33" s="632">
        <f t="shared" si="13"/>
        <v>100</v>
      </c>
      <c r="V33" s="631" t="s">
        <v>25</v>
      </c>
      <c r="W33" s="632">
        <f t="shared" si="14"/>
        <v>100</v>
      </c>
      <c r="X33" s="1335"/>
      <c r="Y33" s="4536"/>
      <c r="Z33" s="1336">
        <f t="shared" si="15"/>
        <v>111</v>
      </c>
      <c r="AA33" s="1337">
        <f t="shared" si="3"/>
        <v>1</v>
      </c>
      <c r="AB33" s="1337">
        <f t="shared" si="4"/>
        <v>1</v>
      </c>
      <c r="AC33" s="1337">
        <f t="shared" si="5"/>
        <v>1</v>
      </c>
    </row>
    <row r="34" spans="1:29" ht="15.75" thickBot="1">
      <c r="A34" s="366"/>
      <c r="B34" s="1564">
        <v>111</v>
      </c>
      <c r="C34" s="1565"/>
      <c r="D34" s="327">
        <v>100</v>
      </c>
      <c r="E34" s="1584"/>
      <c r="F34" s="328">
        <f>SUMIF(95:95,E34,96:96)-SUMIF(95:95,C34,96:96)+100</f>
        <v>100</v>
      </c>
      <c r="G34" s="1584"/>
      <c r="H34" s="327">
        <f>SUMIF(95:95,G34,96:96)-SUMIF(95:95,C34,96:96)+100</f>
        <v>100</v>
      </c>
      <c r="I34" s="1584"/>
      <c r="J34" s="327">
        <f>SUMIF(95:95,I34,96:96)-SUMIF(95:95,C34,96:96)+100</f>
        <v>100</v>
      </c>
      <c r="K34" s="499"/>
      <c r="L34" s="3033"/>
      <c r="M34" s="3024"/>
      <c r="N34" s="3024"/>
      <c r="O34" s="3032"/>
      <c r="P34" s="4536"/>
      <c r="Q34" s="1334">
        <f t="shared" si="11"/>
        <v>111</v>
      </c>
      <c r="R34" s="631" t="s">
        <v>25</v>
      </c>
      <c r="S34" s="632">
        <f t="shared" si="12"/>
        <v>100</v>
      </c>
      <c r="T34" s="631" t="s">
        <v>25</v>
      </c>
      <c r="U34" s="632">
        <f t="shared" si="13"/>
        <v>100</v>
      </c>
      <c r="V34" s="631" t="s">
        <v>25</v>
      </c>
      <c r="W34" s="632">
        <f t="shared" si="14"/>
        <v>100</v>
      </c>
      <c r="X34" s="1335"/>
      <c r="Y34" s="4536"/>
      <c r="Z34" s="1336">
        <f t="shared" si="15"/>
        <v>111</v>
      </c>
      <c r="AA34" s="1337">
        <f t="shared" si="3"/>
        <v>1</v>
      </c>
      <c r="AB34" s="1337">
        <f t="shared" si="4"/>
        <v>1</v>
      </c>
      <c r="AC34" s="1337">
        <f t="shared" si="5"/>
        <v>1</v>
      </c>
    </row>
    <row r="35" spans="1:29" ht="15">
      <c r="A35" s="367" t="s">
        <v>2287</v>
      </c>
      <c r="B35" s="368"/>
      <c r="C35" s="1153" t="s">
        <v>1</v>
      </c>
      <c r="D35" s="1154"/>
      <c r="E35" s="1155"/>
      <c r="F35" s="1156"/>
      <c r="G35" s="1157"/>
      <c r="H35" s="1158"/>
      <c r="I35" s="1155"/>
      <c r="J35" s="1158"/>
      <c r="K35" s="640"/>
      <c r="L35" s="3035"/>
      <c r="N35" s="3024"/>
      <c r="P35" s="4530" t="str">
        <f>A35</f>
        <v>成交单价（元/平方米）</v>
      </c>
      <c r="Q35" s="4530"/>
      <c r="R35" s="4531">
        <f>E35</f>
        <v>0</v>
      </c>
      <c r="S35" s="4531"/>
      <c r="T35" s="4531">
        <f>G35</f>
        <v>0</v>
      </c>
      <c r="U35" s="4531"/>
      <c r="V35" s="4531">
        <f>I35</f>
        <v>0</v>
      </c>
      <c r="W35" s="4531"/>
      <c r="X35" s="618"/>
      <c r="Y35" s="638"/>
      <c r="Z35" s="618"/>
      <c r="AA35" s="618"/>
      <c r="AB35" s="618"/>
      <c r="AC35" s="618"/>
    </row>
    <row r="36" spans="1:29" ht="15.75" thickBot="1">
      <c r="A36" s="374" t="s">
        <v>2370</v>
      </c>
      <c r="B36" s="375"/>
      <c r="C36" s="1159" t="e">
        <f>R37</f>
        <v>#DIV/0!</v>
      </c>
      <c r="D36" s="1796" t="s">
        <v>2738</v>
      </c>
      <c r="E36" s="1160" t="e">
        <f>R36</f>
        <v>#DIV/0!</v>
      </c>
      <c r="F36" s="1798"/>
      <c r="G36" s="1159" t="e">
        <f>T36</f>
        <v>#DIV/0!</v>
      </c>
      <c r="H36" s="1798"/>
      <c r="I36" s="1160" t="e">
        <f>V36</f>
        <v>#DIV/0!</v>
      </c>
      <c r="J36" s="1798"/>
      <c r="K36" s="2509">
        <f>F36+H36+J36</f>
        <v>0</v>
      </c>
      <c r="L36" s="3035"/>
      <c r="N36" s="3024"/>
      <c r="P36" s="4530" t="str">
        <f>A36</f>
        <v>比较价值（元/平方米）</v>
      </c>
      <c r="Q36" s="4530"/>
      <c r="R36" s="4531" t="e">
        <f>IF(E1="售价",ROUND(PRODUCT(R35,AA7:AA34),0),ROUND(PRODUCT(R35,AA7:AA34),1))</f>
        <v>#DIV/0!</v>
      </c>
      <c r="S36" s="4531"/>
      <c r="T36" s="4531" t="e">
        <f>IF(E1="售价",ROUND(PRODUCT(T35,AB7:AB34),0),ROUND(PRODUCT(T35,AB7:AB34),1))</f>
        <v>#DIV/0!</v>
      </c>
      <c r="U36" s="4531"/>
      <c r="V36" s="4531" t="e">
        <f>IF(E1="售价",ROUND(PRODUCT(V35,AC7:AC34),0),ROUND(PRODUCT(V35,AC7:AC34),1))</f>
        <v>#DIV/0!</v>
      </c>
      <c r="W36" s="4531"/>
      <c r="X36" s="618"/>
      <c r="Y36" s="618"/>
      <c r="Z36" s="618"/>
      <c r="AA36" s="618"/>
      <c r="AB36" s="618"/>
      <c r="AC36" s="618"/>
    </row>
    <row r="37" spans="1:29" ht="15.75" thickBot="1">
      <c r="A37" s="378" t="s">
        <v>2393</v>
      </c>
      <c r="B37" s="379"/>
      <c r="C37" s="1161" t="e">
        <f>R37</f>
        <v>#DIV/0!</v>
      </c>
      <c r="D37" s="1161"/>
      <c r="E37" s="1161"/>
      <c r="F37" s="1161"/>
      <c r="G37" s="1161"/>
      <c r="H37" s="1161"/>
      <c r="I37" s="1161"/>
      <c r="J37" s="1161"/>
      <c r="K37" s="641"/>
      <c r="L37" s="3035"/>
      <c r="P37" s="4532" t="str">
        <f>A37</f>
        <v>估价对象XX用房的比较价值（楼面单价，元/平方米）</v>
      </c>
      <c r="Q37" s="4533"/>
      <c r="R37" s="4534" t="e">
        <f>IF(E1="售价",ROUND(IF(D36="简单平均",AVERAGE(R36:W36),R36*F36+T36*H36+V36*J36),0),ROUND(IF(D36="简单平均",AVERAGE(R36:V36),R36*F36+T36*H36+V36*J36),1))</f>
        <v>#DIV/0!</v>
      </c>
      <c r="S37" s="4534"/>
      <c r="T37" s="4534"/>
      <c r="U37" s="4534"/>
      <c r="V37" s="4534"/>
      <c r="W37" s="4534"/>
      <c r="X37" s="618"/>
      <c r="Y37" s="618"/>
      <c r="Z37" s="618"/>
      <c r="AA37" s="618"/>
      <c r="AB37" s="618"/>
      <c r="AC37" s="618"/>
    </row>
    <row r="38" spans="1:29">
      <c r="G38" s="3038"/>
    </row>
    <row r="40" spans="1:29" ht="13.5" customHeight="1">
      <c r="C40" s="383" t="s">
        <v>2372</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2373</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2374</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39"/>
      <c r="L42" s="3036"/>
    </row>
    <row r="43" spans="1:29" s="388" customFormat="1">
      <c r="B43" s="3037"/>
      <c r="C43" s="3040"/>
      <c r="K43" s="3039"/>
      <c r="L43" s="3036"/>
    </row>
    <row r="44" spans="1:29">
      <c r="B44" s="3037"/>
      <c r="C44" s="3040"/>
    </row>
    <row r="45" spans="1:29" ht="21.75" thickBot="1">
      <c r="A45" s="620" t="s">
        <v>2375</v>
      </c>
      <c r="B45" s="618"/>
      <c r="C45" s="621"/>
      <c r="D45" s="621"/>
      <c r="E45" s="621"/>
      <c r="F45" s="622"/>
      <c r="G45" s="622"/>
      <c r="H45" s="621"/>
      <c r="I45" s="621"/>
      <c r="J45" s="621"/>
      <c r="K45" s="623"/>
      <c r="L45" s="624"/>
      <c r="M45" s="621"/>
      <c r="N45" s="3041"/>
      <c r="O45" s="3041"/>
      <c r="P45" s="389"/>
      <c r="Q45" s="390"/>
    </row>
    <row r="46" spans="1:29" s="394" customFormat="1" ht="15">
      <c r="A46" s="391" t="s">
        <v>2257</v>
      </c>
      <c r="B46" s="392"/>
      <c r="C46" s="1187" t="str">
        <f>YEAR(C7)&amp;"-"&amp;MONTH(C7)</f>
        <v>2016-2</v>
      </c>
      <c r="D46" s="1188">
        <f>EDATE(C46,-1)</f>
        <v>42370</v>
      </c>
      <c r="E46" s="1188">
        <f t="shared" ref="E46:O46" si="16">EDATE(D46,-1)</f>
        <v>42339</v>
      </c>
      <c r="F46" s="1188">
        <f t="shared" si="16"/>
        <v>42309</v>
      </c>
      <c r="G46" s="1188">
        <f t="shared" si="16"/>
        <v>42278</v>
      </c>
      <c r="H46" s="1188">
        <f t="shared" si="16"/>
        <v>42248</v>
      </c>
      <c r="I46" s="1188">
        <f t="shared" si="16"/>
        <v>42217</v>
      </c>
      <c r="J46" s="1188">
        <f t="shared" si="16"/>
        <v>42186</v>
      </c>
      <c r="K46" s="1188">
        <f t="shared" si="16"/>
        <v>42156</v>
      </c>
      <c r="L46" s="1188">
        <f t="shared" si="16"/>
        <v>42125</v>
      </c>
      <c r="M46" s="1188">
        <f t="shared" si="16"/>
        <v>42095</v>
      </c>
      <c r="N46" s="1188">
        <f t="shared" si="16"/>
        <v>42064</v>
      </c>
      <c r="O46" s="1188">
        <f t="shared" si="16"/>
        <v>42036</v>
      </c>
      <c r="P46" s="393"/>
    </row>
    <row r="47" spans="1:29" s="25" customFormat="1" ht="15">
      <c r="A47" s="395"/>
      <c r="B47" s="396"/>
      <c r="C47" s="1186">
        <v>100</v>
      </c>
      <c r="D47" s="397"/>
      <c r="E47" s="397"/>
      <c r="F47" s="397"/>
      <c r="G47" s="397"/>
      <c r="H47" s="397"/>
      <c r="I47" s="397"/>
      <c r="J47" s="397"/>
      <c r="K47" s="397"/>
      <c r="L47" s="397"/>
      <c r="M47" s="398"/>
      <c r="N47" s="397"/>
      <c r="O47" s="399"/>
      <c r="P47" s="390"/>
    </row>
    <row r="48" spans="1:29" s="25" customFormat="1" ht="15.75" thickBot="1">
      <c r="A48" s="400" t="s">
        <v>2295</v>
      </c>
      <c r="B48" s="401"/>
      <c r="C48" s="402"/>
      <c r="D48" s="403"/>
      <c r="E48" s="403"/>
      <c r="F48" s="403"/>
      <c r="G48" s="403"/>
      <c r="H48" s="403"/>
      <c r="I48" s="403"/>
      <c r="J48" s="403"/>
      <c r="K48" s="403"/>
      <c r="L48" s="403"/>
      <c r="M48" s="404"/>
      <c r="N48" s="403"/>
      <c r="O48" s="405"/>
      <c r="P48" s="390"/>
      <c r="Q48" s="390"/>
    </row>
    <row r="49" spans="1:17" s="25" customFormat="1" ht="15">
      <c r="A49" s="406" t="s">
        <v>2259</v>
      </c>
      <c r="B49" s="396"/>
      <c r="C49" s="407" t="s">
        <v>2260</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2298</v>
      </c>
      <c r="B51" s="413" t="s">
        <v>2263</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2266</v>
      </c>
      <c r="C53" s="426" t="s">
        <v>2299</v>
      </c>
      <c r="D53" s="426" t="s">
        <v>2300</v>
      </c>
      <c r="E53" s="426" t="s">
        <v>2301</v>
      </c>
      <c r="F53" s="426" t="s">
        <v>2302</v>
      </c>
      <c r="G53" s="426" t="s">
        <v>2303</v>
      </c>
      <c r="H53" s="426" t="s">
        <v>2304</v>
      </c>
      <c r="I53" s="426" t="s">
        <v>2305</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2268</v>
      </c>
      <c r="B61" s="413" t="s">
        <v>2312</v>
      </c>
      <c r="C61" s="461" t="s">
        <v>2307</v>
      </c>
      <c r="D61" s="461" t="s">
        <v>2308</v>
      </c>
      <c r="E61" s="461" t="s">
        <v>2309</v>
      </c>
      <c r="F61" s="461" t="s">
        <v>2310</v>
      </c>
      <c r="G61" s="461" t="s">
        <v>2311</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2313</v>
      </c>
      <c r="C63" s="466" t="s">
        <v>2307</v>
      </c>
      <c r="D63" s="466" t="s">
        <v>2308</v>
      </c>
      <c r="E63" s="466" t="s">
        <v>2309</v>
      </c>
      <c r="F63" s="466" t="s">
        <v>2310</v>
      </c>
      <c r="G63" s="466" t="s">
        <v>2311</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2385</v>
      </c>
      <c r="C65" s="426" t="s">
        <v>2314</v>
      </c>
      <c r="D65" s="426" t="s">
        <v>2315</v>
      </c>
      <c r="E65" s="426" t="s">
        <v>2316</v>
      </c>
      <c r="F65" s="426" t="s">
        <v>2317</v>
      </c>
      <c r="G65" s="426" t="s">
        <v>2318</v>
      </c>
      <c r="H65" s="426"/>
      <c r="I65" s="426"/>
      <c r="J65" s="426"/>
      <c r="K65" s="426"/>
      <c r="L65" s="426"/>
      <c r="M65" s="113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2319</v>
      </c>
      <c r="C67" s="466" t="s">
        <v>2307</v>
      </c>
      <c r="D67" s="466" t="s">
        <v>2308</v>
      </c>
      <c r="E67" s="466" t="s">
        <v>2309</v>
      </c>
      <c r="F67" s="466" t="s">
        <v>2310</v>
      </c>
      <c r="G67" s="466" t="s">
        <v>2311</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2426</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2273</v>
      </c>
      <c r="B77" s="413" t="s">
        <v>2326</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2429</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2430</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2437</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2438</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2439</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41" priority="18" stopIfTrue="1" operator="containsText" text="超过">
      <formula>NOT(ISERROR(SEARCH("超过",F40)))</formula>
    </cfRule>
  </conditionalFormatting>
  <conditionalFormatting sqref="J42">
    <cfRule type="containsText" dxfId="140" priority="17" stopIfTrue="1" operator="containsText" text="超过">
      <formula>NOT(ISERROR(SEARCH("超过",J42)))</formula>
    </cfRule>
  </conditionalFormatting>
  <conditionalFormatting sqref="H42">
    <cfRule type="containsText" dxfId="139" priority="16" stopIfTrue="1" operator="containsText" text="超过">
      <formula>NOT(ISERROR(SEARCH("超过",H42)))</formula>
    </cfRule>
  </conditionalFormatting>
  <conditionalFormatting sqref="F42">
    <cfRule type="containsText" dxfId="138" priority="15" stopIfTrue="1" operator="containsText" text="超过">
      <formula>NOT(ISERROR(SEARCH("超过",F42)))</formula>
    </cfRule>
  </conditionalFormatting>
  <conditionalFormatting sqref="F41 H41 J41">
    <cfRule type="containsText" dxfId="137" priority="14" stopIfTrue="1" operator="containsText" text="超过">
      <formula>NOT(ISERROR(SEARCH("超过",F41)))</formula>
    </cfRule>
  </conditionalFormatting>
  <conditionalFormatting sqref="E40">
    <cfRule type="expression" dxfId="136" priority="13" stopIfTrue="1">
      <formula>$F$40="超过30%"</formula>
    </cfRule>
  </conditionalFormatting>
  <conditionalFormatting sqref="G42">
    <cfRule type="expression" dxfId="135" priority="12" stopIfTrue="1">
      <formula>$H$54+$H$42="超过30%"</formula>
    </cfRule>
  </conditionalFormatting>
  <conditionalFormatting sqref="E41">
    <cfRule type="expression" dxfId="134" priority="11" stopIfTrue="1">
      <formula>$F$41="超过20%"</formula>
    </cfRule>
  </conditionalFormatting>
  <conditionalFormatting sqref="E42">
    <cfRule type="expression" dxfId="133" priority="10" stopIfTrue="1">
      <formula>$F$42="超过30%"</formula>
    </cfRule>
  </conditionalFormatting>
  <conditionalFormatting sqref="G40">
    <cfRule type="expression" dxfId="132" priority="9" stopIfTrue="1">
      <formula>$H$52+$H$40="超过30%"</formula>
    </cfRule>
  </conditionalFormatting>
  <conditionalFormatting sqref="G41">
    <cfRule type="expression" dxfId="131" priority="8" stopIfTrue="1">
      <formula>$H$53+$H$41="超过20%"</formula>
    </cfRule>
  </conditionalFormatting>
  <conditionalFormatting sqref="I40">
    <cfRule type="expression" dxfId="130" priority="7" stopIfTrue="1">
      <formula>$J$40="超过30%"</formula>
    </cfRule>
  </conditionalFormatting>
  <conditionalFormatting sqref="I41">
    <cfRule type="expression" dxfId="129" priority="6" stopIfTrue="1">
      <formula>$J$41="超过20%"</formula>
    </cfRule>
  </conditionalFormatting>
  <conditionalFormatting sqref="I42">
    <cfRule type="expression" dxfId="128" priority="5" stopIfTrue="1">
      <formula>$J$42="超过30%"</formula>
    </cfRule>
  </conditionalFormatting>
  <conditionalFormatting sqref="F36">
    <cfRule type="expression" dxfId="127" priority="4">
      <formula>$D$36="简单平均"</formula>
    </cfRule>
  </conditionalFormatting>
  <conditionalFormatting sqref="H36">
    <cfRule type="expression" dxfId="126" priority="3">
      <formula>$D$36="简单平均"</formula>
    </cfRule>
  </conditionalFormatting>
  <conditionalFormatting sqref="J36">
    <cfRule type="expression" dxfId="125" priority="2">
      <formula>$D$36="简单平均"</formula>
    </cfRule>
  </conditionalFormatting>
  <conditionalFormatting sqref="F7:F34 H7:H34 J7:J34">
    <cfRule type="cellIs" dxfId="124" priority="1" operator="notEqual">
      <formula>100</formula>
    </cfRule>
  </conditionalFormatting>
  <dataValidations count="18">
    <dataValidation type="list" allowBlank="1" showInputMessage="1" showErrorMessage="1" sqref="G15 E15 C15 I15" xr:uid="{00000000-0002-0000-1700-000000000000}">
      <formula1>交通便捷度</formula1>
    </dataValidation>
    <dataValidation type="list" allowBlank="1" showInputMessage="1" showErrorMessage="1" sqref="G17 C17 I17 E17" xr:uid="{00000000-0002-0000-1700-000001000000}">
      <formula1>公共配套设施</formula1>
    </dataValidation>
    <dataValidation type="list" allowBlank="1" showInputMessage="1" showErrorMessage="1" sqref="C10 E10 G10 I10" xr:uid="{00000000-0002-0000-1700-000002000000}">
      <formula1>土地年限区间</formula1>
    </dataValidation>
    <dataValidation type="list" allowBlank="1" showInputMessage="1" showErrorMessage="1" sqref="C8 E8 G8 I8" xr:uid="{00000000-0002-0000-1700-000003000000}">
      <formula1>仓储交易情况</formula1>
    </dataValidation>
    <dataValidation type="list" allowBlank="1" showInputMessage="1" showErrorMessage="1" sqref="E9 G9 I9" xr:uid="{00000000-0002-0000-1700-000004000000}">
      <formula1>仓储用途</formula1>
    </dataValidation>
    <dataValidation type="list" allowBlank="1" showInputMessage="1" showErrorMessage="1" sqref="C21 E21 G21 I21" xr:uid="{00000000-0002-0000-1700-000005000000}">
      <formula1>环境</formula1>
    </dataValidation>
    <dataValidation type="list" allowBlank="1" showInputMessage="1" showErrorMessage="1" sqref="C22 E22 G22 I22" xr:uid="{00000000-0002-0000-1700-000006000000}">
      <formula1>仓储楼层</formula1>
    </dataValidation>
    <dataValidation type="list" allowBlank="1" showInputMessage="1" showErrorMessage="1" sqref="C26 E26 G26 I26" xr:uid="{00000000-0002-0000-1700-000007000000}">
      <formula1>仓储公共部分装修</formula1>
    </dataValidation>
    <dataValidation type="list" allowBlank="1" showInputMessage="1" showErrorMessage="1" sqref="C29 E29 G29 I29" xr:uid="{00000000-0002-0000-1700-000008000000}">
      <formula1>有无电梯</formula1>
    </dataValidation>
    <dataValidation type="list" allowBlank="1" showInputMessage="1" showErrorMessage="1" sqref="C31 E31 G31 I31" xr:uid="{00000000-0002-0000-1700-000009000000}">
      <formula1>是否封闭</formula1>
    </dataValidation>
    <dataValidation type="list" allowBlank="1" showInputMessage="1" showErrorMessage="1" sqref="B1" xr:uid="{00000000-0002-0000-1700-00000A000000}">
      <formula1>地类判定</formula1>
    </dataValidation>
    <dataValidation type="list" allowBlank="1" showInputMessage="1" showErrorMessage="1" sqref="C28 E28 G28 I28" xr:uid="{00000000-0002-0000-1700-00000B000000}">
      <formula1>仓储物业等级</formula1>
    </dataValidation>
    <dataValidation type="list" allowBlank="1" showInputMessage="1" showErrorMessage="1" sqref="C1" xr:uid="{00000000-0002-0000-1700-00000C000000}">
      <formula1>"估价对象,仅计算典型户型"</formula1>
    </dataValidation>
    <dataValidation type="list" allowBlank="1" showInputMessage="1" showErrorMessage="1" sqref="C19 E19 G19 I19" xr:uid="{00000000-0002-0000-1700-00000D000000}">
      <formula1>基础设施水平</formula1>
    </dataValidation>
    <dataValidation type="list" allowBlank="1" showInputMessage="1" showErrorMessage="1" sqref="E1" xr:uid="{00000000-0002-0000-1700-00000E000000}">
      <formula1>"售价,租金"</formula1>
    </dataValidation>
    <dataValidation type="list" allowBlank="1" showInputMessage="1" showErrorMessage="1" sqref="D2" xr:uid="{00000000-0002-0000-1700-00000F000000}">
      <formula1>"需扣减承租人权益,——"</formula1>
    </dataValidation>
    <dataValidation type="list" allowBlank="1" showInputMessage="1" showErrorMessage="1" sqref="G2" xr:uid="{00000000-0002-0000-1700-000010000000}">
      <formula1>估价方法</formula1>
    </dataValidation>
    <dataValidation type="list" allowBlank="1" showInputMessage="1" showErrorMessage="1" sqref="D36" xr:uid="{00000000-0002-0000-1700-000011000000}">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66" customWidth="1"/>
    <col min="2" max="2" width="15.625" style="1666" customWidth="1"/>
    <col min="3" max="3" width="14.375" style="1666" customWidth="1"/>
    <col min="4" max="4" width="12.125" style="1666" customWidth="1"/>
    <col min="5" max="5" width="14.375" style="1666" customWidth="1"/>
    <col min="6" max="6" width="12.125" style="1666" customWidth="1"/>
    <col min="7" max="7" width="14.5" style="1666" customWidth="1"/>
    <col min="8" max="8" width="12.125" style="1666" customWidth="1"/>
    <col min="9" max="9" width="14.5" style="1666" customWidth="1"/>
    <col min="10" max="10" width="12.125" style="1666" customWidth="1"/>
    <col min="11" max="11" width="12.125" style="1909" customWidth="1"/>
    <col min="12" max="12" width="12.125" style="1910" customWidth="1"/>
    <col min="13" max="15" width="12.125" style="1666" customWidth="1"/>
    <col min="16" max="16" width="4.625" style="1666" customWidth="1"/>
    <col min="17" max="17" width="19.5" style="1666" customWidth="1"/>
    <col min="18" max="22" width="6.125" style="1666" customWidth="1"/>
    <col min="23" max="23" width="5.625" style="1666" customWidth="1"/>
    <col min="24" max="24" width="4.125" style="1666" customWidth="1"/>
    <col min="25" max="25" width="3.5" style="1666" customWidth="1"/>
    <col min="26" max="26" width="19.625" style="1666" customWidth="1"/>
    <col min="27" max="28" width="9.375" style="1666" customWidth="1"/>
    <col min="29" max="16384" width="9" style="1666"/>
  </cols>
  <sheetData>
    <row r="1" spans="1:30" s="1959" customFormat="1" ht="28.5" customHeight="1">
      <c r="A1" s="1950" t="s">
        <v>2440</v>
      </c>
      <c r="B1" s="1951"/>
      <c r="C1" s="1952" t="s">
        <v>2441</v>
      </c>
      <c r="D1" s="1951"/>
      <c r="E1" s="1951"/>
      <c r="F1" s="1953" t="s">
        <v>2242</v>
      </c>
      <c r="G1" s="1951"/>
      <c r="H1" s="1951"/>
      <c r="I1" s="1951"/>
      <c r="J1" s="1951"/>
      <c r="K1" s="1954"/>
      <c r="L1" s="1955"/>
      <c r="M1" s="1951"/>
      <c r="N1" s="1951"/>
      <c r="O1" s="1951"/>
      <c r="P1" s="1956"/>
      <c r="Q1" s="1956"/>
      <c r="R1" s="1956"/>
      <c r="S1" s="1956"/>
      <c r="T1" s="1956"/>
      <c r="U1" s="1956"/>
      <c r="V1" s="1956"/>
      <c r="W1" s="1956"/>
      <c r="X1" s="1956"/>
      <c r="Y1" s="1956"/>
      <c r="Z1" s="1956"/>
      <c r="AA1" s="1956"/>
      <c r="AB1" s="1956"/>
      <c r="AC1" s="1957"/>
      <c r="AD1" s="1958"/>
    </row>
    <row r="2" spans="1:30" s="1959" customFormat="1" ht="28.5" customHeight="1">
      <c r="A2" s="1960" t="s">
        <v>1912</v>
      </c>
      <c r="B2" s="1961" t="e">
        <f>F66</f>
        <v>#DIV/0!</v>
      </c>
      <c r="C2" s="1656" t="s">
        <v>2442</v>
      </c>
      <c r="D2" s="3010"/>
      <c r="E2" s="3010"/>
      <c r="F2" s="3009"/>
      <c r="G2" s="3010"/>
      <c r="H2" s="3010"/>
      <c r="I2" s="3010"/>
      <c r="J2" s="3010"/>
      <c r="K2" s="3011"/>
      <c r="L2" s="3012"/>
      <c r="M2" s="3010"/>
      <c r="N2" s="3010"/>
      <c r="O2" s="3010"/>
      <c r="P2" s="1956"/>
      <c r="Q2" s="1956"/>
      <c r="R2" s="1956"/>
      <c r="S2" s="1956"/>
      <c r="T2" s="1956"/>
      <c r="U2" s="1956"/>
      <c r="V2" s="1956"/>
      <c r="W2" s="1956"/>
      <c r="X2" s="1956"/>
      <c r="Y2" s="1956"/>
      <c r="Z2" s="1956"/>
      <c r="AA2" s="1956"/>
      <c r="AB2" s="1956"/>
      <c r="AC2" s="1957"/>
      <c r="AD2" s="1958"/>
    </row>
    <row r="3" spans="1:30" s="1959" customFormat="1" ht="28.5" customHeight="1" thickBot="1">
      <c r="A3" s="1658" t="s">
        <v>1913</v>
      </c>
      <c r="B3" s="1962" t="e">
        <f>ROUND(B2/'数据-取费表'!B5,0)</f>
        <v>#DIV/0!</v>
      </c>
      <c r="C3" s="1656" t="s">
        <v>2443</v>
      </c>
      <c r="D3" s="3010"/>
      <c r="E3" s="3010"/>
      <c r="F3" s="3009"/>
      <c r="G3" s="3010"/>
      <c r="H3" s="3010"/>
      <c r="I3" s="3010"/>
      <c r="J3" s="3010"/>
      <c r="K3" s="3011"/>
      <c r="L3" s="3012"/>
      <c r="M3" s="3010"/>
      <c r="N3" s="3010"/>
      <c r="O3" s="3010"/>
      <c r="P3" s="1956"/>
      <c r="Q3" s="1956"/>
      <c r="R3" s="1956"/>
      <c r="S3" s="1956"/>
      <c r="T3" s="1956"/>
      <c r="U3" s="1956"/>
      <c r="V3" s="1956"/>
      <c r="W3" s="1956"/>
      <c r="X3" s="1956"/>
      <c r="Y3" s="1956"/>
      <c r="Z3" s="1956"/>
      <c r="AA3" s="1956"/>
      <c r="AB3" s="1963"/>
      <c r="AC3" s="1964"/>
    </row>
    <row r="4" spans="1:30" ht="15">
      <c r="A4" s="1662" t="s">
        <v>2244</v>
      </c>
      <c r="B4" s="1663"/>
      <c r="C4" s="4515" t="s">
        <v>2245</v>
      </c>
      <c r="D4" s="4516"/>
      <c r="E4" s="4517" t="s">
        <v>2246</v>
      </c>
      <c r="F4" s="4518"/>
      <c r="G4" s="4515" t="s">
        <v>2247</v>
      </c>
      <c r="H4" s="4516"/>
      <c r="I4" s="4515" t="s">
        <v>2248</v>
      </c>
      <c r="J4" s="4516"/>
      <c r="K4" s="1965" t="s">
        <v>2249</v>
      </c>
      <c r="L4" s="2995"/>
      <c r="M4" s="2996"/>
      <c r="N4" s="2996"/>
      <c r="O4" s="2996"/>
      <c r="P4" s="4519" t="s">
        <v>2250</v>
      </c>
      <c r="Q4" s="4520"/>
      <c r="R4" s="4504" t="s">
        <v>2246</v>
      </c>
      <c r="S4" s="4505"/>
      <c r="T4" s="4504" t="s">
        <v>2247</v>
      </c>
      <c r="U4" s="4505"/>
      <c r="V4" s="4525" t="s">
        <v>2248</v>
      </c>
      <c r="W4" s="4525"/>
      <c r="X4" s="1665"/>
      <c r="Y4" s="4504" t="s">
        <v>2250</v>
      </c>
      <c r="Z4" s="4505"/>
      <c r="AA4" s="4512" t="s">
        <v>2246</v>
      </c>
      <c r="AB4" s="4513" t="s">
        <v>2247</v>
      </c>
      <c r="AC4" s="4512" t="s">
        <v>2248</v>
      </c>
    </row>
    <row r="5" spans="1:30" ht="15">
      <c r="A5" s="1667"/>
      <c r="B5" s="1668"/>
      <c r="C5" s="4500" t="s">
        <v>2251</v>
      </c>
      <c r="D5" s="4501"/>
      <c r="E5" s="4526" t="s">
        <v>2252</v>
      </c>
      <c r="F5" s="4527"/>
      <c r="G5" s="4500" t="s">
        <v>2253</v>
      </c>
      <c r="H5" s="4501"/>
      <c r="I5" s="4500" t="s">
        <v>2254</v>
      </c>
      <c r="J5" s="4501"/>
      <c r="K5" s="1965"/>
      <c r="L5" s="2995"/>
      <c r="M5" s="2996"/>
      <c r="N5" s="2996"/>
      <c r="O5" s="2996"/>
      <c r="P5" s="4521"/>
      <c r="Q5" s="4522"/>
      <c r="R5" s="4506"/>
      <c r="S5" s="4507"/>
      <c r="T5" s="4506"/>
      <c r="U5" s="4507"/>
      <c r="V5" s="4525"/>
      <c r="W5" s="4525"/>
      <c r="X5" s="1665"/>
      <c r="Y5" s="4506"/>
      <c r="Z5" s="4507"/>
      <c r="AA5" s="4513"/>
      <c r="AB5" s="4513"/>
      <c r="AC5" s="4513"/>
    </row>
    <row r="6" spans="1:30" ht="15.75" thickBot="1">
      <c r="A6" s="1670"/>
      <c r="B6" s="1671"/>
      <c r="C6" s="4498" t="s">
        <v>2255</v>
      </c>
      <c r="D6" s="4499"/>
      <c r="E6" s="4528" t="s">
        <v>2255</v>
      </c>
      <c r="F6" s="4529"/>
      <c r="G6" s="4498" t="s">
        <v>2255</v>
      </c>
      <c r="H6" s="4499"/>
      <c r="I6" s="4498" t="s">
        <v>2255</v>
      </c>
      <c r="J6" s="4499"/>
      <c r="K6" s="1965" t="s">
        <v>2256</v>
      </c>
      <c r="L6" s="2995"/>
      <c r="M6" s="2996"/>
      <c r="N6" s="2996"/>
      <c r="O6" s="2996"/>
      <c r="P6" s="4523"/>
      <c r="Q6" s="4524"/>
      <c r="R6" s="4506"/>
      <c r="S6" s="4507"/>
      <c r="T6" s="4508"/>
      <c r="U6" s="4509"/>
      <c r="V6" s="4525"/>
      <c r="W6" s="4525"/>
      <c r="X6" s="1665"/>
      <c r="Y6" s="4508"/>
      <c r="Z6" s="4509"/>
      <c r="AA6" s="4514"/>
      <c r="AB6" s="4514"/>
      <c r="AC6" s="4514"/>
    </row>
    <row r="7" spans="1:30" s="1684" customFormat="1" ht="15.75" thickBot="1">
      <c r="A7" s="1672" t="s">
        <v>2257</v>
      </c>
      <c r="B7" s="1673"/>
      <c r="C7" s="1674">
        <f>'数据-取费表'!B2</f>
        <v>42402</v>
      </c>
      <c r="D7" s="1675">
        <v>100</v>
      </c>
      <c r="E7" s="1676"/>
      <c r="F7" s="1677">
        <f>SUMIF(70:70,YEAR(E7)&amp;"-"&amp;INT((MONTH(E7)+2)/3),71:71)</f>
        <v>0</v>
      </c>
      <c r="G7" s="1966"/>
      <c r="H7" s="1675">
        <f>SUMIF(70:70,YEAR(G7)&amp;"-"&amp;INT((MONTH(G7)+2)/3),71:71)</f>
        <v>0</v>
      </c>
      <c r="I7" s="1966"/>
      <c r="J7" s="1675">
        <f>SUMIF(70:70,YEAR(I7)&amp;"-"&amp;INT((MONTH(I7)+2)/3),71:71)</f>
        <v>0</v>
      </c>
      <c r="K7" s="1967"/>
      <c r="L7" s="2995"/>
      <c r="M7" s="2968"/>
      <c r="N7" s="2968"/>
      <c r="O7" s="2968"/>
      <c r="P7" s="4502" t="s">
        <v>2258</v>
      </c>
      <c r="Q7" s="4510"/>
      <c r="R7" s="1680" t="s">
        <v>25</v>
      </c>
      <c r="S7" s="1681">
        <f t="shared" ref="S7:S15" si="0">F7</f>
        <v>0</v>
      </c>
      <c r="T7" s="1680" t="s">
        <v>25</v>
      </c>
      <c r="U7" s="1681">
        <f t="shared" ref="U7:U15" si="1">H7</f>
        <v>0</v>
      </c>
      <c r="V7" s="1680" t="s">
        <v>25</v>
      </c>
      <c r="W7" s="1681">
        <f t="shared" ref="W7:W15" si="2">J7</f>
        <v>0</v>
      </c>
      <c r="X7" s="1682"/>
      <c r="Y7" s="4502" t="s">
        <v>2258</v>
      </c>
      <c r="Z7" s="4503"/>
      <c r="AA7" s="1683" t="e">
        <f>D7/F7</f>
        <v>#DIV/0!</v>
      </c>
      <c r="AB7" s="1683" t="e">
        <f>D7/H7</f>
        <v>#DIV/0!</v>
      </c>
      <c r="AC7" s="1683" t="e">
        <f>D7/J7</f>
        <v>#DIV/0!</v>
      </c>
    </row>
    <row r="8" spans="1:30" s="1684" customFormat="1" ht="15.75" thickBot="1">
      <c r="A8" s="1672" t="s">
        <v>2259</v>
      </c>
      <c r="B8" s="1673"/>
      <c r="C8" s="1685" t="s">
        <v>2444</v>
      </c>
      <c r="D8" s="1675">
        <v>100</v>
      </c>
      <c r="E8" s="1685"/>
      <c r="F8" s="1677">
        <f>SUMIF(73:73,E8,74:74)-SUMIF(73:73,C8,74:74)+100</f>
        <v>0</v>
      </c>
      <c r="G8" s="1685"/>
      <c r="H8" s="1675">
        <f>SUMIF(73:73,G8,74:74)-SUMIF(73:73,C8,74:74)+100</f>
        <v>0</v>
      </c>
      <c r="I8" s="1685"/>
      <c r="J8" s="1675">
        <f>SUMIF(73:73,I8,74:74)-SUMIF(73:73,C8,74:74)+100</f>
        <v>0</v>
      </c>
      <c r="K8" s="1967"/>
      <c r="L8" s="2995"/>
      <c r="M8" s="2968"/>
      <c r="N8" s="2968"/>
      <c r="O8" s="2968"/>
      <c r="P8" s="4502" t="s">
        <v>2261</v>
      </c>
      <c r="Q8" s="4503"/>
      <c r="R8" s="1680" t="s">
        <v>25</v>
      </c>
      <c r="S8" s="1681">
        <f t="shared" si="0"/>
        <v>0</v>
      </c>
      <c r="T8" s="1680" t="s">
        <v>25</v>
      </c>
      <c r="U8" s="1681">
        <f t="shared" si="1"/>
        <v>0</v>
      </c>
      <c r="V8" s="1680" t="s">
        <v>25</v>
      </c>
      <c r="W8" s="1681">
        <f t="shared" si="2"/>
        <v>0</v>
      </c>
      <c r="X8" s="1682"/>
      <c r="Y8" s="4502" t="s">
        <v>2261</v>
      </c>
      <c r="Z8" s="4503"/>
      <c r="AA8" s="1683" t="e">
        <f t="shared" ref="AA8:AA45" si="3">D8/F8</f>
        <v>#DIV/0!</v>
      </c>
      <c r="AB8" s="1683" t="e">
        <f t="shared" ref="AB8:AB45" si="4">D8/H8</f>
        <v>#DIV/0!</v>
      </c>
      <c r="AC8" s="1683" t="e">
        <f t="shared" ref="AC8:AC45" si="5">D8/J8</f>
        <v>#DIV/0!</v>
      </c>
    </row>
    <row r="9" spans="1:30" s="1684" customFormat="1">
      <c r="A9" s="1635" t="s">
        <v>2262</v>
      </c>
      <c r="B9" s="1687" t="s">
        <v>2263</v>
      </c>
      <c r="C9" s="1968"/>
      <c r="D9" s="1689">
        <v>100</v>
      </c>
      <c r="E9" s="1968"/>
      <c r="F9" s="1689">
        <f>SUMIF(75:75,E9,76:76)-SUMIF(75:75,C9,76:76)+100</f>
        <v>100</v>
      </c>
      <c r="G9" s="1968"/>
      <c r="H9" s="1689">
        <f>SUMIF(75:75,G9,76:76)-SUMIF(75:75,C9,76:76)+100</f>
        <v>100</v>
      </c>
      <c r="I9" s="1968"/>
      <c r="J9" s="1689">
        <f>SUMIF(75:75,I9,76:76)-SUMIF(75:75,C9,76:76)+100</f>
        <v>100</v>
      </c>
      <c r="K9" s="1967"/>
      <c r="L9" s="2995"/>
      <c r="M9" s="2968"/>
      <c r="N9" s="2968"/>
      <c r="O9" s="3042"/>
      <c r="P9" s="4488" t="s">
        <v>2264</v>
      </c>
      <c r="Q9" s="1634" t="str">
        <f t="shared" ref="Q9:Q15" si="6">B9</f>
        <v>用途</v>
      </c>
      <c r="R9" s="1680" t="s">
        <v>25</v>
      </c>
      <c r="S9" s="1681">
        <f t="shared" si="0"/>
        <v>100</v>
      </c>
      <c r="T9" s="1680" t="s">
        <v>25</v>
      </c>
      <c r="U9" s="1681">
        <f t="shared" si="1"/>
        <v>100</v>
      </c>
      <c r="V9" s="1680" t="s">
        <v>25</v>
      </c>
      <c r="W9" s="1681">
        <f t="shared" si="2"/>
        <v>100</v>
      </c>
      <c r="X9" s="1682"/>
      <c r="Y9" s="4349" t="s">
        <v>2265</v>
      </c>
      <c r="Z9" s="1693" t="str">
        <f t="shared" ref="Z9:Z15" si="7">Q9</f>
        <v>用途</v>
      </c>
      <c r="AA9" s="1683">
        <f t="shared" si="3"/>
        <v>1</v>
      </c>
      <c r="AB9" s="1683">
        <f t="shared" si="4"/>
        <v>1</v>
      </c>
      <c r="AC9" s="1683">
        <f t="shared" si="5"/>
        <v>1</v>
      </c>
    </row>
    <row r="10" spans="1:30" s="1701" customFormat="1" ht="27">
      <c r="A10" s="1694"/>
      <c r="B10" s="1695" t="s">
        <v>2266</v>
      </c>
      <c r="C10" s="1707"/>
      <c r="D10" s="1697">
        <v>100</v>
      </c>
      <c r="E10" s="1759"/>
      <c r="F10" s="1697">
        <f>ROUND(100/'数据-取费表'!B14,0)</f>
        <v>129</v>
      </c>
      <c r="G10" s="1757"/>
      <c r="H10" s="1697">
        <f>ROUND(100/'数据-取费表'!B14,0)</f>
        <v>129</v>
      </c>
      <c r="I10" s="1757"/>
      <c r="J10" s="1697">
        <f>ROUND(100/'数据-取费表'!B14,0)</f>
        <v>129</v>
      </c>
      <c r="K10" s="1969"/>
      <c r="L10" s="2997"/>
      <c r="M10" s="2998"/>
      <c r="N10" s="2998"/>
      <c r="O10" s="3043"/>
      <c r="P10" s="4488"/>
      <c r="Q10" s="1634" t="str">
        <f t="shared" si="6"/>
        <v>土地使用年限（年）</v>
      </c>
      <c r="R10" s="1680" t="s">
        <v>25</v>
      </c>
      <c r="S10" s="1681">
        <f t="shared" si="0"/>
        <v>129</v>
      </c>
      <c r="T10" s="1680" t="s">
        <v>25</v>
      </c>
      <c r="U10" s="1681">
        <f t="shared" si="1"/>
        <v>129</v>
      </c>
      <c r="V10" s="1680" t="s">
        <v>25</v>
      </c>
      <c r="W10" s="1681">
        <f t="shared" si="2"/>
        <v>129</v>
      </c>
      <c r="X10" s="1682"/>
      <c r="Y10" s="4349"/>
      <c r="Z10" s="1693" t="str">
        <f t="shared" si="7"/>
        <v>土地使用年限（年）</v>
      </c>
      <c r="AA10" s="1683">
        <f t="shared" si="3"/>
        <v>0.77519379844961245</v>
      </c>
      <c r="AB10" s="1683">
        <f t="shared" si="4"/>
        <v>0.77519379844961245</v>
      </c>
      <c r="AC10" s="1683">
        <f t="shared" si="5"/>
        <v>0.77519379844961245</v>
      </c>
    </row>
    <row r="11" spans="1:30" ht="15">
      <c r="A11" s="1702"/>
      <c r="B11" s="1695" t="s">
        <v>2267</v>
      </c>
      <c r="C11" s="1703"/>
      <c r="D11" s="1697">
        <v>100</v>
      </c>
      <c r="E11" s="1703"/>
      <c r="F11" s="1697" t="e">
        <f>LOOKUP(E11,80:80,81:81)-LOOKUP(C11,80:80,81:81)+100</f>
        <v>#N/A</v>
      </c>
      <c r="G11" s="1704"/>
      <c r="H11" s="1697" t="e">
        <f>LOOKUP(G11,80:80,81:81)-LOOKUP(C11,80:80,81:81)+100</f>
        <v>#N/A</v>
      </c>
      <c r="I11" s="1703"/>
      <c r="J11" s="1697" t="e">
        <f>LOOKUP(I11,80:80,81:81)-LOOKUP(C11,80:80,81:81)+100</f>
        <v>#N/A</v>
      </c>
      <c r="K11" s="1970"/>
      <c r="L11" s="2999"/>
      <c r="M11" s="2996"/>
      <c r="N11" s="2996"/>
      <c r="O11" s="3044"/>
      <c r="P11" s="4488"/>
      <c r="Q11" s="1634" t="str">
        <f t="shared" si="6"/>
        <v>容积率</v>
      </c>
      <c r="R11" s="1680" t="s">
        <v>25</v>
      </c>
      <c r="S11" s="1681" t="e">
        <f t="shared" si="0"/>
        <v>#N/A</v>
      </c>
      <c r="T11" s="1680" t="s">
        <v>25</v>
      </c>
      <c r="U11" s="1681" t="e">
        <f t="shared" si="1"/>
        <v>#N/A</v>
      </c>
      <c r="V11" s="1680" t="s">
        <v>25</v>
      </c>
      <c r="W11" s="1681" t="e">
        <f t="shared" si="2"/>
        <v>#N/A</v>
      </c>
      <c r="X11" s="1682"/>
      <c r="Y11" s="4349"/>
      <c r="Z11" s="1693" t="str">
        <f t="shared" si="7"/>
        <v>容积率</v>
      </c>
      <c r="AA11" s="1683" t="e">
        <f t="shared" si="3"/>
        <v>#N/A</v>
      </c>
      <c r="AB11" s="1683" t="e">
        <f t="shared" si="4"/>
        <v>#N/A</v>
      </c>
      <c r="AC11" s="1683" t="e">
        <f t="shared" si="5"/>
        <v>#N/A</v>
      </c>
    </row>
    <row r="12" spans="1:30" s="1684" customFormat="1" ht="15">
      <c r="A12" s="1705"/>
      <c r="B12" s="1706" t="s">
        <v>2445</v>
      </c>
      <c r="C12" s="1707"/>
      <c r="D12" s="1708">
        <v>100</v>
      </c>
      <c r="E12" s="1759"/>
      <c r="F12" s="1697">
        <f>SUMIF(82:82,E12,83:83)-SUMIF(82:82,C12,83:83)+100</f>
        <v>100</v>
      </c>
      <c r="G12" s="1757"/>
      <c r="H12" s="1697">
        <f>SUMIF(82:82,G12,83:83)-SUMIF(82:82,C12,83:83)+100</f>
        <v>100</v>
      </c>
      <c r="I12" s="1759"/>
      <c r="J12" s="1697">
        <f>SUMIF(82:82,I12,83:83)-SUMIF(82:82,C12,83:83)+100</f>
        <v>100</v>
      </c>
      <c r="K12" s="1969"/>
      <c r="L12" s="2995"/>
      <c r="M12" s="2968"/>
      <c r="N12" s="2968"/>
      <c r="O12" s="3042"/>
      <c r="P12" s="4488"/>
      <c r="Q12" s="1634" t="str">
        <f t="shared" si="6"/>
        <v>配建</v>
      </c>
      <c r="R12" s="1680" t="s">
        <v>25</v>
      </c>
      <c r="S12" s="1681">
        <f t="shared" si="0"/>
        <v>100</v>
      </c>
      <c r="T12" s="1680" t="s">
        <v>25</v>
      </c>
      <c r="U12" s="1681">
        <f t="shared" si="1"/>
        <v>100</v>
      </c>
      <c r="V12" s="1680" t="s">
        <v>25</v>
      </c>
      <c r="W12" s="1681">
        <f t="shared" si="2"/>
        <v>100</v>
      </c>
      <c r="X12" s="1682"/>
      <c r="Y12" s="4349"/>
      <c r="Z12" s="1693" t="str">
        <f t="shared" si="7"/>
        <v>配建</v>
      </c>
      <c r="AA12" s="1683">
        <f>D12/F12</f>
        <v>1</v>
      </c>
      <c r="AB12" s="1683">
        <f>D12/H12</f>
        <v>1</v>
      </c>
      <c r="AC12" s="1683">
        <f>D12/J12</f>
        <v>1</v>
      </c>
    </row>
    <row r="13" spans="1:30" ht="15">
      <c r="A13" s="1702"/>
      <c r="B13" s="1706">
        <v>111</v>
      </c>
      <c r="C13" s="1710"/>
      <c r="D13" s="1711">
        <v>100</v>
      </c>
      <c r="E13" s="1867"/>
      <c r="F13" s="1697">
        <f>SUMIF(84:84,E13,85:85)-SUMIF(84:84,C13,85:85)+100</f>
        <v>100</v>
      </c>
      <c r="G13" s="1971"/>
      <c r="H13" s="1711">
        <f>SUMIF(84:84,G13,85:85)-SUMIF(84:84,C13,85:85)+100</f>
        <v>100</v>
      </c>
      <c r="I13" s="1971"/>
      <c r="J13" s="1711">
        <f>SUMIF(84:84,I13,85:85)-SUMIF(84:84,C13,85:85)+100</f>
        <v>100</v>
      </c>
      <c r="K13" s="1969"/>
      <c r="L13" s="3000"/>
      <c r="M13" s="2996"/>
      <c r="N13" s="2996"/>
      <c r="O13" s="3044"/>
      <c r="P13" s="4488"/>
      <c r="Q13" s="1634">
        <f t="shared" si="6"/>
        <v>111</v>
      </c>
      <c r="R13" s="1680" t="s">
        <v>25</v>
      </c>
      <c r="S13" s="1681">
        <f t="shared" si="0"/>
        <v>100</v>
      </c>
      <c r="T13" s="1680" t="s">
        <v>25</v>
      </c>
      <c r="U13" s="1681">
        <f t="shared" si="1"/>
        <v>100</v>
      </c>
      <c r="V13" s="1680" t="s">
        <v>25</v>
      </c>
      <c r="W13" s="1681">
        <f t="shared" si="2"/>
        <v>100</v>
      </c>
      <c r="X13" s="1682"/>
      <c r="Y13" s="4349"/>
      <c r="Z13" s="1693">
        <f t="shared" si="7"/>
        <v>111</v>
      </c>
      <c r="AA13" s="1683">
        <f>D13/F13</f>
        <v>1</v>
      </c>
      <c r="AB13" s="1683">
        <f>D13/H13</f>
        <v>1</v>
      </c>
      <c r="AC13" s="1683">
        <f>D13/J13</f>
        <v>1</v>
      </c>
    </row>
    <row r="14" spans="1:30" ht="15.75" thickBot="1">
      <c r="A14" s="1712"/>
      <c r="B14" s="1713">
        <v>111</v>
      </c>
      <c r="C14" s="1714"/>
      <c r="D14" s="1715">
        <v>100</v>
      </c>
      <c r="E14" s="1867"/>
      <c r="F14" s="1715">
        <f>SUMIF(86:86,E14,87:87)-SUMIF(86:86,C14,87:87)+100</f>
        <v>100</v>
      </c>
      <c r="G14" s="1971"/>
      <c r="H14" s="1715">
        <f>SUMIF(86:86,G14,87:87)-SUMIF(86:86,C14,87:87)+100</f>
        <v>100</v>
      </c>
      <c r="I14" s="1971"/>
      <c r="J14" s="1715">
        <f>SUMIF(86:86,I14,87:87)-SUMIF(86:86,C14,87:87)+100</f>
        <v>100</v>
      </c>
      <c r="K14" s="1969"/>
      <c r="L14" s="3000"/>
      <c r="M14" s="2996"/>
      <c r="N14" s="2996"/>
      <c r="O14" s="3044"/>
      <c r="P14" s="4488"/>
      <c r="Q14" s="1634">
        <f t="shared" si="6"/>
        <v>111</v>
      </c>
      <c r="R14" s="1680" t="s">
        <v>25</v>
      </c>
      <c r="S14" s="1681">
        <f t="shared" si="0"/>
        <v>100</v>
      </c>
      <c r="T14" s="1680" t="s">
        <v>25</v>
      </c>
      <c r="U14" s="1681">
        <f t="shared" si="1"/>
        <v>100</v>
      </c>
      <c r="V14" s="1680" t="s">
        <v>25</v>
      </c>
      <c r="W14" s="1681">
        <f t="shared" si="2"/>
        <v>100</v>
      </c>
      <c r="X14" s="1682"/>
      <c r="Y14" s="4349"/>
      <c r="Z14" s="1693">
        <f t="shared" si="7"/>
        <v>111</v>
      </c>
      <c r="AA14" s="1683">
        <f>D14/F14</f>
        <v>1</v>
      </c>
      <c r="AB14" s="1683">
        <f>D14/H14</f>
        <v>1</v>
      </c>
      <c r="AC14" s="1683">
        <f>D14/J14</f>
        <v>1</v>
      </c>
    </row>
    <row r="15" spans="1:30" ht="99.75">
      <c r="A15" s="1662" t="s">
        <v>2268</v>
      </c>
      <c r="B15" s="1972" t="s">
        <v>1702</v>
      </c>
      <c r="C15" s="1973" t="str">
        <f>估价对象房地状况!C15</f>
        <v>估价对象周边居住用地比例、居住小区规模和社区发展完善程度，综合评价居住社区成熟度一般</v>
      </c>
      <c r="D15" s="1720">
        <v>100</v>
      </c>
      <c r="E15" s="1721"/>
      <c r="F15" s="1720">
        <f>SUMIF(88:88,E16,89:89)-SUMIF(88:88,C16,89:89)+100</f>
        <v>100</v>
      </c>
      <c r="G15" s="1721"/>
      <c r="H15" s="1720">
        <f>SUMIF(88:88,G16,89:89)-SUMIF(88:88,C16,89:89)+100</f>
        <v>100</v>
      </c>
      <c r="I15" s="1723"/>
      <c r="J15" s="1720">
        <f>SUMIF(88:88,I16,89:89)-SUMIF(88:88,C16,89:89)+100</f>
        <v>100</v>
      </c>
      <c r="K15" s="1970"/>
      <c r="L15" s="3000"/>
      <c r="M15" s="2996"/>
      <c r="N15" s="2996"/>
      <c r="O15" s="3044"/>
      <c r="P15" s="4491" t="s">
        <v>2269</v>
      </c>
      <c r="Q15" s="1615" t="str">
        <f t="shared" si="6"/>
        <v>居住社区成熟度</v>
      </c>
      <c r="R15" s="1725" t="s">
        <v>25</v>
      </c>
      <c r="S15" s="1726">
        <f t="shared" si="0"/>
        <v>100</v>
      </c>
      <c r="T15" s="1725" t="s">
        <v>25</v>
      </c>
      <c r="U15" s="1726">
        <f t="shared" si="1"/>
        <v>100</v>
      </c>
      <c r="V15" s="1725" t="s">
        <v>25</v>
      </c>
      <c r="W15" s="1726">
        <f t="shared" si="2"/>
        <v>100</v>
      </c>
      <c r="X15" s="1665"/>
      <c r="Y15" s="4491" t="s">
        <v>2269</v>
      </c>
      <c r="Z15" s="1727" t="str">
        <f t="shared" si="7"/>
        <v>居住社区成熟度</v>
      </c>
      <c r="AA15" s="1728">
        <f t="shared" si="3"/>
        <v>1</v>
      </c>
      <c r="AB15" s="1728">
        <f t="shared" si="4"/>
        <v>1</v>
      </c>
      <c r="AC15" s="1728">
        <f t="shared" si="5"/>
        <v>1</v>
      </c>
    </row>
    <row r="16" spans="1:30" ht="15">
      <c r="A16" s="1667"/>
      <c r="B16" s="1974"/>
      <c r="C16" s="1975"/>
      <c r="D16" s="1731"/>
      <c r="E16" s="1732"/>
      <c r="F16" s="1731"/>
      <c r="G16" s="1732"/>
      <c r="H16" s="1735"/>
      <c r="I16" s="1734"/>
      <c r="J16" s="1731"/>
      <c r="K16" s="1969"/>
      <c r="L16" s="3000"/>
      <c r="M16" s="2996"/>
      <c r="N16" s="2996"/>
      <c r="O16" s="3044"/>
      <c r="P16" s="4492"/>
      <c r="Q16" s="1615"/>
      <c r="R16" s="1725"/>
      <c r="S16" s="1726"/>
      <c r="T16" s="1725"/>
      <c r="U16" s="1726"/>
      <c r="V16" s="1725"/>
      <c r="W16" s="1726"/>
      <c r="X16" s="1665"/>
      <c r="Y16" s="4492"/>
      <c r="Z16" s="1727"/>
      <c r="AA16" s="1728">
        <v>1</v>
      </c>
      <c r="AB16" s="1728">
        <v>1</v>
      </c>
      <c r="AC16" s="1728">
        <v>1</v>
      </c>
    </row>
    <row r="17" spans="1:29" ht="71.25">
      <c r="A17" s="1667"/>
      <c r="B17" s="1976" t="s">
        <v>2354</v>
      </c>
      <c r="C17" s="1977" t="str">
        <f>估价对象房地状况!C16</f>
        <v>估价对象位于XX商圈，周边商业氛围成熟，人流量大，商业繁华度好</v>
      </c>
      <c r="D17" s="1735">
        <v>100</v>
      </c>
      <c r="E17" s="1739"/>
      <c r="F17" s="1735">
        <f>SUMIF(90:90,E18,91:91)-SUMIF(90:90,C18,91:91)+100</f>
        <v>100</v>
      </c>
      <c r="G17" s="1739"/>
      <c r="H17" s="1742">
        <f>SUMIF(90:90,G18,91:91)-SUMIF(90:90,C18,91:91)+100</f>
        <v>100</v>
      </c>
      <c r="I17" s="1741"/>
      <c r="J17" s="1742">
        <f>SUMIF(90:90,I18,91:91)-SUMIF(90:90,C18,91:91)+100</f>
        <v>100</v>
      </c>
      <c r="K17" s="1970"/>
      <c r="L17" s="3000"/>
      <c r="M17" s="2996"/>
      <c r="N17" s="2996"/>
      <c r="O17" s="3044"/>
      <c r="P17" s="4492"/>
      <c r="Q17" s="1615" t="str">
        <f>B17</f>
        <v>商业繁华度</v>
      </c>
      <c r="R17" s="1725" t="s">
        <v>25</v>
      </c>
      <c r="S17" s="1726">
        <f>F17</f>
        <v>100</v>
      </c>
      <c r="T17" s="1725" t="s">
        <v>25</v>
      </c>
      <c r="U17" s="1726">
        <f>H17</f>
        <v>100</v>
      </c>
      <c r="V17" s="1725" t="s">
        <v>25</v>
      </c>
      <c r="W17" s="1726">
        <f>J17</f>
        <v>100</v>
      </c>
      <c r="X17" s="1665"/>
      <c r="Y17" s="4492"/>
      <c r="Z17" s="1727" t="str">
        <f>Q17</f>
        <v>商业繁华度</v>
      </c>
      <c r="AA17" s="1728">
        <f t="shared" si="3"/>
        <v>1</v>
      </c>
      <c r="AB17" s="1728">
        <f t="shared" si="4"/>
        <v>1</v>
      </c>
      <c r="AC17" s="1728">
        <f t="shared" si="5"/>
        <v>1</v>
      </c>
    </row>
    <row r="18" spans="1:29" ht="15">
      <c r="A18" s="1667"/>
      <c r="B18" s="1978"/>
      <c r="C18" s="1979"/>
      <c r="D18" s="1735"/>
      <c r="E18" s="1745"/>
      <c r="F18" s="1735"/>
      <c r="G18" s="1745"/>
      <c r="H18" s="1731"/>
      <c r="I18" s="1746"/>
      <c r="J18" s="1731"/>
      <c r="K18" s="1969"/>
      <c r="L18" s="3000"/>
      <c r="M18" s="2996"/>
      <c r="N18" s="2996"/>
      <c r="O18" s="3044"/>
      <c r="P18" s="4492"/>
      <c r="Q18" s="1615"/>
      <c r="R18" s="1725"/>
      <c r="S18" s="1726"/>
      <c r="T18" s="1725"/>
      <c r="U18" s="1726"/>
      <c r="V18" s="1725"/>
      <c r="W18" s="1726"/>
      <c r="X18" s="1665"/>
      <c r="Y18" s="4492"/>
      <c r="Z18" s="1727"/>
      <c r="AA18" s="1728">
        <v>1</v>
      </c>
      <c r="AB18" s="1728">
        <v>1</v>
      </c>
      <c r="AC18" s="1728">
        <v>1</v>
      </c>
    </row>
    <row r="19" spans="1:29" ht="142.5">
      <c r="A19" s="1667"/>
      <c r="B19" s="1976" t="s">
        <v>2383</v>
      </c>
      <c r="C19" s="1977" t="str">
        <f>估价对象房地状况!C17</f>
        <v>估价对象位于上地商圈，周边办公楼项目有上地研华科技大厦、许继大厦、华为大厦、华环大厦、自主创新大厦等，入驻率高，办公集聚程度较好。</v>
      </c>
      <c r="D19" s="1742">
        <v>100</v>
      </c>
      <c r="E19" s="1747"/>
      <c r="F19" s="1742">
        <f>SUMIF(92:92,E20,93:93)-SUMIF(92:92,C20,93:93)+100</f>
        <v>100</v>
      </c>
      <c r="G19" s="1747"/>
      <c r="H19" s="1735">
        <f>SUMIF(92:92,G20,93:93)-SUMIF(92:92,C20,93:93)+100</f>
        <v>100</v>
      </c>
      <c r="I19" s="1749"/>
      <c r="J19" s="1735">
        <f>SUMIF(92:92,I20,93:93)-SUMIF(92:92,C20,93:93)+100</f>
        <v>100</v>
      </c>
      <c r="K19" s="1970"/>
      <c r="L19" s="3000"/>
      <c r="M19" s="2996"/>
      <c r="N19" s="2996"/>
      <c r="O19" s="3044"/>
      <c r="P19" s="4492"/>
      <c r="Q19" s="1615" t="str">
        <f>B19</f>
        <v>办公集聚程度</v>
      </c>
      <c r="R19" s="1725" t="s">
        <v>25</v>
      </c>
      <c r="S19" s="1726">
        <f>F19</f>
        <v>100</v>
      </c>
      <c r="T19" s="1725" t="s">
        <v>25</v>
      </c>
      <c r="U19" s="1726">
        <f>H19</f>
        <v>100</v>
      </c>
      <c r="V19" s="1725" t="s">
        <v>25</v>
      </c>
      <c r="W19" s="1726">
        <f>J19</f>
        <v>100</v>
      </c>
      <c r="X19" s="1665"/>
      <c r="Y19" s="4492"/>
      <c r="Z19" s="1727" t="str">
        <f>Q19</f>
        <v>办公集聚程度</v>
      </c>
      <c r="AA19" s="1728">
        <f t="shared" si="3"/>
        <v>1</v>
      </c>
      <c r="AB19" s="1728">
        <f t="shared" si="4"/>
        <v>1</v>
      </c>
      <c r="AC19" s="1728">
        <f t="shared" si="5"/>
        <v>1</v>
      </c>
    </row>
    <row r="20" spans="1:29" ht="15">
      <c r="A20" s="1667"/>
      <c r="B20" s="1978"/>
      <c r="C20" s="1975"/>
      <c r="D20" s="1731"/>
      <c r="E20" s="1732"/>
      <c r="F20" s="1731"/>
      <c r="G20" s="1732"/>
      <c r="H20" s="1731"/>
      <c r="I20" s="1734"/>
      <c r="J20" s="1731"/>
      <c r="K20" s="1969"/>
      <c r="L20" s="3000"/>
      <c r="M20" s="2996"/>
      <c r="N20" s="2996"/>
      <c r="O20" s="3044"/>
      <c r="P20" s="4492"/>
      <c r="Q20" s="1615"/>
      <c r="R20" s="1725"/>
      <c r="S20" s="1726"/>
      <c r="T20" s="1725"/>
      <c r="U20" s="1726"/>
      <c r="V20" s="1725"/>
      <c r="W20" s="1726"/>
      <c r="X20" s="1665"/>
      <c r="Y20" s="4492"/>
      <c r="Z20" s="1727"/>
      <c r="AA20" s="1728">
        <v>1</v>
      </c>
      <c r="AB20" s="1728">
        <v>1</v>
      </c>
      <c r="AC20" s="1728">
        <v>1</v>
      </c>
    </row>
    <row r="21" spans="1:29" ht="213.75">
      <c r="A21" s="1667"/>
      <c r="B21" s="1976" t="s">
        <v>2406</v>
      </c>
      <c r="C21" s="1980" t="str">
        <f>估价对象房地状况!C18</f>
        <v>估价对象临近高速路-京新高速，紧邻城市主干道-信息路，距离清河火车站、地铁昌平线、13号线清河站约900米，周边有320路、365路、446路、447路、495路等公交线路通达，停车便捷程度较好，综合评价交通便捷度好。</v>
      </c>
      <c r="D21" s="1735">
        <v>100</v>
      </c>
      <c r="E21" s="1739"/>
      <c r="F21" s="1742">
        <f>SUMIF(94:94,E22,95:95)-SUMIF(94:94,C22,95:95)+100</f>
        <v>100</v>
      </c>
      <c r="G21" s="1739"/>
      <c r="H21" s="1735">
        <f>SUMIF(94:94,G22,95:95)-SUMIF(94:94,C22,95:95)+100</f>
        <v>100</v>
      </c>
      <c r="I21" s="1741"/>
      <c r="J21" s="1735">
        <f>SUMIF(94:94,I22,95:95)-SUMIF(94:94,C22,95:95)+100</f>
        <v>100</v>
      </c>
      <c r="K21" s="1970"/>
      <c r="L21" s="3000"/>
      <c r="M21" s="2996"/>
      <c r="N21" s="2996"/>
      <c r="O21" s="3044"/>
      <c r="P21" s="4492"/>
      <c r="Q21" s="1615" t="str">
        <f>B21</f>
        <v>交通便捷度</v>
      </c>
      <c r="R21" s="1725" t="s">
        <v>25</v>
      </c>
      <c r="S21" s="1726">
        <f>F21</f>
        <v>100</v>
      </c>
      <c r="T21" s="1725" t="s">
        <v>25</v>
      </c>
      <c r="U21" s="1726">
        <f>H21</f>
        <v>100</v>
      </c>
      <c r="V21" s="1725" t="s">
        <v>25</v>
      </c>
      <c r="W21" s="1726">
        <f>J21</f>
        <v>100</v>
      </c>
      <c r="X21" s="1665"/>
      <c r="Y21" s="4492"/>
      <c r="Z21" s="1727" t="str">
        <f>Q21</f>
        <v>交通便捷度</v>
      </c>
      <c r="AA21" s="1728">
        <f t="shared" si="3"/>
        <v>1</v>
      </c>
      <c r="AB21" s="1728">
        <f t="shared" si="4"/>
        <v>1</v>
      </c>
      <c r="AC21" s="1728">
        <f t="shared" si="5"/>
        <v>1</v>
      </c>
    </row>
    <row r="22" spans="1:29" ht="15">
      <c r="A22" s="1667"/>
      <c r="B22" s="1981"/>
      <c r="C22" s="1975"/>
      <c r="D22" s="1735"/>
      <c r="E22" s="1732"/>
      <c r="F22" s="1731"/>
      <c r="G22" s="1732"/>
      <c r="H22" s="1731"/>
      <c r="I22" s="1734"/>
      <c r="J22" s="1731"/>
      <c r="K22" s="1969"/>
      <c r="L22" s="3000"/>
      <c r="M22" s="2996"/>
      <c r="N22" s="2996"/>
      <c r="O22" s="3044"/>
      <c r="P22" s="4492"/>
      <c r="Q22" s="1615"/>
      <c r="R22" s="1725"/>
      <c r="S22" s="1726"/>
      <c r="T22" s="1725"/>
      <c r="U22" s="1726"/>
      <c r="V22" s="1725"/>
      <c r="W22" s="1726"/>
      <c r="X22" s="1665"/>
      <c r="Y22" s="4492"/>
      <c r="Z22" s="1727"/>
      <c r="AA22" s="1728">
        <v>1</v>
      </c>
      <c r="AB22" s="1728">
        <v>1</v>
      </c>
      <c r="AC22" s="1728">
        <v>1</v>
      </c>
    </row>
    <row r="23" spans="1:29" ht="15">
      <c r="A23" s="1667"/>
      <c r="B23" s="1458" t="s">
        <v>2446</v>
      </c>
      <c r="C23" s="1982">
        <f>估价对象房地状况!C19</f>
        <v>0</v>
      </c>
      <c r="D23" s="1742">
        <v>100</v>
      </c>
      <c r="E23" s="1739"/>
      <c r="F23" s="1742">
        <f>SUMIF(96:96,E24,97:97)-SUMIF(96:96,C24,97:97)+100</f>
        <v>100</v>
      </c>
      <c r="G23" s="1741"/>
      <c r="H23" s="1742">
        <f>SUMIF(96:96,G24,97:97)-SUMIF(96:96,C24,97:97)+100</f>
        <v>100</v>
      </c>
      <c r="I23" s="1741"/>
      <c r="J23" s="1742">
        <f>SUMIF(96:96,I24,97:97)-SUMIF(96:96,C24,97:97)+100</f>
        <v>100</v>
      </c>
      <c r="K23" s="1970"/>
      <c r="L23" s="3000"/>
      <c r="M23" s="2996"/>
      <c r="N23" s="2996"/>
      <c r="O23" s="3044"/>
      <c r="P23" s="4492"/>
      <c r="Q23" s="1615" t="str">
        <f t="shared" ref="Q23:Q37" si="8">B23</f>
        <v>区域土地利用方向</v>
      </c>
      <c r="R23" s="1725" t="s">
        <v>25</v>
      </c>
      <c r="S23" s="1726">
        <f>F23</f>
        <v>100</v>
      </c>
      <c r="T23" s="1725" t="s">
        <v>25</v>
      </c>
      <c r="U23" s="1726">
        <f>H23</f>
        <v>100</v>
      </c>
      <c r="V23" s="1725" t="s">
        <v>25</v>
      </c>
      <c r="W23" s="1726">
        <f>J23</f>
        <v>100</v>
      </c>
      <c r="X23" s="1665"/>
      <c r="Y23" s="4492"/>
      <c r="Z23" s="1727" t="str">
        <f>Q23</f>
        <v>区域土地利用方向</v>
      </c>
      <c r="AA23" s="1728">
        <f t="shared" si="3"/>
        <v>1</v>
      </c>
      <c r="AB23" s="1728">
        <f t="shared" si="4"/>
        <v>1</v>
      </c>
      <c r="AC23" s="1728">
        <f t="shared" si="5"/>
        <v>1</v>
      </c>
    </row>
    <row r="24" spans="1:29" ht="15">
      <c r="A24" s="1667"/>
      <c r="B24" s="1459"/>
      <c r="C24" s="1983"/>
      <c r="D24" s="1731"/>
      <c r="E24" s="1732"/>
      <c r="F24" s="1731"/>
      <c r="G24" s="1734"/>
      <c r="H24" s="1731"/>
      <c r="I24" s="1734"/>
      <c r="J24" s="1731"/>
      <c r="K24" s="1984"/>
      <c r="L24" s="3000"/>
      <c r="M24" s="2996"/>
      <c r="N24" s="2996"/>
      <c r="O24" s="3044"/>
      <c r="P24" s="4492"/>
      <c r="Q24" s="1615"/>
      <c r="R24" s="1725"/>
      <c r="S24" s="1726"/>
      <c r="T24" s="1725"/>
      <c r="U24" s="1726"/>
      <c r="V24" s="1725"/>
      <c r="W24" s="1726"/>
      <c r="X24" s="1665"/>
      <c r="Y24" s="4492"/>
      <c r="Z24" s="1727"/>
      <c r="AA24" s="1728"/>
      <c r="AB24" s="1728"/>
      <c r="AC24" s="1728"/>
    </row>
    <row r="25" spans="1:29" ht="114">
      <c r="A25" s="1667"/>
      <c r="B25" s="1981" t="s">
        <v>2447</v>
      </c>
      <c r="C25" s="1977" t="str">
        <f>估价对象房地状况!C20</f>
        <v>区域自然环境：上地公园、快乐成长家庭人口文化园等；人文环境；周边人文设施较少；
综合评价环境状况一般。</v>
      </c>
      <c r="D25" s="1735">
        <v>100</v>
      </c>
      <c r="E25" s="1739"/>
      <c r="F25" s="1735">
        <f>SUMIF(98:98,E26,99:99)-SUMIF(98:98,C26,99:99)+100</f>
        <v>100</v>
      </c>
      <c r="G25" s="1739"/>
      <c r="H25" s="1735">
        <f>SUMIF(98:98,G26,99:99)-SUMIF(98:98,C26,99:99)+100</f>
        <v>100</v>
      </c>
      <c r="I25" s="1741"/>
      <c r="J25" s="1735">
        <f>SUMIF(98:98,I26,99:99)-SUMIF(98:98,C26,99:99)+100</f>
        <v>100</v>
      </c>
      <c r="K25" s="1970"/>
      <c r="L25" s="3000"/>
      <c r="M25" s="2996"/>
      <c r="N25" s="2996"/>
      <c r="O25" s="3044"/>
      <c r="P25" s="4492"/>
      <c r="Q25" s="1615" t="str">
        <f t="shared" si="8"/>
        <v>自然及人文环境状况</v>
      </c>
      <c r="R25" s="1725" t="s">
        <v>25</v>
      </c>
      <c r="S25" s="1726">
        <f>F25</f>
        <v>100</v>
      </c>
      <c r="T25" s="1725" t="s">
        <v>25</v>
      </c>
      <c r="U25" s="1726">
        <f>H25</f>
        <v>100</v>
      </c>
      <c r="V25" s="1725" t="s">
        <v>25</v>
      </c>
      <c r="W25" s="1726">
        <f>J25</f>
        <v>100</v>
      </c>
      <c r="X25" s="1665"/>
      <c r="Y25" s="4492"/>
      <c r="Z25" s="1727" t="str">
        <f>Q25</f>
        <v>自然及人文环境状况</v>
      </c>
      <c r="AA25" s="1728">
        <f t="shared" si="3"/>
        <v>1</v>
      </c>
      <c r="AB25" s="1728">
        <f t="shared" si="4"/>
        <v>1</v>
      </c>
      <c r="AC25" s="1728">
        <f t="shared" si="5"/>
        <v>1</v>
      </c>
    </row>
    <row r="26" spans="1:29" ht="15">
      <c r="A26" s="1667"/>
      <c r="B26" s="1978"/>
      <c r="C26" s="1975"/>
      <c r="D26" s="1731"/>
      <c r="E26" s="1975"/>
      <c r="F26" s="1731"/>
      <c r="G26" s="1975"/>
      <c r="H26" s="1731"/>
      <c r="I26" s="1730"/>
      <c r="J26" s="1731"/>
      <c r="K26" s="1969"/>
      <c r="L26" s="3000"/>
      <c r="M26" s="2996"/>
      <c r="N26" s="2996"/>
      <c r="O26" s="3044"/>
      <c r="P26" s="4492"/>
      <c r="Q26" s="1615"/>
      <c r="R26" s="1725"/>
      <c r="S26" s="1726"/>
      <c r="T26" s="1725"/>
      <c r="U26" s="1726"/>
      <c r="V26" s="1725"/>
      <c r="W26" s="1726"/>
      <c r="X26" s="1665"/>
      <c r="Y26" s="4492"/>
      <c r="Z26" s="1727"/>
      <c r="AA26" s="1728">
        <v>1</v>
      </c>
      <c r="AB26" s="1728">
        <v>1</v>
      </c>
      <c r="AC26" s="1728">
        <v>1</v>
      </c>
    </row>
    <row r="27" spans="1:29" ht="409.5">
      <c r="A27" s="1667"/>
      <c r="B27" s="1981" t="s">
        <v>2355</v>
      </c>
      <c r="C27" s="1980" t="str">
        <f>估价对象房地状况!C21</f>
        <v>银行：农村商业银行、北京银行（上地支行）、中国工商银行（北京中关村支行）、中国银行（北京上地信息路支行）等金融场所；
商业设施：北京华联上地购物中心、数字山谷下沉商业广场等商业设施；
教育机构：北京八维研修学院、北京市上地实验学校、中关村第一小学（西二旗分校）、北京市海淀区第二实验小学（当代校区）、美和园幼儿园（智学苑分园）等教育机构；
医疗机构：北京市上地医院、北京市海淀区清河街道西二旗社区卫生服务站等医疗机构；
估价对象所在区域公共配套设施齐备情况较好。</v>
      </c>
      <c r="D27" s="1735">
        <v>100</v>
      </c>
      <c r="E27" s="1739"/>
      <c r="F27" s="1735">
        <f>SUMIF(100:100,E28,101:101)-SUMIF(100:100,C28,101:101)+100</f>
        <v>100</v>
      </c>
      <c r="G27" s="1739"/>
      <c r="H27" s="1735">
        <f>SUMIF(100:100,G28,101:101)-SUMIF(100:100,C28,101:101)+100</f>
        <v>100</v>
      </c>
      <c r="I27" s="1741"/>
      <c r="J27" s="1735">
        <f>SUMIF(100:100,I28,101:101)-SUMIF(100:100,C28,101:101)+100</f>
        <v>100</v>
      </c>
      <c r="K27" s="1985"/>
      <c r="L27" s="3000"/>
      <c r="M27" s="2996"/>
      <c r="N27" s="2996"/>
      <c r="O27" s="3044"/>
      <c r="P27" s="4492"/>
      <c r="Q27" s="1634" t="str">
        <f t="shared" ref="Q27" si="9">B27</f>
        <v>公共配套设施</v>
      </c>
      <c r="R27" s="1680" t="s">
        <v>25</v>
      </c>
      <c r="S27" s="1681">
        <f>F27</f>
        <v>100</v>
      </c>
      <c r="T27" s="1680" t="s">
        <v>25</v>
      </c>
      <c r="U27" s="1681">
        <f>H27</f>
        <v>100</v>
      </c>
      <c r="V27" s="1680" t="s">
        <v>25</v>
      </c>
      <c r="W27" s="1681">
        <f>J27</f>
        <v>100</v>
      </c>
      <c r="X27" s="1665"/>
      <c r="Y27" s="4492"/>
      <c r="Z27" s="1693" t="str">
        <f>Q27</f>
        <v>公共配套设施</v>
      </c>
      <c r="AA27" s="1728">
        <f>D27/F27</f>
        <v>1</v>
      </c>
      <c r="AB27" s="1728">
        <f>D27/H27</f>
        <v>1</v>
      </c>
      <c r="AC27" s="1728">
        <f>D27/J27</f>
        <v>1</v>
      </c>
    </row>
    <row r="28" spans="1:29" ht="15">
      <c r="A28" s="1667"/>
      <c r="B28" s="1978"/>
      <c r="C28" s="1986"/>
      <c r="D28" s="1731"/>
      <c r="E28" s="1986"/>
      <c r="F28" s="1731"/>
      <c r="G28" s="1986"/>
      <c r="H28" s="1731"/>
      <c r="I28" s="1986"/>
      <c r="J28" s="1731"/>
      <c r="K28" s="1969"/>
      <c r="L28" s="3000"/>
      <c r="M28" s="2996"/>
      <c r="N28" s="2996"/>
      <c r="O28" s="3044"/>
      <c r="P28" s="4492"/>
      <c r="Q28" s="1615"/>
      <c r="R28" s="1725"/>
      <c r="S28" s="1726"/>
      <c r="T28" s="1725"/>
      <c r="U28" s="1726"/>
      <c r="V28" s="1725"/>
      <c r="W28" s="1726"/>
      <c r="X28" s="1665"/>
      <c r="Y28" s="4492"/>
      <c r="Z28" s="1693"/>
      <c r="AA28" s="1728">
        <v>1</v>
      </c>
      <c r="AB28" s="1728">
        <v>1</v>
      </c>
      <c r="AC28" s="1728">
        <v>1</v>
      </c>
    </row>
    <row r="29" spans="1:29" s="1684" customFormat="1" ht="42.75">
      <c r="A29" s="1987"/>
      <c r="B29" s="1981" t="s">
        <v>2356</v>
      </c>
      <c r="C29" s="1988" t="str">
        <f>估价对象房地状况!C22</f>
        <v>估价对象所在区域基础设施水平-七通</v>
      </c>
      <c r="D29" s="1735">
        <v>100</v>
      </c>
      <c r="E29" s="1739"/>
      <c r="F29" s="1735">
        <f>SUMIF(102:102,E30,103:103)-SUMIF(102:102,C30,103:103)+100</f>
        <v>100</v>
      </c>
      <c r="G29" s="1739"/>
      <c r="H29" s="1735">
        <f>SUMIF(102:102,G30,103:103)-SUMIF(102:102,C30,103:103)+100</f>
        <v>100</v>
      </c>
      <c r="I29" s="1741"/>
      <c r="J29" s="1735">
        <f>SUMIF(102:102,I30,103:103)-SUMIF(102:102,C30,103:103)+100</f>
        <v>100</v>
      </c>
      <c r="K29" s="1985"/>
      <c r="L29" s="2995"/>
      <c r="M29" s="2968"/>
      <c r="N29" s="2968"/>
      <c r="O29" s="3042"/>
      <c r="P29" s="4492"/>
      <c r="Q29" s="1634" t="str">
        <f t="shared" si="8"/>
        <v>基础设施水平</v>
      </c>
      <c r="R29" s="1680" t="s">
        <v>25</v>
      </c>
      <c r="S29" s="1681">
        <f>F29</f>
        <v>100</v>
      </c>
      <c r="T29" s="1680" t="s">
        <v>25</v>
      </c>
      <c r="U29" s="1681">
        <f>H29</f>
        <v>100</v>
      </c>
      <c r="V29" s="1680" t="s">
        <v>25</v>
      </c>
      <c r="W29" s="1681">
        <f>J29</f>
        <v>100</v>
      </c>
      <c r="X29" s="1682"/>
      <c r="Y29" s="4492"/>
      <c r="Z29" s="1693" t="str">
        <f>Q29</f>
        <v>基础设施水平</v>
      </c>
      <c r="AA29" s="1728">
        <f>D29/F29</f>
        <v>1</v>
      </c>
      <c r="AB29" s="1728">
        <f>D29/H29</f>
        <v>1</v>
      </c>
      <c r="AC29" s="1728">
        <f>D29/J29</f>
        <v>1</v>
      </c>
    </row>
    <row r="30" spans="1:29" s="1684" customFormat="1" ht="15">
      <c r="A30" s="1987"/>
      <c r="B30" s="1978"/>
      <c r="C30" s="1986"/>
      <c r="D30" s="1731"/>
      <c r="E30" s="1986"/>
      <c r="F30" s="1731"/>
      <c r="G30" s="1986"/>
      <c r="H30" s="1731"/>
      <c r="I30" s="1986"/>
      <c r="J30" s="1731"/>
      <c r="K30" s="1969"/>
      <c r="L30" s="2995"/>
      <c r="M30" s="2968"/>
      <c r="N30" s="2968"/>
      <c r="O30" s="3042"/>
      <c r="P30" s="4492"/>
      <c r="Q30" s="1634"/>
      <c r="R30" s="1680"/>
      <c r="S30" s="1681"/>
      <c r="T30" s="1680"/>
      <c r="U30" s="1681"/>
      <c r="V30" s="1680"/>
      <c r="W30" s="1681"/>
      <c r="X30" s="1682"/>
      <c r="Y30" s="4492"/>
      <c r="Z30" s="1693"/>
      <c r="AA30" s="1728">
        <v>1</v>
      </c>
      <c r="AB30" s="1728">
        <v>1</v>
      </c>
      <c r="AC30" s="1728">
        <v>1</v>
      </c>
    </row>
    <row r="31" spans="1:29" ht="15">
      <c r="A31" s="1667"/>
      <c r="B31" s="1978" t="s">
        <v>2357</v>
      </c>
      <c r="C31" s="1983"/>
      <c r="D31" s="1711">
        <v>100</v>
      </c>
      <c r="E31" s="1983"/>
      <c r="F31" s="1711">
        <f>SUMIF(104:104,E31,105:105)-SUMIF(104:104,C31,105:105)+100</f>
        <v>100</v>
      </c>
      <c r="G31" s="1983"/>
      <c r="H31" s="1711">
        <f>SUMIF(104:104,G31,105:105)-SUMIF(104:104,C31,105:105)+100</f>
        <v>100</v>
      </c>
      <c r="I31" s="1983"/>
      <c r="J31" s="1711">
        <f>SUMIF(104:104,I31,105:105)-SUMIF(104:104,C31,105:105)+100</f>
        <v>100</v>
      </c>
      <c r="K31" s="1970"/>
      <c r="L31" s="3000"/>
      <c r="M31" s="2996"/>
      <c r="N31" s="2996"/>
      <c r="O31" s="3044"/>
      <c r="P31" s="4492"/>
      <c r="Q31" s="1615" t="str">
        <f t="shared" si="8"/>
        <v>临街状况</v>
      </c>
      <c r="R31" s="1725" t="s">
        <v>25</v>
      </c>
      <c r="S31" s="1726">
        <f t="shared" ref="S31:S45" si="10">F31</f>
        <v>100</v>
      </c>
      <c r="T31" s="1725" t="s">
        <v>25</v>
      </c>
      <c r="U31" s="1726">
        <f t="shared" ref="U31:U45" si="11">H31</f>
        <v>100</v>
      </c>
      <c r="V31" s="1725" t="s">
        <v>25</v>
      </c>
      <c r="W31" s="1726">
        <f t="shared" ref="W31:W45" si="12">J31</f>
        <v>100</v>
      </c>
      <c r="X31" s="1665"/>
      <c r="Y31" s="4492"/>
      <c r="Z31" s="1727" t="str">
        <f t="shared" ref="Z31:Z45" si="13">Q31</f>
        <v>临街状况</v>
      </c>
      <c r="AA31" s="1728">
        <f t="shared" si="3"/>
        <v>1</v>
      </c>
      <c r="AB31" s="1728">
        <f t="shared" si="4"/>
        <v>1</v>
      </c>
      <c r="AC31" s="1728">
        <f t="shared" si="5"/>
        <v>1</v>
      </c>
    </row>
    <row r="32" spans="1:29" ht="27">
      <c r="A32" s="1667"/>
      <c r="B32" s="1981" t="s">
        <v>2387</v>
      </c>
      <c r="C32" s="1739"/>
      <c r="D32" s="1735">
        <v>100</v>
      </c>
      <c r="E32" s="1739"/>
      <c r="F32" s="1735">
        <f>SUMIF(106:106,E33,107:107)-SUMIF(106:106,C33,107:107)+100</f>
        <v>100</v>
      </c>
      <c r="G32" s="1739"/>
      <c r="H32" s="1735">
        <f>SUMIF(106:106,G33,107:107)-SUMIF(106:106,C33,107:107)+100</f>
        <v>100</v>
      </c>
      <c r="I32" s="1741"/>
      <c r="J32" s="1735">
        <f>SUMIF(106:106,I33,107:107)-SUMIF(106:106,C33,107:107)+100</f>
        <v>100</v>
      </c>
      <c r="K32" s="1970"/>
      <c r="L32" s="3000"/>
      <c r="M32" s="2996"/>
      <c r="N32" s="2996"/>
      <c r="O32" s="3044"/>
      <c r="P32" s="4492"/>
      <c r="Q32" s="1615" t="str">
        <f t="shared" si="8"/>
        <v>毗邻道路的类型与等级</v>
      </c>
      <c r="R32" s="1725" t="s">
        <v>25</v>
      </c>
      <c r="S32" s="1726">
        <f t="shared" si="10"/>
        <v>100</v>
      </c>
      <c r="T32" s="1725" t="s">
        <v>25</v>
      </c>
      <c r="U32" s="1726">
        <f t="shared" si="11"/>
        <v>100</v>
      </c>
      <c r="V32" s="1725" t="s">
        <v>25</v>
      </c>
      <c r="W32" s="1726">
        <f t="shared" si="12"/>
        <v>100</v>
      </c>
      <c r="X32" s="1665"/>
      <c r="Y32" s="4492"/>
      <c r="Z32" s="1727" t="str">
        <f t="shared" si="13"/>
        <v>毗邻道路的类型与等级</v>
      </c>
      <c r="AA32" s="1728">
        <f t="shared" si="3"/>
        <v>1</v>
      </c>
      <c r="AB32" s="1728">
        <f t="shared" si="4"/>
        <v>1</v>
      </c>
      <c r="AC32" s="1728">
        <f t="shared" si="5"/>
        <v>1</v>
      </c>
    </row>
    <row r="33" spans="1:29" ht="15">
      <c r="A33" s="1667"/>
      <c r="B33" s="1978"/>
      <c r="C33" s="1975"/>
      <c r="D33" s="1731"/>
      <c r="E33" s="1975"/>
      <c r="F33" s="1731"/>
      <c r="G33" s="1975"/>
      <c r="H33" s="1731"/>
      <c r="I33" s="1730"/>
      <c r="J33" s="1731"/>
      <c r="K33" s="1989"/>
      <c r="L33" s="3000"/>
      <c r="M33" s="2996"/>
      <c r="N33" s="2996"/>
      <c r="O33" s="3044"/>
      <c r="P33" s="4492"/>
      <c r="Q33" s="1615"/>
      <c r="R33" s="1725"/>
      <c r="S33" s="1726"/>
      <c r="T33" s="1725"/>
      <c r="U33" s="1726"/>
      <c r="V33" s="1725"/>
      <c r="W33" s="1726"/>
      <c r="X33" s="1665"/>
      <c r="Y33" s="4492"/>
      <c r="Z33" s="1727"/>
      <c r="AA33" s="1728">
        <v>1</v>
      </c>
      <c r="AB33" s="1728">
        <v>1</v>
      </c>
      <c r="AC33" s="1728">
        <v>1</v>
      </c>
    </row>
    <row r="34" spans="1:29" ht="15">
      <c r="A34" s="1667"/>
      <c r="B34" s="1990" t="s">
        <v>2448</v>
      </c>
      <c r="C34" s="1983"/>
      <c r="D34" s="1711">
        <v>100</v>
      </c>
      <c r="E34" s="1983"/>
      <c r="F34" s="1711">
        <f>SUMIF(108:108,E34,109:109)-SUMIF(108:108,C34,109:109)+100</f>
        <v>100</v>
      </c>
      <c r="G34" s="1983"/>
      <c r="H34" s="1711">
        <f>SUMIF(108:108,G34,109:109)-SUMIF(108:108,C34,109:109)+100</f>
        <v>100</v>
      </c>
      <c r="I34" s="1991"/>
      <c r="J34" s="1711">
        <f>SUMIF(108:108,I34,109:109)-SUMIF(108:108,C34,109:109)+100</f>
        <v>100</v>
      </c>
      <c r="K34" s="1992"/>
      <c r="L34" s="3000"/>
      <c r="M34" s="2996"/>
      <c r="N34" s="2996"/>
      <c r="O34" s="3044"/>
      <c r="P34" s="4492"/>
      <c r="Q34" s="1615" t="str">
        <f t="shared" si="8"/>
        <v>土地级别</v>
      </c>
      <c r="R34" s="1725" t="s">
        <v>25</v>
      </c>
      <c r="S34" s="1726">
        <f t="shared" si="10"/>
        <v>100</v>
      </c>
      <c r="T34" s="1725" t="s">
        <v>25</v>
      </c>
      <c r="U34" s="1726">
        <f t="shared" si="11"/>
        <v>100</v>
      </c>
      <c r="V34" s="1725" t="s">
        <v>25</v>
      </c>
      <c r="W34" s="1726">
        <f t="shared" si="12"/>
        <v>100</v>
      </c>
      <c r="X34" s="1665"/>
      <c r="Y34" s="4492"/>
      <c r="Z34" s="1727" t="str">
        <f t="shared" si="13"/>
        <v>土地级别</v>
      </c>
      <c r="AA34" s="1728">
        <f t="shared" si="3"/>
        <v>1</v>
      </c>
      <c r="AB34" s="1728">
        <f t="shared" si="4"/>
        <v>1</v>
      </c>
      <c r="AC34" s="1728">
        <f t="shared" si="5"/>
        <v>1</v>
      </c>
    </row>
    <row r="35" spans="1:29" ht="15">
      <c r="A35" s="1667"/>
      <c r="B35" s="1993">
        <v>111</v>
      </c>
      <c r="C35" s="1779"/>
      <c r="D35" s="1711">
        <v>100</v>
      </c>
      <c r="E35" s="1779"/>
      <c r="F35" s="1711">
        <f>SUMIF(110:110,E35,111:111)-SUMIF(110:110,C35,111:111)+100</f>
        <v>100</v>
      </c>
      <c r="G35" s="1779"/>
      <c r="H35" s="1711">
        <f>SUMIF(110:110,G35,111:111)-SUMIF(110:110,C35,111:111)+100</f>
        <v>100</v>
      </c>
      <c r="I35" s="1971"/>
      <c r="J35" s="1711">
        <f>SUMIF(110:110,I35,111:111)-SUMIF(110:110,C35,111:111)+100</f>
        <v>100</v>
      </c>
      <c r="K35" s="1989"/>
      <c r="L35" s="3000"/>
      <c r="M35" s="2996"/>
      <c r="N35" s="2996"/>
      <c r="O35" s="3044"/>
      <c r="P35" s="4492"/>
      <c r="Q35" s="1615">
        <f t="shared" si="8"/>
        <v>111</v>
      </c>
      <c r="R35" s="1725" t="s">
        <v>25</v>
      </c>
      <c r="S35" s="1726">
        <f t="shared" si="10"/>
        <v>100</v>
      </c>
      <c r="T35" s="1725" t="s">
        <v>25</v>
      </c>
      <c r="U35" s="1726">
        <f t="shared" si="11"/>
        <v>100</v>
      </c>
      <c r="V35" s="1725" t="s">
        <v>25</v>
      </c>
      <c r="W35" s="1726">
        <f t="shared" si="12"/>
        <v>100</v>
      </c>
      <c r="X35" s="1665"/>
      <c r="Y35" s="4492"/>
      <c r="Z35" s="1727">
        <f t="shared" si="13"/>
        <v>111</v>
      </c>
      <c r="AA35" s="1728">
        <f t="shared" si="3"/>
        <v>1</v>
      </c>
      <c r="AB35" s="1728">
        <f t="shared" si="4"/>
        <v>1</v>
      </c>
      <c r="AC35" s="1728">
        <f t="shared" si="5"/>
        <v>1</v>
      </c>
    </row>
    <row r="36" spans="1:29" ht="15">
      <c r="A36" s="1994"/>
      <c r="B36" s="1995">
        <v>111</v>
      </c>
      <c r="C36" s="1779"/>
      <c r="D36" s="1711">
        <v>100</v>
      </c>
      <c r="E36" s="1779"/>
      <c r="F36" s="1711">
        <f>SUMIF(112:112,E37,113:113)-SUMIF(112:112,C37,113:113)+100</f>
        <v>100</v>
      </c>
      <c r="G36" s="1779"/>
      <c r="H36" s="1711">
        <f>SUMIF(112:112,G36,113:113)-SUMIF(112:112,C36,113:113)+100</f>
        <v>100</v>
      </c>
      <c r="I36" s="1971"/>
      <c r="J36" s="1711">
        <f>SUMIF(112:112,I36,113:113)-SUMIF(112:112,C36,113:113)+100</f>
        <v>100</v>
      </c>
      <c r="K36" s="1989"/>
      <c r="L36" s="3000"/>
      <c r="M36" s="2996"/>
      <c r="N36" s="2996"/>
      <c r="O36" s="3044"/>
      <c r="P36" s="4576" t="s">
        <v>2275</v>
      </c>
      <c r="Q36" s="1615">
        <f t="shared" si="8"/>
        <v>111</v>
      </c>
      <c r="R36" s="1725" t="s">
        <v>25</v>
      </c>
      <c r="S36" s="1726">
        <f t="shared" si="10"/>
        <v>100</v>
      </c>
      <c r="T36" s="1725" t="s">
        <v>25</v>
      </c>
      <c r="U36" s="1726">
        <f t="shared" si="11"/>
        <v>100</v>
      </c>
      <c r="V36" s="1725" t="s">
        <v>25</v>
      </c>
      <c r="W36" s="1726">
        <f t="shared" si="12"/>
        <v>100</v>
      </c>
      <c r="X36" s="1665"/>
      <c r="Y36" s="4496" t="s">
        <v>2275</v>
      </c>
      <c r="Z36" s="1727">
        <f t="shared" si="13"/>
        <v>111</v>
      </c>
      <c r="AA36" s="1728">
        <f t="shared" si="3"/>
        <v>1</v>
      </c>
      <c r="AB36" s="1728">
        <f t="shared" si="4"/>
        <v>1</v>
      </c>
      <c r="AC36" s="1728">
        <f t="shared" si="5"/>
        <v>1</v>
      </c>
    </row>
    <row r="37" spans="1:29" s="1771" customFormat="1" ht="15.75" thickBot="1">
      <c r="A37" s="1996"/>
      <c r="B37" s="1997">
        <v>111</v>
      </c>
      <c r="C37" s="1998"/>
      <c r="D37" s="1999">
        <v>100</v>
      </c>
      <c r="E37" s="1998"/>
      <c r="F37" s="1715">
        <f>SUMIF(114:114,E37,115:115)-SUMIF(114:114,C37,115:115)+100</f>
        <v>100</v>
      </c>
      <c r="G37" s="1998"/>
      <c r="H37" s="1715">
        <f>SUMIF(114:114,G37,115:115)-SUMIF(114:114,C37,115:115)+100</f>
        <v>100</v>
      </c>
      <c r="I37" s="2000"/>
      <c r="J37" s="1715">
        <f>SUMIF(114:114,I37,115:115)-SUMIF(114:114,C37,115:115)+100</f>
        <v>100</v>
      </c>
      <c r="K37" s="1989"/>
      <c r="L37" s="2999"/>
      <c r="M37" s="2059"/>
      <c r="N37" s="2059"/>
      <c r="O37" s="3045"/>
      <c r="P37" s="4496"/>
      <c r="Q37" s="1615">
        <f t="shared" si="8"/>
        <v>111</v>
      </c>
      <c r="R37" s="1767" t="s">
        <v>25</v>
      </c>
      <c r="S37" s="1768">
        <f t="shared" si="10"/>
        <v>100</v>
      </c>
      <c r="T37" s="1767" t="s">
        <v>25</v>
      </c>
      <c r="U37" s="1768">
        <f t="shared" si="11"/>
        <v>100</v>
      </c>
      <c r="V37" s="1767" t="s">
        <v>25</v>
      </c>
      <c r="W37" s="1768">
        <f t="shared" si="12"/>
        <v>100</v>
      </c>
      <c r="X37" s="1769"/>
      <c r="Y37" s="4496"/>
      <c r="Z37" s="1770">
        <f t="shared" si="13"/>
        <v>111</v>
      </c>
      <c r="AA37" s="1728">
        <f t="shared" si="3"/>
        <v>1</v>
      </c>
      <c r="AB37" s="1728">
        <f t="shared" si="4"/>
        <v>1</v>
      </c>
      <c r="AC37" s="1728">
        <f t="shared" si="5"/>
        <v>1</v>
      </c>
    </row>
    <row r="38" spans="1:29" ht="15">
      <c r="A38" s="1662" t="s">
        <v>2273</v>
      </c>
      <c r="B38" s="1743" t="s">
        <v>2449</v>
      </c>
      <c r="C38" s="2001"/>
      <c r="D38" s="1762">
        <v>100</v>
      </c>
      <c r="E38" s="2001"/>
      <c r="F38" s="1762" t="e">
        <f>LOOKUP(E38,117:117,118:118)-LOOKUP(C38,117:117,118:118)+100</f>
        <v>#N/A</v>
      </c>
      <c r="G38" s="2001"/>
      <c r="H38" s="1762" t="e">
        <f>LOOKUP(G38,117:117,118:118)-LOOKUP(C38,117:117,118:118)+100</f>
        <v>#N/A</v>
      </c>
      <c r="I38" s="1849"/>
      <c r="J38" s="1762" t="e">
        <f>LOOKUP(I38,117:117,118:118)-LOOKUP(C38,117:117,118:118)+100</f>
        <v>#N/A</v>
      </c>
      <c r="K38" s="1989"/>
      <c r="L38" s="3000"/>
      <c r="M38" s="2996"/>
      <c r="N38" s="2996"/>
      <c r="O38" s="3044"/>
      <c r="P38" s="4496"/>
      <c r="Q38" s="1615" t="str">
        <f>B38</f>
        <v>宗地面积</v>
      </c>
      <c r="R38" s="1725" t="s">
        <v>25</v>
      </c>
      <c r="S38" s="1726" t="e">
        <f t="shared" si="10"/>
        <v>#N/A</v>
      </c>
      <c r="T38" s="1725" t="s">
        <v>25</v>
      </c>
      <c r="U38" s="1726" t="e">
        <f t="shared" si="11"/>
        <v>#N/A</v>
      </c>
      <c r="V38" s="1725" t="s">
        <v>25</v>
      </c>
      <c r="W38" s="1726" t="e">
        <f t="shared" si="12"/>
        <v>#N/A</v>
      </c>
      <c r="X38" s="1665"/>
      <c r="Y38" s="4496"/>
      <c r="Z38" s="1727" t="str">
        <f t="shared" si="13"/>
        <v>宗地面积</v>
      </c>
      <c r="AA38" s="1728" t="e">
        <f t="shared" si="3"/>
        <v>#N/A</v>
      </c>
      <c r="AB38" s="1728" t="e">
        <f t="shared" si="4"/>
        <v>#N/A</v>
      </c>
      <c r="AC38" s="1728" t="e">
        <f t="shared" si="5"/>
        <v>#N/A</v>
      </c>
    </row>
    <row r="39" spans="1:29" ht="15">
      <c r="A39" s="1772"/>
      <c r="B39" s="1695" t="s">
        <v>2450</v>
      </c>
      <c r="C39" s="1755"/>
      <c r="D39" s="1711">
        <v>100</v>
      </c>
      <c r="E39" s="1755"/>
      <c r="F39" s="1711">
        <f>SUMIF(119:119,E39,120:120)-SUMIF(119:119,C39,120:120)+100</f>
        <v>100</v>
      </c>
      <c r="G39" s="1755"/>
      <c r="H39" s="1711">
        <f>SUMIF(119:119,G39,120:120)-SUMIF(119:119,C39,120:120)+100</f>
        <v>100</v>
      </c>
      <c r="I39" s="1755"/>
      <c r="J39" s="1711">
        <f>SUMIF(119:119,I39,120:120)-SUMIF(119:119,C39,120:120)+100</f>
        <v>100</v>
      </c>
      <c r="K39" s="1992"/>
      <c r="L39" s="3000"/>
      <c r="M39" s="2996"/>
      <c r="N39" s="2996"/>
      <c r="O39" s="3044"/>
      <c r="P39" s="4496"/>
      <c r="Q39" s="1615" t="str">
        <f t="shared" ref="Q39:Q45" si="14">B39</f>
        <v>宗地形状</v>
      </c>
      <c r="R39" s="1725" t="s">
        <v>25</v>
      </c>
      <c r="S39" s="1726">
        <f t="shared" si="10"/>
        <v>100</v>
      </c>
      <c r="T39" s="1725" t="s">
        <v>25</v>
      </c>
      <c r="U39" s="1726">
        <f t="shared" si="11"/>
        <v>100</v>
      </c>
      <c r="V39" s="1725" t="s">
        <v>25</v>
      </c>
      <c r="W39" s="1726">
        <f t="shared" si="12"/>
        <v>100</v>
      </c>
      <c r="X39" s="1665"/>
      <c r="Y39" s="4496"/>
      <c r="Z39" s="1727" t="str">
        <f t="shared" si="13"/>
        <v>宗地形状</v>
      </c>
      <c r="AA39" s="1728">
        <f t="shared" si="3"/>
        <v>1</v>
      </c>
      <c r="AB39" s="1728">
        <f t="shared" si="4"/>
        <v>1</v>
      </c>
      <c r="AC39" s="1728">
        <f t="shared" si="5"/>
        <v>1</v>
      </c>
    </row>
    <row r="40" spans="1:29" ht="15">
      <c r="A40" s="1772"/>
      <c r="B40" s="1695" t="s">
        <v>2451</v>
      </c>
      <c r="C40" s="1755"/>
      <c r="D40" s="1711">
        <v>100</v>
      </c>
      <c r="E40" s="1755"/>
      <c r="F40" s="1711">
        <f>SUMIF(121:121,E40,122:122)-SUMIF(121:121,C40,122:122)+100</f>
        <v>100</v>
      </c>
      <c r="G40" s="1755"/>
      <c r="H40" s="1711">
        <f>SUMIF(121:121,G40,122:122)-SUMIF(121:121,C40,122:122)+100</f>
        <v>100</v>
      </c>
      <c r="I40" s="1755"/>
      <c r="J40" s="1711">
        <f>SUMIF(121:121,I40,122:122)-SUMIF(121:121,C40,122:122)+100</f>
        <v>100</v>
      </c>
      <c r="K40" s="1992"/>
      <c r="L40" s="3000"/>
      <c r="M40" s="2996"/>
      <c r="N40" s="2996"/>
      <c r="O40" s="3044"/>
      <c r="P40" s="4496"/>
      <c r="Q40" s="1615" t="str">
        <f t="shared" si="14"/>
        <v>临街宽度及深度</v>
      </c>
      <c r="R40" s="1725" t="s">
        <v>25</v>
      </c>
      <c r="S40" s="1726">
        <f t="shared" si="10"/>
        <v>100</v>
      </c>
      <c r="T40" s="1725" t="s">
        <v>25</v>
      </c>
      <c r="U40" s="1726">
        <f t="shared" si="11"/>
        <v>100</v>
      </c>
      <c r="V40" s="1725" t="s">
        <v>25</v>
      </c>
      <c r="W40" s="1726">
        <f t="shared" si="12"/>
        <v>100</v>
      </c>
      <c r="X40" s="1665"/>
      <c r="Y40" s="4496"/>
      <c r="Z40" s="1727" t="str">
        <f t="shared" si="13"/>
        <v>临街宽度及深度</v>
      </c>
      <c r="AA40" s="1728">
        <f t="shared" si="3"/>
        <v>1</v>
      </c>
      <c r="AB40" s="1728">
        <f t="shared" si="4"/>
        <v>1</v>
      </c>
      <c r="AC40" s="1728">
        <f t="shared" si="5"/>
        <v>1</v>
      </c>
    </row>
    <row r="41" spans="1:29" s="1684" customFormat="1" ht="15">
      <c r="A41" s="1775"/>
      <c r="B41" s="1695" t="s">
        <v>2452</v>
      </c>
      <c r="C41" s="2002"/>
      <c r="D41" s="1697">
        <v>100</v>
      </c>
      <c r="E41" s="2002"/>
      <c r="F41" s="1711">
        <f>SUMIF(123:123,E41,124:124)-SUMIF(123:123,C41,124:124)+100</f>
        <v>100</v>
      </c>
      <c r="G41" s="2002"/>
      <c r="H41" s="1711">
        <f>SUMIF(123:123,G41,124:124)-SUMIF(123:123,C41,124:124)+100</f>
        <v>100</v>
      </c>
      <c r="I41" s="2002"/>
      <c r="J41" s="1711">
        <f>SUMIF(123:123,I41,124:124)-SUMIF(123:123,C41,124:124)+100</f>
        <v>100</v>
      </c>
      <c r="K41" s="1992"/>
      <c r="L41" s="2995"/>
      <c r="M41" s="2968"/>
      <c r="N41" s="2968"/>
      <c r="O41" s="3042"/>
      <c r="P41" s="4496"/>
      <c r="Q41" s="1615" t="str">
        <f t="shared" si="14"/>
        <v>宗地开发程度</v>
      </c>
      <c r="R41" s="1680" t="s">
        <v>25</v>
      </c>
      <c r="S41" s="1681">
        <f t="shared" si="10"/>
        <v>100</v>
      </c>
      <c r="T41" s="1680" t="s">
        <v>25</v>
      </c>
      <c r="U41" s="1681">
        <f t="shared" si="11"/>
        <v>100</v>
      </c>
      <c r="V41" s="1680" t="s">
        <v>25</v>
      </c>
      <c r="W41" s="1681">
        <f t="shared" si="12"/>
        <v>100</v>
      </c>
      <c r="X41" s="1682"/>
      <c r="Y41" s="4496"/>
      <c r="Z41" s="1693" t="str">
        <f t="shared" si="13"/>
        <v>宗地开发程度</v>
      </c>
      <c r="AA41" s="1683">
        <f t="shared" si="3"/>
        <v>1</v>
      </c>
      <c r="AB41" s="1683">
        <f t="shared" si="4"/>
        <v>1</v>
      </c>
      <c r="AC41" s="1683">
        <f t="shared" si="5"/>
        <v>1</v>
      </c>
    </row>
    <row r="42" spans="1:29" ht="15">
      <c r="A42" s="1772"/>
      <c r="B42" s="1695" t="s">
        <v>2453</v>
      </c>
      <c r="C42" s="1755"/>
      <c r="D42" s="1711">
        <v>100</v>
      </c>
      <c r="E42" s="1755"/>
      <c r="F42" s="1711">
        <f>SUMIF(125:125,E42,126:126)-SUMIF(125:125,C42,126:126)+100</f>
        <v>100</v>
      </c>
      <c r="G42" s="1755"/>
      <c r="H42" s="1711">
        <f>SUMIF(125:125,G42,126:126)-SUMIF(125:125,C42,126:126)+100</f>
        <v>100</v>
      </c>
      <c r="I42" s="1755"/>
      <c r="J42" s="1711">
        <f>SUMIF(125:125,I42,126:126)-SUMIF(125:125,C42,126:126)+100</f>
        <v>100</v>
      </c>
      <c r="K42" s="1992"/>
      <c r="L42" s="3000"/>
      <c r="M42" s="2996"/>
      <c r="N42" s="2996"/>
      <c r="O42" s="3044"/>
      <c r="P42" s="4496" t="s">
        <v>2275</v>
      </c>
      <c r="Q42" s="1615" t="str">
        <f t="shared" si="14"/>
        <v>工程地质条件</v>
      </c>
      <c r="R42" s="1725" t="s">
        <v>25</v>
      </c>
      <c r="S42" s="1726">
        <f t="shared" si="10"/>
        <v>100</v>
      </c>
      <c r="T42" s="1725" t="s">
        <v>25</v>
      </c>
      <c r="U42" s="1726">
        <f t="shared" si="11"/>
        <v>100</v>
      </c>
      <c r="V42" s="1725" t="s">
        <v>25</v>
      </c>
      <c r="W42" s="1726">
        <f t="shared" si="12"/>
        <v>100</v>
      </c>
      <c r="X42" s="1665"/>
      <c r="Y42" s="4496" t="s">
        <v>2275</v>
      </c>
      <c r="Z42" s="1727" t="str">
        <f t="shared" si="13"/>
        <v>工程地质条件</v>
      </c>
      <c r="AA42" s="1728">
        <f t="shared" si="3"/>
        <v>1</v>
      </c>
      <c r="AB42" s="1728">
        <f t="shared" si="4"/>
        <v>1</v>
      </c>
      <c r="AC42" s="1728">
        <f t="shared" si="5"/>
        <v>1</v>
      </c>
    </row>
    <row r="43" spans="1:29" ht="15">
      <c r="A43" s="1772"/>
      <c r="B43" s="2003">
        <v>111</v>
      </c>
      <c r="C43" s="1971"/>
      <c r="D43" s="1711">
        <v>100</v>
      </c>
      <c r="E43" s="1971"/>
      <c r="F43" s="1711">
        <f>SUMIF(127:127,E43,128:128)-SUMIF(127:127,C43,128:128)+100</f>
        <v>100</v>
      </c>
      <c r="G43" s="1971"/>
      <c r="H43" s="1711">
        <f>SUMIF(127:127,G43,128:128)-SUMIF(127:127,C43,128:128)+100</f>
        <v>100</v>
      </c>
      <c r="I43" s="1867"/>
      <c r="J43" s="1711">
        <f>SUMIF(127:127,I43,128:128)-SUMIF(127:127,C43,128:128)+100</f>
        <v>100</v>
      </c>
      <c r="K43" s="1989"/>
      <c r="L43" s="3000"/>
      <c r="M43" s="2996"/>
      <c r="N43" s="2996"/>
      <c r="O43" s="3044"/>
      <c r="P43" s="4496"/>
      <c r="Q43" s="1615">
        <f t="shared" si="14"/>
        <v>111</v>
      </c>
      <c r="R43" s="1725" t="s">
        <v>25</v>
      </c>
      <c r="S43" s="1726">
        <f t="shared" si="10"/>
        <v>100</v>
      </c>
      <c r="T43" s="1725" t="s">
        <v>25</v>
      </c>
      <c r="U43" s="1726">
        <f t="shared" si="11"/>
        <v>100</v>
      </c>
      <c r="V43" s="1725" t="s">
        <v>25</v>
      </c>
      <c r="W43" s="1726">
        <f t="shared" si="12"/>
        <v>100</v>
      </c>
      <c r="X43" s="1665"/>
      <c r="Y43" s="4496"/>
      <c r="Z43" s="1727">
        <f t="shared" si="13"/>
        <v>111</v>
      </c>
      <c r="AA43" s="1728">
        <f t="shared" si="3"/>
        <v>1</v>
      </c>
      <c r="AB43" s="1728">
        <f t="shared" si="4"/>
        <v>1</v>
      </c>
      <c r="AC43" s="1728">
        <f t="shared" si="5"/>
        <v>1</v>
      </c>
    </row>
    <row r="44" spans="1:29" ht="15">
      <c r="A44" s="1772"/>
      <c r="B44" s="2003">
        <v>111</v>
      </c>
      <c r="C44" s="1971"/>
      <c r="D44" s="1711">
        <v>100</v>
      </c>
      <c r="E44" s="1971"/>
      <c r="F44" s="1711">
        <f>SUMIF(129:129,E44,130:130)-SUMIF(129:129,C44,130:130)+100</f>
        <v>100</v>
      </c>
      <c r="G44" s="1971"/>
      <c r="H44" s="1711">
        <f>SUMIF(129:129,G44,130:130)-SUMIF(129:129,C44,130:130)+100</f>
        <v>100</v>
      </c>
      <c r="I44" s="1867"/>
      <c r="J44" s="1711">
        <f>SUMIF(129:129,I44,130:130)-SUMIF(129:129,C44,130:130)+100</f>
        <v>100</v>
      </c>
      <c r="K44" s="1989"/>
      <c r="L44" s="3000"/>
      <c r="M44" s="2996"/>
      <c r="N44" s="2996"/>
      <c r="O44" s="3044"/>
      <c r="P44" s="4496"/>
      <c r="Q44" s="1615">
        <f t="shared" si="14"/>
        <v>111</v>
      </c>
      <c r="R44" s="1725" t="s">
        <v>25</v>
      </c>
      <c r="S44" s="1726">
        <f t="shared" si="10"/>
        <v>100</v>
      </c>
      <c r="T44" s="1725" t="s">
        <v>25</v>
      </c>
      <c r="U44" s="1726">
        <f t="shared" si="11"/>
        <v>100</v>
      </c>
      <c r="V44" s="1725" t="s">
        <v>25</v>
      </c>
      <c r="W44" s="1726">
        <f t="shared" si="12"/>
        <v>100</v>
      </c>
      <c r="X44" s="1665"/>
      <c r="Y44" s="4496"/>
      <c r="Z44" s="1727">
        <f t="shared" si="13"/>
        <v>111</v>
      </c>
      <c r="AA44" s="1728">
        <f t="shared" si="3"/>
        <v>1</v>
      </c>
      <c r="AB44" s="1728">
        <f t="shared" si="4"/>
        <v>1</v>
      </c>
      <c r="AC44" s="1728">
        <f t="shared" si="5"/>
        <v>1</v>
      </c>
    </row>
    <row r="45" spans="1:29" s="1771" customFormat="1" ht="15.75" thickBot="1">
      <c r="A45" s="1764"/>
      <c r="B45" s="2003">
        <v>111</v>
      </c>
      <c r="C45" s="2004"/>
      <c r="D45" s="3143">
        <v>100</v>
      </c>
      <c r="E45" s="1971"/>
      <c r="F45" s="1715">
        <f>SUMIF(131:131,E45,132:132)-SUMIF(131:131,C45,132:132)+100</f>
        <v>100</v>
      </c>
      <c r="G45" s="1971"/>
      <c r="H45" s="1715">
        <f>SUMIF(131:131,G45,132:132)-SUMIF(131:131,C45,132:132)+100</f>
        <v>100</v>
      </c>
      <c r="I45" s="1971"/>
      <c r="J45" s="1715">
        <f>SUMIF(131:131,I45,132:132)-SUMIF(131:131,C45,132:132)+100</f>
        <v>100</v>
      </c>
      <c r="K45" s="2005"/>
      <c r="L45" s="2999"/>
      <c r="M45" s="2059"/>
      <c r="N45" s="2059"/>
      <c r="O45" s="3045"/>
      <c r="P45" s="4496"/>
      <c r="Q45" s="1615">
        <f t="shared" si="14"/>
        <v>111</v>
      </c>
      <c r="R45" s="1767" t="s">
        <v>25</v>
      </c>
      <c r="S45" s="1768">
        <f t="shared" si="10"/>
        <v>100</v>
      </c>
      <c r="T45" s="1767" t="s">
        <v>25</v>
      </c>
      <c r="U45" s="1768">
        <f t="shared" si="11"/>
        <v>100</v>
      </c>
      <c r="V45" s="1767" t="s">
        <v>25</v>
      </c>
      <c r="W45" s="1768">
        <f t="shared" si="12"/>
        <v>100</v>
      </c>
      <c r="X45" s="1769"/>
      <c r="Y45" s="4496"/>
      <c r="Z45" s="1770">
        <f t="shared" si="13"/>
        <v>111</v>
      </c>
      <c r="AA45" s="1728">
        <f t="shared" si="3"/>
        <v>1</v>
      </c>
      <c r="AB45" s="1728">
        <f t="shared" si="4"/>
        <v>1</v>
      </c>
      <c r="AC45" s="1728">
        <f t="shared" si="5"/>
        <v>1</v>
      </c>
    </row>
    <row r="46" spans="1:29" ht="15">
      <c r="A46" s="1781" t="s">
        <v>2417</v>
      </c>
      <c r="B46" s="2006" t="s">
        <v>2454</v>
      </c>
      <c r="C46" s="2007" t="s">
        <v>1</v>
      </c>
      <c r="D46" s="2008"/>
      <c r="E46" s="2009"/>
      <c r="F46" s="2010"/>
      <c r="G46" s="2011"/>
      <c r="H46" s="2012"/>
      <c r="I46" s="2009"/>
      <c r="J46" s="2012"/>
      <c r="K46" s="2013"/>
      <c r="L46" s="3001"/>
      <c r="N46" s="2996"/>
      <c r="P46" s="4488" t="str">
        <f>A46</f>
        <v>成交单价</v>
      </c>
      <c r="Q46" s="4488"/>
      <c r="R46" s="4525">
        <f>E46</f>
        <v>0</v>
      </c>
      <c r="S46" s="4525"/>
      <c r="T46" s="4525">
        <f>G46</f>
        <v>0</v>
      </c>
      <c r="U46" s="4525"/>
      <c r="V46" s="4525">
        <f>I46</f>
        <v>0</v>
      </c>
      <c r="W46" s="4525"/>
      <c r="X46" s="1791"/>
      <c r="Y46" s="1792"/>
      <c r="Z46" s="1791"/>
      <c r="AA46" s="1791"/>
      <c r="AB46" s="1791"/>
      <c r="AC46" s="1791"/>
    </row>
    <row r="47" spans="1:29" ht="15.75" thickBot="1">
      <c r="A47" s="1793" t="s">
        <v>2370</v>
      </c>
      <c r="B47" s="2014"/>
      <c r="C47" s="2015" t="e">
        <f>R48</f>
        <v>#DIV/0!</v>
      </c>
      <c r="D47" s="1796" t="s">
        <v>2738</v>
      </c>
      <c r="E47" s="2015" t="e">
        <f>R47</f>
        <v>#DIV/0!</v>
      </c>
      <c r="F47" s="1798"/>
      <c r="G47" s="2016" t="e">
        <f>T47</f>
        <v>#DIV/0!</v>
      </c>
      <c r="H47" s="1798"/>
      <c r="I47" s="2015" t="e">
        <f>V47</f>
        <v>#DIV/0!</v>
      </c>
      <c r="J47" s="1798"/>
      <c r="K47" s="2509">
        <f>F47+H47+J47</f>
        <v>0</v>
      </c>
      <c r="L47" s="3001"/>
      <c r="P47" s="4488" t="str">
        <f>A47</f>
        <v>比较价值（元/平方米）</v>
      </c>
      <c r="Q47" s="4488"/>
      <c r="R47" s="4574" t="e">
        <f>ROUND(PRODUCT(R46,AA7:AA45),0)</f>
        <v>#DIV/0!</v>
      </c>
      <c r="S47" s="4574"/>
      <c r="T47" s="4574" t="e">
        <f>ROUND(PRODUCT(T46,AB7:AB45),0)</f>
        <v>#DIV/0!</v>
      </c>
      <c r="U47" s="4574"/>
      <c r="V47" s="4574" t="e">
        <f>ROUND(PRODUCT(V46,AC7:AC45),0)</f>
        <v>#DIV/0!</v>
      </c>
      <c r="W47" s="4574"/>
      <c r="X47" s="1791"/>
      <c r="Y47" s="1791"/>
      <c r="Z47" s="1791"/>
      <c r="AA47" s="1791"/>
      <c r="AB47" s="1791"/>
      <c r="AC47" s="1791"/>
    </row>
    <row r="48" spans="1:29" ht="15.75" thickBot="1">
      <c r="A48" s="1799" t="s">
        <v>2393</v>
      </c>
      <c r="B48" s="1800"/>
      <c r="C48" s="2017" t="e">
        <f>R48</f>
        <v>#DIV/0!</v>
      </c>
      <c r="D48" s="2017"/>
      <c r="E48" s="2017"/>
      <c r="F48" s="2017"/>
      <c r="G48" s="2017"/>
      <c r="H48" s="2017"/>
      <c r="I48" s="2017"/>
      <c r="J48" s="2017"/>
      <c r="K48" s="2018"/>
      <c r="L48" s="3001"/>
      <c r="P48" s="4485" t="str">
        <f>A48</f>
        <v>估价对象XX用房的比较价值（楼面单价，元/平方米）</v>
      </c>
      <c r="Q48" s="4486"/>
      <c r="R48" s="4575" t="e">
        <f>ROUND(IF(D47="简单平均",AVERAGE(R47:W47),R47*F47+T47*H47+V47*J47),0)</f>
        <v>#DIV/0!</v>
      </c>
      <c r="S48" s="4575"/>
      <c r="T48" s="4575"/>
      <c r="U48" s="4575"/>
      <c r="V48" s="4575"/>
      <c r="W48" s="4575"/>
      <c r="X48" s="1791"/>
      <c r="Y48" s="1791"/>
      <c r="Z48" s="1791"/>
      <c r="AA48" s="1791"/>
      <c r="AB48" s="1791"/>
      <c r="AC48" s="1791"/>
    </row>
    <row r="49" spans="1:14">
      <c r="G49" s="3005"/>
    </row>
    <row r="51" spans="1:14" ht="13.5" customHeight="1">
      <c r="C51" s="383" t="s">
        <v>2372</v>
      </c>
      <c r="D51" s="1807"/>
      <c r="E51" s="1808" t="e">
        <f>IF(E46&lt;E47,E47/E46-1,E46/E47-1)</f>
        <v>#DIV/0!</v>
      </c>
      <c r="F51" s="1809" t="e">
        <f>IF(OR(E51&gt;=0.3,E51&lt;=-0.3),"超过30%","")</f>
        <v>#DIV/0!</v>
      </c>
      <c r="G51" s="1808" t="e">
        <f>IF(G46&lt;G47,G47/G46-1,G46/G47-1)</f>
        <v>#DIV/0!</v>
      </c>
      <c r="H51" s="1809" t="e">
        <f>IF(OR(G51&gt;=0.3,G51&lt;=-0.3),"超过30%","")</f>
        <v>#DIV/0!</v>
      </c>
      <c r="I51" s="1808" t="e">
        <f>IF(I46&lt;I47,I47/I46-1,I46/I47-1)</f>
        <v>#DIV/0!</v>
      </c>
      <c r="J51" s="1809" t="e">
        <f>IF(OR(I51&gt;=0.3,I51&lt;=-0.3),"超过30%","")</f>
        <v>#DIV/0!</v>
      </c>
    </row>
    <row r="52" spans="1:14" ht="13.5" customHeight="1">
      <c r="C52" s="383" t="s">
        <v>2373</v>
      </c>
      <c r="D52" s="1810"/>
      <c r="E52" s="1808" t="e">
        <f>IF(E47&lt;G47,G47/E47-1,E47/G47-1)</f>
        <v>#DIV/0!</v>
      </c>
      <c r="F52" s="1809" t="e">
        <f>IF(OR(E52&gt;=0.2,E52&lt;=-0.2),"超过20%","")</f>
        <v>#DIV/0!</v>
      </c>
      <c r="G52" s="1808" t="e">
        <f>IF(G47&lt;I47,I47/G47-1,G47/I47-1)</f>
        <v>#DIV/0!</v>
      </c>
      <c r="H52" s="1809" t="e">
        <f>IF(OR(G52&gt;=0.2,G52&lt;=-0.2),"超过20%","")</f>
        <v>#DIV/0!</v>
      </c>
      <c r="I52" s="1808" t="e">
        <f>IF(I47&lt;E47,E47/I47-1,I47/E47-1)</f>
        <v>#DIV/0!</v>
      </c>
      <c r="J52" s="1809" t="e">
        <f>IF(OR(I52&gt;=0.2,I52&lt;=-0.2),"超过20%","")</f>
        <v>#DIV/0!</v>
      </c>
    </row>
    <row r="53" spans="1:14" s="1813" customFormat="1" ht="13.5" customHeight="1">
      <c r="C53" s="383" t="s">
        <v>2374</v>
      </c>
      <c r="D53" s="1810"/>
      <c r="E53" s="1808" t="e">
        <f>IF(E46&lt;G46,G46/E46-1,E46/G46-1)</f>
        <v>#DIV/0!</v>
      </c>
      <c r="F53" s="1809" t="e">
        <f>IF(OR(E53&gt;=0.3,E53&lt;=-0.3),"超过30%","")</f>
        <v>#DIV/0!</v>
      </c>
      <c r="G53" s="1808" t="e">
        <f>IF(G46&lt;I46,I46/G46-1,G46/I46-1)</f>
        <v>#DIV/0!</v>
      </c>
      <c r="H53" s="1809" t="e">
        <f>IF(OR(G53&gt;=0.3,G53&lt;=-0.3),"超过30%","")</f>
        <v>#DIV/0!</v>
      </c>
      <c r="I53" s="1808" t="e">
        <f>IF(I46&lt;E46,E46/I46-1,I46/E46-1)</f>
        <v>#DIV/0!</v>
      </c>
      <c r="J53" s="1809" t="e">
        <f>IF(OR(I53&gt;=0.3,I53&lt;=-0.3),"超过30%","")</f>
        <v>#DIV/0!</v>
      </c>
      <c r="K53" s="3008"/>
      <c r="L53" s="3002"/>
    </row>
    <row r="54" spans="1:14" s="1813" customFormat="1" ht="15" thickBot="1">
      <c r="B54" s="3006"/>
      <c r="C54" s="3007"/>
      <c r="K54" s="3008"/>
      <c r="L54" s="3002"/>
    </row>
    <row r="55" spans="1:14" ht="27">
      <c r="A55" s="564" t="s">
        <v>2455</v>
      </c>
      <c r="B55" s="2019" t="s">
        <v>2456</v>
      </c>
      <c r="C55" s="2020" t="s">
        <v>2457</v>
      </c>
      <c r="D55" s="2021" t="s">
        <v>2458</v>
      </c>
      <c r="E55" s="2022" t="s">
        <v>2459</v>
      </c>
      <c r="F55" s="2023" t="s">
        <v>2460</v>
      </c>
      <c r="G55" s="1918" t="s">
        <v>2461</v>
      </c>
      <c r="H55" s="1918">
        <f>项目基本情况!G8</f>
        <v>0</v>
      </c>
      <c r="I55" s="1593" t="s">
        <v>2462</v>
      </c>
      <c r="J55" s="2024"/>
      <c r="K55" s="1805"/>
    </row>
    <row r="56" spans="1:14" s="2031" customFormat="1">
      <c r="A56" s="2025" t="s">
        <v>2463</v>
      </c>
      <c r="B56" s="2026" t="e">
        <f>C48</f>
        <v>#DIV/0!</v>
      </c>
      <c r="C56" s="280">
        <v>1</v>
      </c>
      <c r="D56" s="2027">
        <v>1</v>
      </c>
      <c r="E56" s="2028">
        <v>120</v>
      </c>
      <c r="F56" s="2029" t="e">
        <f t="shared" ref="F56:F65" si="15">ROUND(B56*E56,0)</f>
        <v>#DIV/0!</v>
      </c>
      <c r="G56" s="2030">
        <v>1</v>
      </c>
      <c r="H56" s="2030">
        <v>1</v>
      </c>
      <c r="I56" s="1813"/>
      <c r="J56" s="1813"/>
      <c r="K56" s="3008"/>
      <c r="L56" s="3002"/>
      <c r="M56" s="1813"/>
      <c r="N56" s="1813"/>
    </row>
    <row r="57" spans="1:14" s="2031" customFormat="1">
      <c r="A57" s="2032" t="s">
        <v>2464</v>
      </c>
      <c r="B57" s="2033" t="e">
        <f>ROUND($C$48*C57*D57,0)</f>
        <v>#DIV/0!</v>
      </c>
      <c r="C57" s="50">
        <f>IF($C$55="北京市系数",G57,H57)</f>
        <v>0.7</v>
      </c>
      <c r="D57" s="2034">
        <v>0.25</v>
      </c>
      <c r="E57" s="2028">
        <v>0</v>
      </c>
      <c r="F57" s="2029" t="e">
        <f t="shared" si="15"/>
        <v>#DIV/0!</v>
      </c>
      <c r="G57" s="2030">
        <f>SUMIF(修正!$A$45:$A$56,项目基本情况!$F$9,修正!B45:B56)</f>
        <v>0.7</v>
      </c>
      <c r="H57" s="2035"/>
      <c r="I57" s="1666"/>
      <c r="J57" s="1909"/>
      <c r="K57" s="1910"/>
      <c r="L57" s="1910"/>
      <c r="M57" s="1666"/>
      <c r="N57" s="1666"/>
    </row>
    <row r="58" spans="1:14" s="2031" customFormat="1">
      <c r="A58" s="2032" t="s">
        <v>2465</v>
      </c>
      <c r="B58" s="2033" t="e">
        <f t="shared" ref="B58:B65" si="16">ROUND($C$48*C58*D58,0)</f>
        <v>#DIV/0!</v>
      </c>
      <c r="C58" s="50">
        <f t="shared" ref="C58:C65" si="17">IF($C$55="北京市系数",G58,H58)</f>
        <v>0.4</v>
      </c>
      <c r="D58" s="2034">
        <v>0.25</v>
      </c>
      <c r="E58" s="2028">
        <v>0</v>
      </c>
      <c r="F58" s="2029" t="e">
        <f t="shared" si="15"/>
        <v>#DIV/0!</v>
      </c>
      <c r="G58" s="2030">
        <f>SUMIF(修正!$A$45:$A$56,项目基本情况!$F$9,修正!C45:C56)</f>
        <v>0.4</v>
      </c>
      <c r="H58" s="2035"/>
      <c r="I58" s="1813"/>
      <c r="J58" s="1813"/>
      <c r="K58" s="3008"/>
      <c r="L58" s="3002"/>
      <c r="M58" s="1813"/>
      <c r="N58" s="1813"/>
    </row>
    <row r="59" spans="1:14" s="2031" customFormat="1">
      <c r="A59" s="2032" t="s">
        <v>2466</v>
      </c>
      <c r="B59" s="2033" t="e">
        <f t="shared" si="16"/>
        <v>#DIV/0!</v>
      </c>
      <c r="C59" s="50">
        <f t="shared" si="17"/>
        <v>0.28000000000000003</v>
      </c>
      <c r="D59" s="2034">
        <v>0.25</v>
      </c>
      <c r="E59" s="2028">
        <v>0</v>
      </c>
      <c r="F59" s="2029" t="e">
        <f t="shared" si="15"/>
        <v>#DIV/0!</v>
      </c>
      <c r="G59" s="2030">
        <f>SUMIF(修正!$A$45:$A$56,项目基本情况!$F$9,修正!D45:D56)</f>
        <v>0.28000000000000003</v>
      </c>
      <c r="H59" s="2035"/>
      <c r="I59" s="1666"/>
      <c r="J59" s="1909"/>
      <c r="K59" s="1910"/>
      <c r="L59" s="1910"/>
      <c r="M59" s="1666"/>
      <c r="N59" s="1666"/>
    </row>
    <row r="60" spans="1:14" s="2031" customFormat="1">
      <c r="A60" s="2032" t="s">
        <v>2467</v>
      </c>
      <c r="B60" s="2033" t="e">
        <f t="shared" si="16"/>
        <v>#DIV/0!</v>
      </c>
      <c r="C60" s="50">
        <f t="shared" si="17"/>
        <v>0.25</v>
      </c>
      <c r="D60" s="2034">
        <v>0.25</v>
      </c>
      <c r="E60" s="2028">
        <v>0</v>
      </c>
      <c r="F60" s="2029" t="e">
        <f t="shared" si="15"/>
        <v>#DIV/0!</v>
      </c>
      <c r="G60" s="2030">
        <f>SUMIF(修正!$A$45:$A$56,项目基本情况!$F$9,修正!E45:E56)</f>
        <v>0.25</v>
      </c>
      <c r="H60" s="2035"/>
      <c r="I60" s="1813"/>
      <c r="J60" s="1813"/>
      <c r="K60" s="3008"/>
      <c r="L60" s="3002"/>
      <c r="M60" s="1813"/>
      <c r="N60" s="1813"/>
    </row>
    <row r="61" spans="1:14" s="2031" customFormat="1">
      <c r="A61" s="2032" t="s">
        <v>2468</v>
      </c>
      <c r="B61" s="2033" t="e">
        <f t="shared" si="16"/>
        <v>#DIV/0!</v>
      </c>
      <c r="C61" s="50">
        <f t="shared" si="17"/>
        <v>0.25</v>
      </c>
      <c r="D61" s="2034">
        <v>0.25</v>
      </c>
      <c r="E61" s="2028">
        <v>0</v>
      </c>
      <c r="F61" s="2029" t="e">
        <f t="shared" si="15"/>
        <v>#DIV/0!</v>
      </c>
      <c r="G61" s="2030">
        <f>SUMIF(修正!A45:A56,项目基本情况!F9,修正!F45:F56)</f>
        <v>0.25</v>
      </c>
      <c r="H61" s="2035"/>
      <c r="I61" s="1666"/>
      <c r="J61" s="1909"/>
      <c r="K61" s="1910"/>
      <c r="L61" s="1910"/>
      <c r="M61" s="1666"/>
      <c r="N61" s="1666"/>
    </row>
    <row r="62" spans="1:14" s="2031" customFormat="1">
      <c r="A62" s="2032" t="s">
        <v>2469</v>
      </c>
      <c r="B62" s="2033" t="e">
        <f t="shared" si="16"/>
        <v>#DIV/0!</v>
      </c>
      <c r="C62" s="50">
        <f t="shared" si="17"/>
        <v>0.25</v>
      </c>
      <c r="D62" s="2034">
        <v>0.25</v>
      </c>
      <c r="E62" s="2028">
        <v>0</v>
      </c>
      <c r="F62" s="2029" t="e">
        <f t="shared" si="15"/>
        <v>#DIV/0!</v>
      </c>
      <c r="G62" s="2030">
        <f>SUMIF(修正!A45:A56,项目基本情况!F9,修正!G45:G56)</f>
        <v>0.25</v>
      </c>
      <c r="H62" s="2035"/>
      <c r="I62" s="1813"/>
      <c r="J62" s="1813"/>
      <c r="K62" s="3008"/>
      <c r="L62" s="3002"/>
      <c r="M62" s="1813"/>
      <c r="N62" s="1813"/>
    </row>
    <row r="63" spans="1:14" s="2031" customFormat="1">
      <c r="A63" s="2032" t="s">
        <v>2470</v>
      </c>
      <c r="B63" s="2033" t="e">
        <f t="shared" si="16"/>
        <v>#DIV/0!</v>
      </c>
      <c r="C63" s="50">
        <f>IF($C$55="北京市系数",G63,H63)</f>
        <v>0.2</v>
      </c>
      <c r="D63" s="2034">
        <v>0.25</v>
      </c>
      <c r="E63" s="2028">
        <v>0</v>
      </c>
      <c r="F63" s="2029" t="e">
        <f t="shared" si="15"/>
        <v>#DIV/0!</v>
      </c>
      <c r="G63" s="2030">
        <f>SUMIF(修正!A45:A56,项目基本情况!F9,修正!H45:H56)</f>
        <v>0.2</v>
      </c>
      <c r="H63" s="2035"/>
      <c r="I63" s="1666"/>
      <c r="J63" s="1909"/>
      <c r="K63" s="1910"/>
      <c r="L63" s="1910"/>
      <c r="M63" s="1666"/>
      <c r="N63" s="1666"/>
    </row>
    <row r="64" spans="1:14" s="2031" customFormat="1">
      <c r="A64" s="2032" t="s">
        <v>2471</v>
      </c>
      <c r="B64" s="2033" t="e">
        <f t="shared" si="16"/>
        <v>#DIV/0!</v>
      </c>
      <c r="C64" s="50">
        <f t="shared" si="17"/>
        <v>0.2</v>
      </c>
      <c r="D64" s="2034">
        <v>0.25</v>
      </c>
      <c r="E64" s="2028">
        <v>0</v>
      </c>
      <c r="F64" s="2029" t="e">
        <f t="shared" si="15"/>
        <v>#DIV/0!</v>
      </c>
      <c r="G64" s="2030">
        <f>G63</f>
        <v>0.2</v>
      </c>
      <c r="H64" s="2035"/>
      <c r="I64" s="1813"/>
      <c r="J64" s="1813"/>
      <c r="K64" s="3008"/>
      <c r="L64" s="3002"/>
      <c r="M64" s="1813"/>
      <c r="N64" s="1813"/>
    </row>
    <row r="65" spans="1:17" s="2031" customFormat="1">
      <c r="A65" s="2032" t="s">
        <v>2472</v>
      </c>
      <c r="B65" s="2033" t="e">
        <f t="shared" si="16"/>
        <v>#DIV/0!</v>
      </c>
      <c r="C65" s="50">
        <f t="shared" si="17"/>
        <v>0.2</v>
      </c>
      <c r="D65" s="2034">
        <v>0.25</v>
      </c>
      <c r="E65" s="2028">
        <v>0</v>
      </c>
      <c r="F65" s="2029" t="e">
        <f t="shared" si="15"/>
        <v>#DIV/0!</v>
      </c>
      <c r="G65" s="2030">
        <f>G63</f>
        <v>0.2</v>
      </c>
      <c r="H65" s="2035"/>
      <c r="I65" s="1666"/>
      <c r="J65" s="1909"/>
      <c r="K65" s="1910"/>
      <c r="L65" s="1910"/>
      <c r="M65" s="1666"/>
      <c r="N65" s="1666"/>
    </row>
    <row r="66" spans="1:17" s="2031" customFormat="1" ht="13.5" thickBot="1">
      <c r="A66" s="2036" t="s">
        <v>2473</v>
      </c>
      <c r="B66" s="2037" t="s">
        <v>39</v>
      </c>
      <c r="C66" s="2037" t="s">
        <v>40</v>
      </c>
      <c r="D66" s="2037" t="s">
        <v>36</v>
      </c>
      <c r="E66" s="2037">
        <f>SUM(E56:E65)</f>
        <v>120</v>
      </c>
      <c r="F66" s="2038" t="e">
        <f>SUM(F56:F65)</f>
        <v>#DIV/0!</v>
      </c>
      <c r="G66" s="2039"/>
      <c r="H66" s="2039"/>
      <c r="I66" s="3046"/>
      <c r="J66" s="3046"/>
      <c r="K66" s="3046"/>
    </row>
    <row r="67" spans="1:17">
      <c r="A67" s="1790"/>
      <c r="B67" s="1814"/>
      <c r="C67" s="1815"/>
      <c r="D67" s="1790"/>
      <c r="E67" s="1790"/>
      <c r="F67" s="1790"/>
      <c r="G67" s="1790"/>
      <c r="H67" s="1790"/>
      <c r="I67" s="1790"/>
      <c r="J67" s="1790"/>
      <c r="K67" s="1804"/>
      <c r="L67" s="1805"/>
      <c r="M67" s="1790"/>
      <c r="N67" s="1790"/>
      <c r="O67" s="1790"/>
    </row>
    <row r="68" spans="1:17" s="2041" customFormat="1">
      <c r="A68" s="1791"/>
      <c r="B68" s="2040"/>
      <c r="C68" s="2040" t="str">
        <f>YEAR(C7)&amp;"-"&amp;MONTH(C7)&amp;"-1"</f>
        <v>2016-2-1</v>
      </c>
      <c r="D68" s="2040">
        <f>EDATE(C68,-3)</f>
        <v>42309</v>
      </c>
      <c r="E68" s="2040">
        <f t="shared" ref="E68:O68" si="18">EDATE(D68,-3)</f>
        <v>42217</v>
      </c>
      <c r="F68" s="2040">
        <f t="shared" si="18"/>
        <v>42125</v>
      </c>
      <c r="G68" s="2040">
        <f t="shared" si="18"/>
        <v>42036</v>
      </c>
      <c r="H68" s="2040">
        <f t="shared" si="18"/>
        <v>41944</v>
      </c>
      <c r="I68" s="2040">
        <f t="shared" si="18"/>
        <v>41852</v>
      </c>
      <c r="J68" s="2040">
        <f t="shared" si="18"/>
        <v>41760</v>
      </c>
      <c r="K68" s="2040">
        <f t="shared" si="18"/>
        <v>41671</v>
      </c>
      <c r="L68" s="2040">
        <f t="shared" si="18"/>
        <v>41579</v>
      </c>
      <c r="M68" s="2040">
        <f t="shared" si="18"/>
        <v>41487</v>
      </c>
      <c r="N68" s="2040">
        <f t="shared" si="18"/>
        <v>41395</v>
      </c>
      <c r="O68" s="2040">
        <f t="shared" si="18"/>
        <v>41306</v>
      </c>
    </row>
    <row r="69" spans="1:17" ht="21.75" thickBot="1">
      <c r="A69" s="1816" t="s">
        <v>2375</v>
      </c>
      <c r="B69" s="1791"/>
      <c r="C69" s="1817"/>
      <c r="D69" s="1817"/>
      <c r="E69" s="1817"/>
      <c r="F69" s="1817"/>
      <c r="G69" s="1817"/>
      <c r="H69" s="1817"/>
      <c r="I69" s="2042"/>
      <c r="J69" s="2042"/>
      <c r="K69" s="2043"/>
      <c r="L69" s="2044"/>
      <c r="M69" s="2042"/>
      <c r="N69" s="2042"/>
      <c r="O69" s="2042"/>
      <c r="P69" s="2045"/>
      <c r="Q69" s="1821"/>
    </row>
    <row r="70" spans="1:17" s="2050" customFormat="1" ht="15">
      <c r="A70" s="2046" t="s">
        <v>2474</v>
      </c>
      <c r="B70" s="2047"/>
      <c r="C70" s="2048" t="str">
        <f>YEAR(C68)&amp;"-"&amp;ROUNDUP(MONTH(C68)/3,0)</f>
        <v>2016-1</v>
      </c>
      <c r="D70" s="2048" t="str">
        <f>YEAR(D68)&amp;"-"&amp;ROUNDUP(MONTH(D68)/3,0)</f>
        <v>2015-4</v>
      </c>
      <c r="E70" s="2048" t="str">
        <f t="shared" ref="E70:O70" si="19">YEAR(E68)&amp;"-"&amp;ROUNDUP(MONTH(E68)/3,0)</f>
        <v>2015-3</v>
      </c>
      <c r="F70" s="2048" t="str">
        <f t="shared" si="19"/>
        <v>2015-2</v>
      </c>
      <c r="G70" s="2048" t="str">
        <f t="shared" si="19"/>
        <v>2015-1</v>
      </c>
      <c r="H70" s="2048" t="str">
        <f t="shared" si="19"/>
        <v>2014-4</v>
      </c>
      <c r="I70" s="2048" t="str">
        <f t="shared" si="19"/>
        <v>2014-3</v>
      </c>
      <c r="J70" s="2048" t="str">
        <f t="shared" si="19"/>
        <v>2014-2</v>
      </c>
      <c r="K70" s="2048" t="str">
        <f t="shared" si="19"/>
        <v>2014-1</v>
      </c>
      <c r="L70" s="2048" t="str">
        <f t="shared" si="19"/>
        <v>2013-4</v>
      </c>
      <c r="M70" s="2048" t="str">
        <f t="shared" si="19"/>
        <v>2013-3</v>
      </c>
      <c r="N70" s="2048" t="str">
        <f t="shared" si="19"/>
        <v>2013-2</v>
      </c>
      <c r="O70" s="2048" t="str">
        <f t="shared" si="19"/>
        <v>2013-1</v>
      </c>
      <c r="P70" s="2049"/>
    </row>
    <row r="71" spans="1:17" s="1684" customFormat="1" ht="29.25" customHeight="1">
      <c r="A71" s="2051" t="s">
        <v>2475</v>
      </c>
      <c r="B71" s="2052" t="str">
        <f>"北京市平均增长率"&amp;TEXT(SUMIF(基准地价修正!N21:N25,A71,基准地价修正!P21:P25),"0.00%")</f>
        <v>北京市平均增长率1.38%</v>
      </c>
      <c r="C71" s="1905">
        <v>100</v>
      </c>
      <c r="D71" s="1901"/>
      <c r="E71" s="1901"/>
      <c r="F71" s="1901"/>
      <c r="G71" s="1901"/>
      <c r="H71" s="1901"/>
      <c r="I71" s="1901"/>
      <c r="J71" s="1901"/>
      <c r="K71" s="1901"/>
      <c r="L71" s="1901"/>
      <c r="M71" s="2053"/>
      <c r="N71" s="1901"/>
      <c r="O71" s="2054"/>
      <c r="P71" s="1821"/>
    </row>
    <row r="72" spans="1:17" s="1684" customFormat="1" ht="15.75" thickBot="1">
      <c r="A72" s="1834" t="s">
        <v>2295</v>
      </c>
      <c r="B72" s="1835"/>
      <c r="C72" s="1836"/>
      <c r="D72" s="1837"/>
      <c r="E72" s="1837"/>
      <c r="F72" s="1837"/>
      <c r="G72" s="1837"/>
      <c r="H72" s="1837"/>
      <c r="I72" s="1837"/>
      <c r="J72" s="1837"/>
      <c r="K72" s="1837"/>
      <c r="L72" s="1837"/>
      <c r="M72" s="1838"/>
      <c r="N72" s="1837"/>
      <c r="O72" s="2055"/>
      <c r="P72" s="1821"/>
      <c r="Q72" s="1821"/>
    </row>
    <row r="73" spans="1:17" s="1684" customFormat="1" ht="15">
      <c r="A73" s="1839" t="s">
        <v>2259</v>
      </c>
      <c r="B73" s="1829"/>
      <c r="C73" s="1840" t="s">
        <v>2260</v>
      </c>
      <c r="D73" s="409"/>
      <c r="E73" s="409"/>
      <c r="F73" s="409"/>
      <c r="G73" s="409"/>
      <c r="H73" s="409"/>
      <c r="I73" s="409"/>
      <c r="J73" s="409"/>
      <c r="K73" s="409"/>
      <c r="L73" s="409"/>
      <c r="M73" s="1841"/>
      <c r="N73" s="3013"/>
      <c r="O73" s="3013"/>
      <c r="P73" s="2056"/>
      <c r="Q73" s="1821"/>
    </row>
    <row r="74" spans="1:17" s="1684" customFormat="1" ht="15.75" thickBot="1">
      <c r="A74" s="1839"/>
      <c r="B74" s="1829"/>
      <c r="C74" s="1830">
        <v>100</v>
      </c>
      <c r="D74" s="1831"/>
      <c r="E74" s="1831"/>
      <c r="F74" s="1831"/>
      <c r="G74" s="1831"/>
      <c r="H74" s="1831"/>
      <c r="I74" s="1831"/>
      <c r="J74" s="1831"/>
      <c r="K74" s="1831"/>
      <c r="L74" s="1831"/>
      <c r="M74" s="1845"/>
      <c r="N74" s="3013"/>
      <c r="O74" s="3013"/>
      <c r="P74" s="1821"/>
      <c r="Q74" s="1821"/>
    </row>
    <row r="75" spans="1:17">
      <c r="A75" s="1846" t="s">
        <v>2298</v>
      </c>
      <c r="B75" s="1847" t="s">
        <v>2263</v>
      </c>
      <c r="C75" s="1849"/>
      <c r="D75" s="1849"/>
      <c r="E75" s="1849"/>
      <c r="F75" s="1849"/>
      <c r="G75" s="1849"/>
      <c r="H75" s="1849"/>
      <c r="I75" s="1849"/>
      <c r="J75" s="1849"/>
      <c r="K75" s="417"/>
      <c r="L75" s="417"/>
      <c r="M75" s="1850"/>
      <c r="N75" s="3014"/>
      <c r="O75" s="3014"/>
      <c r="P75" s="2057"/>
      <c r="Q75" s="1821"/>
    </row>
    <row r="76" spans="1:17" ht="15.75" thickBot="1">
      <c r="A76" s="1853"/>
      <c r="B76" s="1854"/>
      <c r="C76" s="1855"/>
      <c r="D76" s="1855"/>
      <c r="E76" s="1855"/>
      <c r="F76" s="1855"/>
      <c r="G76" s="1855"/>
      <c r="H76" s="1855"/>
      <c r="I76" s="1855"/>
      <c r="J76" s="1855"/>
      <c r="K76" s="1855"/>
      <c r="L76" s="1855"/>
      <c r="M76" s="1856"/>
      <c r="N76" s="3015"/>
      <c r="O76" s="3015"/>
      <c r="P76" s="2057"/>
      <c r="Q76" s="1821"/>
    </row>
    <row r="77" spans="1:17" ht="27.75" thickTop="1">
      <c r="A77" s="1853"/>
      <c r="B77" s="1858" t="s">
        <v>2266</v>
      </c>
      <c r="C77" s="1859"/>
      <c r="D77" s="1859"/>
      <c r="E77" s="1859"/>
      <c r="F77" s="1859"/>
      <c r="G77" s="1859"/>
      <c r="H77" s="1859"/>
      <c r="I77" s="1859"/>
      <c r="J77" s="1859"/>
      <c r="K77" s="428"/>
      <c r="L77" s="428"/>
      <c r="M77" s="1860"/>
      <c r="N77" s="3014"/>
      <c r="O77" s="3014"/>
      <c r="P77" s="2057"/>
      <c r="Q77" s="1821"/>
    </row>
    <row r="78" spans="1:17" ht="15.75" thickBot="1">
      <c r="A78" s="1853"/>
      <c r="B78" s="1861"/>
      <c r="C78" s="1862"/>
      <c r="D78" s="1862"/>
      <c r="E78" s="1862"/>
      <c r="F78" s="1862"/>
      <c r="G78" s="1862"/>
      <c r="H78" s="1862"/>
      <c r="I78" s="1862"/>
      <c r="J78" s="1862"/>
      <c r="K78" s="1862"/>
      <c r="L78" s="1862"/>
      <c r="M78" s="1863"/>
      <c r="N78" s="3015"/>
      <c r="O78" s="3015"/>
      <c r="P78" s="2057"/>
      <c r="Q78" s="1821"/>
    </row>
    <row r="79" spans="1:17" ht="15.75" thickTop="1">
      <c r="A79" s="1853"/>
      <c r="B79" s="1864" t="s">
        <v>2267</v>
      </c>
      <c r="C79" s="1865" t="str">
        <f>C80&amp;"（含）"&amp;"-"&amp;D80</f>
        <v>（含）-</v>
      </c>
      <c r="D79" s="1865" t="str">
        <f t="shared" ref="D79:L79" si="20">D80&amp;"（含）"&amp;"-"&amp;E80</f>
        <v>（含）-</v>
      </c>
      <c r="E79" s="1865" t="str">
        <f t="shared" si="20"/>
        <v>（含）-</v>
      </c>
      <c r="F79" s="1865" t="str">
        <f t="shared" si="20"/>
        <v>（含）-</v>
      </c>
      <c r="G79" s="1865" t="str">
        <f t="shared" si="20"/>
        <v>（含）-</v>
      </c>
      <c r="H79" s="1865" t="str">
        <f t="shared" si="20"/>
        <v>（含）-</v>
      </c>
      <c r="I79" s="1865" t="str">
        <f t="shared" si="20"/>
        <v>（含）-</v>
      </c>
      <c r="J79" s="1865" t="str">
        <f t="shared" si="20"/>
        <v>（含）-</v>
      </c>
      <c r="K79" s="1865" t="str">
        <f t="shared" si="20"/>
        <v>（含）-</v>
      </c>
      <c r="L79" s="1865" t="str">
        <f t="shared" si="20"/>
        <v>（含）-</v>
      </c>
      <c r="M79" s="1731" t="str">
        <f>M80&amp;"（含）"&amp;"-"&amp;P80</f>
        <v>（含）-</v>
      </c>
      <c r="N79" s="3015"/>
      <c r="O79" s="3015"/>
      <c r="P79" s="2057"/>
      <c r="Q79" s="1821"/>
    </row>
    <row r="80" spans="1:17" ht="15">
      <c r="A80" s="1853"/>
      <c r="B80" s="1866"/>
      <c r="C80" s="1867"/>
      <c r="D80" s="1867"/>
      <c r="E80" s="1867"/>
      <c r="F80" s="1867"/>
      <c r="G80" s="1867"/>
      <c r="H80" s="1867"/>
      <c r="I80" s="1867"/>
      <c r="J80" s="1867"/>
      <c r="K80" s="438"/>
      <c r="L80" s="438"/>
      <c r="M80" s="1868"/>
      <c r="N80" s="3014"/>
      <c r="O80" s="3014"/>
      <c r="P80" s="2057"/>
      <c r="Q80" s="1821"/>
    </row>
    <row r="81" spans="1:17" ht="15.75" thickBot="1">
      <c r="A81" s="1853"/>
      <c r="B81" s="1854"/>
      <c r="C81" s="1862">
        <v>100</v>
      </c>
      <c r="D81" s="1862">
        <f t="shared" ref="D81:M81" si="21">IF($B$46="单位面积地价",C81+$K11,C81-$K11)</f>
        <v>100</v>
      </c>
      <c r="E81" s="1862">
        <f t="shared" si="21"/>
        <v>100</v>
      </c>
      <c r="F81" s="1862">
        <f t="shared" si="21"/>
        <v>100</v>
      </c>
      <c r="G81" s="1862">
        <f t="shared" si="21"/>
        <v>100</v>
      </c>
      <c r="H81" s="1862">
        <f t="shared" si="21"/>
        <v>100</v>
      </c>
      <c r="I81" s="1862">
        <f t="shared" si="21"/>
        <v>100</v>
      </c>
      <c r="J81" s="1862">
        <f t="shared" si="21"/>
        <v>100</v>
      </c>
      <c r="K81" s="1862">
        <f t="shared" si="21"/>
        <v>100</v>
      </c>
      <c r="L81" s="1862">
        <f t="shared" si="21"/>
        <v>100</v>
      </c>
      <c r="M81" s="1862">
        <f t="shared" si="21"/>
        <v>100</v>
      </c>
      <c r="N81" s="3015"/>
      <c r="O81" s="3015"/>
      <c r="P81" s="2057"/>
      <c r="Q81" s="1821"/>
    </row>
    <row r="82" spans="1:17" s="1771" customFormat="1" ht="15.75" thickTop="1">
      <c r="A82" s="1869"/>
      <c r="B82" s="1858" t="str">
        <f>B12</f>
        <v>配建</v>
      </c>
      <c r="C82" s="468"/>
      <c r="D82" s="468"/>
      <c r="E82" s="468"/>
      <c r="F82" s="468"/>
      <c r="G82" s="468"/>
      <c r="H82" s="443"/>
      <c r="I82" s="443"/>
      <c r="J82" s="443"/>
      <c r="K82" s="443"/>
      <c r="L82" s="443"/>
      <c r="M82" s="1870"/>
      <c r="N82" s="3016"/>
      <c r="O82" s="3016"/>
      <c r="P82" s="2058"/>
      <c r="Q82" s="1873"/>
    </row>
    <row r="83" spans="1:17" s="1771" customFormat="1" ht="15.75" thickBot="1">
      <c r="A83" s="1869"/>
      <c r="B83" s="1861"/>
      <c r="C83" s="1874"/>
      <c r="D83" s="1855"/>
      <c r="E83" s="1855"/>
      <c r="F83" s="1855"/>
      <c r="G83" s="1855"/>
      <c r="H83" s="1855"/>
      <c r="I83" s="1855"/>
      <c r="J83" s="1855"/>
      <c r="K83" s="1855"/>
      <c r="L83" s="1855"/>
      <c r="M83" s="1856"/>
      <c r="N83" s="3015"/>
      <c r="O83" s="3015"/>
      <c r="P83" s="2058"/>
      <c r="Q83" s="1873"/>
    </row>
    <row r="84" spans="1:17" s="1771" customFormat="1" ht="15.75" thickTop="1">
      <c r="A84" s="1869"/>
      <c r="B84" s="1858">
        <f>B13</f>
        <v>111</v>
      </c>
      <c r="C84" s="468"/>
      <c r="D84" s="468"/>
      <c r="E84" s="468"/>
      <c r="F84" s="468"/>
      <c r="G84" s="468"/>
      <c r="H84" s="443"/>
      <c r="I84" s="443"/>
      <c r="J84" s="443"/>
      <c r="K84" s="443"/>
      <c r="L84" s="443"/>
      <c r="M84" s="1870"/>
      <c r="N84" s="3016"/>
      <c r="O84" s="3016"/>
      <c r="P84" s="2059"/>
      <c r="Q84" s="1876"/>
    </row>
    <row r="85" spans="1:17" s="1771" customFormat="1" ht="15.75" thickBot="1">
      <c r="A85" s="1869"/>
      <c r="B85" s="1861"/>
      <c r="C85" s="1874"/>
      <c r="D85" s="1874"/>
      <c r="E85" s="1874"/>
      <c r="F85" s="1874"/>
      <c r="G85" s="1874"/>
      <c r="H85" s="1877"/>
      <c r="I85" s="1877"/>
      <c r="J85" s="1877"/>
      <c r="K85" s="1877"/>
      <c r="L85" s="1877"/>
      <c r="M85" s="1878"/>
      <c r="N85" s="3016"/>
      <c r="O85" s="3016"/>
      <c r="P85" s="2058"/>
      <c r="Q85" s="1873"/>
    </row>
    <row r="86" spans="1:17" s="1771" customFormat="1" ht="15.75" thickTop="1">
      <c r="A86" s="1869"/>
      <c r="B86" s="1864">
        <f>B14</f>
        <v>111</v>
      </c>
      <c r="C86" s="409"/>
      <c r="D86" s="409"/>
      <c r="E86" s="409"/>
      <c r="F86" s="409"/>
      <c r="G86" s="409"/>
      <c r="H86" s="453"/>
      <c r="I86" s="453"/>
      <c r="J86" s="453"/>
      <c r="K86" s="453"/>
      <c r="L86" s="453"/>
      <c r="M86" s="1879"/>
      <c r="N86" s="3016"/>
      <c r="O86" s="3016"/>
      <c r="P86" s="2058"/>
      <c r="Q86" s="1873"/>
    </row>
    <row r="87" spans="1:17" s="1771" customFormat="1" ht="15.75" thickBot="1">
      <c r="A87" s="1880"/>
      <c r="B87" s="1881"/>
      <c r="C87" s="1882"/>
      <c r="D87" s="1882"/>
      <c r="E87" s="1882"/>
      <c r="F87" s="1882"/>
      <c r="G87" s="1882"/>
      <c r="H87" s="1883"/>
      <c r="I87" s="1883"/>
      <c r="J87" s="1883"/>
      <c r="K87" s="1883"/>
      <c r="L87" s="1883"/>
      <c r="M87" s="1884"/>
      <c r="N87" s="3016"/>
      <c r="O87" s="3016"/>
      <c r="P87" s="2058"/>
      <c r="Q87" s="1873"/>
    </row>
    <row r="88" spans="1:17">
      <c r="A88" s="1846" t="s">
        <v>2268</v>
      </c>
      <c r="B88" s="1847" t="s">
        <v>2306</v>
      </c>
      <c r="C88" s="1885" t="s">
        <v>2307</v>
      </c>
      <c r="D88" s="1885" t="s">
        <v>2308</v>
      </c>
      <c r="E88" s="1885" t="s">
        <v>2309</v>
      </c>
      <c r="F88" s="1885" t="s">
        <v>2310</v>
      </c>
      <c r="G88" s="1885" t="s">
        <v>2311</v>
      </c>
      <c r="H88" s="1848"/>
      <c r="I88" s="1848"/>
      <c r="J88" s="1848"/>
      <c r="K88" s="463"/>
      <c r="L88" s="463"/>
      <c r="M88" s="1886"/>
      <c r="N88" s="3014"/>
      <c r="O88" s="3014"/>
      <c r="P88" s="2057"/>
      <c r="Q88" s="1821"/>
    </row>
    <row r="89" spans="1:17" ht="15.75" thickBot="1">
      <c r="A89" s="1853"/>
      <c r="B89" s="1861"/>
      <c r="C89" s="1862">
        <v>100</v>
      </c>
      <c r="D89" s="1862">
        <f>C89-$K15</f>
        <v>100</v>
      </c>
      <c r="E89" s="1862">
        <f>D89-$K15</f>
        <v>100</v>
      </c>
      <c r="F89" s="1862">
        <f>E89-$K15</f>
        <v>100</v>
      </c>
      <c r="G89" s="1862">
        <f>F89-$K15</f>
        <v>100</v>
      </c>
      <c r="H89" s="1862"/>
      <c r="I89" s="1862"/>
      <c r="J89" s="1862"/>
      <c r="K89" s="1862"/>
      <c r="L89" s="1862"/>
      <c r="M89" s="1863"/>
      <c r="N89" s="3015"/>
      <c r="O89" s="3015"/>
      <c r="P89" s="2057"/>
      <c r="Q89" s="1821"/>
    </row>
    <row r="90" spans="1:17" ht="15.75" thickTop="1">
      <c r="A90" s="1853"/>
      <c r="B90" s="1858" t="s">
        <v>2476</v>
      </c>
      <c r="C90" s="579" t="s">
        <v>2307</v>
      </c>
      <c r="D90" s="579" t="s">
        <v>2308</v>
      </c>
      <c r="E90" s="579" t="s">
        <v>2309</v>
      </c>
      <c r="F90" s="579" t="s">
        <v>2310</v>
      </c>
      <c r="G90" s="579" t="s">
        <v>2311</v>
      </c>
      <c r="H90" s="1859"/>
      <c r="I90" s="1859"/>
      <c r="J90" s="1859"/>
      <c r="K90" s="428"/>
      <c r="L90" s="428"/>
      <c r="M90" s="1860"/>
      <c r="N90" s="3014"/>
      <c r="O90" s="3014"/>
      <c r="P90" s="2057"/>
      <c r="Q90" s="1821"/>
    </row>
    <row r="91" spans="1:17" ht="15.75" thickBot="1">
      <c r="A91" s="1853"/>
      <c r="B91" s="1861"/>
      <c r="C91" s="1862">
        <v>100</v>
      </c>
      <c r="D91" s="1862">
        <f>C91-$K17</f>
        <v>100</v>
      </c>
      <c r="E91" s="1862">
        <f>D91-$K17</f>
        <v>100</v>
      </c>
      <c r="F91" s="1862">
        <f>E91-$K17</f>
        <v>100</v>
      </c>
      <c r="G91" s="1862">
        <f>F91-$K17</f>
        <v>100</v>
      </c>
      <c r="H91" s="1862"/>
      <c r="I91" s="1862"/>
      <c r="J91" s="1862"/>
      <c r="K91" s="1862"/>
      <c r="L91" s="1862"/>
      <c r="M91" s="1863"/>
      <c r="N91" s="3015"/>
      <c r="O91" s="3015"/>
      <c r="P91" s="2057"/>
      <c r="Q91" s="1821"/>
    </row>
    <row r="92" spans="1:17" ht="15.75" thickTop="1">
      <c r="A92" s="1853"/>
      <c r="B92" s="1858" t="s">
        <v>2394</v>
      </c>
      <c r="C92" s="579" t="s">
        <v>2307</v>
      </c>
      <c r="D92" s="579" t="s">
        <v>2308</v>
      </c>
      <c r="E92" s="579" t="s">
        <v>2309</v>
      </c>
      <c r="F92" s="579" t="s">
        <v>2310</v>
      </c>
      <c r="G92" s="579" t="s">
        <v>2311</v>
      </c>
      <c r="H92" s="1859"/>
      <c r="I92" s="1859"/>
      <c r="J92" s="1859"/>
      <c r="K92" s="428"/>
      <c r="L92" s="428"/>
      <c r="M92" s="1860"/>
      <c r="N92" s="3014"/>
      <c r="O92" s="3014"/>
      <c r="P92" s="2057"/>
      <c r="Q92" s="1821"/>
    </row>
    <row r="93" spans="1:17" ht="15.75" thickBot="1">
      <c r="A93" s="1853"/>
      <c r="B93" s="1861"/>
      <c r="C93" s="1862">
        <v>100</v>
      </c>
      <c r="D93" s="1862">
        <f>C93-$K19</f>
        <v>100</v>
      </c>
      <c r="E93" s="1862">
        <f>D93-$K19</f>
        <v>100</v>
      </c>
      <c r="F93" s="1862">
        <f>E93-$K19</f>
        <v>100</v>
      </c>
      <c r="G93" s="1862">
        <f>F93-$K19</f>
        <v>100</v>
      </c>
      <c r="H93" s="1862"/>
      <c r="I93" s="1862"/>
      <c r="J93" s="1862"/>
      <c r="K93" s="1862"/>
      <c r="L93" s="1862"/>
      <c r="M93" s="1863"/>
      <c r="N93" s="3015"/>
      <c r="O93" s="3015"/>
      <c r="P93" s="2057"/>
      <c r="Q93" s="1821"/>
    </row>
    <row r="94" spans="1:17" ht="15.75" thickTop="1">
      <c r="A94" s="1853"/>
      <c r="B94" s="1858" t="s">
        <v>2312</v>
      </c>
      <c r="C94" s="579" t="s">
        <v>2307</v>
      </c>
      <c r="D94" s="579" t="s">
        <v>2308</v>
      </c>
      <c r="E94" s="579" t="s">
        <v>2309</v>
      </c>
      <c r="F94" s="579" t="s">
        <v>2310</v>
      </c>
      <c r="G94" s="579" t="s">
        <v>2311</v>
      </c>
      <c r="H94" s="1859"/>
      <c r="I94" s="1859"/>
      <c r="J94" s="1859"/>
      <c r="K94" s="428"/>
      <c r="L94" s="428"/>
      <c r="M94" s="1860"/>
      <c r="N94" s="3014"/>
      <c r="O94" s="3014"/>
      <c r="P94" s="2057"/>
      <c r="Q94" s="1821"/>
    </row>
    <row r="95" spans="1:17" ht="15.75" thickBot="1">
      <c r="A95" s="1853"/>
      <c r="B95" s="1861"/>
      <c r="C95" s="1862">
        <v>100</v>
      </c>
      <c r="D95" s="1862">
        <f>C95-$K21</f>
        <v>100</v>
      </c>
      <c r="E95" s="1862">
        <f>D95-$K21</f>
        <v>100</v>
      </c>
      <c r="F95" s="1862">
        <f>E95-$K21</f>
        <v>100</v>
      </c>
      <c r="G95" s="1862">
        <f>F95-$K21</f>
        <v>100</v>
      </c>
      <c r="H95" s="1862"/>
      <c r="I95" s="1862"/>
      <c r="J95" s="1862"/>
      <c r="K95" s="1862"/>
      <c r="L95" s="1862"/>
      <c r="M95" s="1863"/>
      <c r="N95" s="3015"/>
      <c r="O95" s="3015"/>
      <c r="P95" s="2057"/>
      <c r="Q95" s="1821"/>
    </row>
    <row r="96" spans="1:17" s="1684" customFormat="1" ht="15.75" thickTop="1">
      <c r="A96" s="1889"/>
      <c r="B96" s="1858" t="s">
        <v>2477</v>
      </c>
      <c r="C96" s="579" t="s">
        <v>2307</v>
      </c>
      <c r="D96" s="579" t="s">
        <v>2308</v>
      </c>
      <c r="E96" s="579" t="s">
        <v>2309</v>
      </c>
      <c r="F96" s="579" t="s">
        <v>2310</v>
      </c>
      <c r="G96" s="579" t="s">
        <v>2311</v>
      </c>
      <c r="H96" s="579"/>
      <c r="I96" s="579"/>
      <c r="J96" s="579"/>
      <c r="K96" s="579"/>
      <c r="L96" s="579"/>
      <c r="M96" s="2060"/>
      <c r="N96" s="3013"/>
      <c r="O96" s="3013"/>
      <c r="P96" s="2057"/>
      <c r="Q96" s="1821"/>
    </row>
    <row r="97" spans="1:17" s="1684" customFormat="1" ht="15.75" thickBot="1">
      <c r="A97" s="1889"/>
      <c r="B97" s="1861"/>
      <c r="C97" s="1891">
        <v>100</v>
      </c>
      <c r="D97" s="1862">
        <f>C97-$K23</f>
        <v>100</v>
      </c>
      <c r="E97" s="1862">
        <f>D97-$K23</f>
        <v>100</v>
      </c>
      <c r="F97" s="1862">
        <f>E97-$K23</f>
        <v>100</v>
      </c>
      <c r="G97" s="1862">
        <f>F97-$K23</f>
        <v>100</v>
      </c>
      <c r="H97" s="1862"/>
      <c r="I97" s="1862"/>
      <c r="J97" s="1862"/>
      <c r="K97" s="1862"/>
      <c r="L97" s="1862"/>
      <c r="M97" s="1863"/>
      <c r="N97" s="3015"/>
      <c r="O97" s="3015"/>
      <c r="P97" s="2057"/>
      <c r="Q97" s="1821"/>
    </row>
    <row r="98" spans="1:17" s="1684" customFormat="1" ht="27.75" thickTop="1">
      <c r="A98" s="1889"/>
      <c r="B98" s="1858" t="s">
        <v>2478</v>
      </c>
      <c r="C98" s="1885" t="s">
        <v>2307</v>
      </c>
      <c r="D98" s="1885" t="s">
        <v>2308</v>
      </c>
      <c r="E98" s="1885" t="s">
        <v>2309</v>
      </c>
      <c r="F98" s="1885" t="s">
        <v>2310</v>
      </c>
      <c r="G98" s="1885" t="s">
        <v>2311</v>
      </c>
      <c r="H98" s="579"/>
      <c r="I98" s="579"/>
      <c r="J98" s="579"/>
      <c r="K98" s="579"/>
      <c r="L98" s="579"/>
      <c r="M98" s="2060"/>
      <c r="N98" s="3013"/>
      <c r="O98" s="3013"/>
      <c r="P98" s="2057"/>
      <c r="Q98" s="1821"/>
    </row>
    <row r="99" spans="1:17" s="1684" customFormat="1" ht="15.75" thickBot="1">
      <c r="A99" s="1889"/>
      <c r="B99" s="1861"/>
      <c r="C99" s="1862">
        <v>100</v>
      </c>
      <c r="D99" s="1862">
        <f>C99-$K25</f>
        <v>100</v>
      </c>
      <c r="E99" s="1862">
        <f>D99-$K25</f>
        <v>100</v>
      </c>
      <c r="F99" s="1862">
        <f>E99-$K25</f>
        <v>100</v>
      </c>
      <c r="G99" s="1862">
        <f>F99-$K25</f>
        <v>100</v>
      </c>
      <c r="H99" s="1862"/>
      <c r="I99" s="1862"/>
      <c r="J99" s="1862"/>
      <c r="K99" s="1862"/>
      <c r="L99" s="1862"/>
      <c r="M99" s="1863"/>
      <c r="N99" s="3015"/>
      <c r="O99" s="3015"/>
      <c r="P99" s="2057"/>
      <c r="Q99" s="1821"/>
    </row>
    <row r="100" spans="1:17" s="1684" customFormat="1" ht="15.75" thickTop="1">
      <c r="A100" s="1889"/>
      <c r="B100" s="1864" t="s">
        <v>2355</v>
      </c>
      <c r="C100" s="1885" t="s">
        <v>2307</v>
      </c>
      <c r="D100" s="1885" t="s">
        <v>2308</v>
      </c>
      <c r="E100" s="1885" t="s">
        <v>2309</v>
      </c>
      <c r="F100" s="1885" t="s">
        <v>2310</v>
      </c>
      <c r="G100" s="1885" t="s">
        <v>2311</v>
      </c>
      <c r="H100" s="1859"/>
      <c r="I100" s="1859"/>
      <c r="J100" s="1859"/>
      <c r="K100" s="1859"/>
      <c r="L100" s="1859"/>
      <c r="M100" s="1887"/>
      <c r="N100" s="3015"/>
      <c r="O100" s="3015"/>
      <c r="P100" s="2057"/>
      <c r="Q100" s="1821"/>
    </row>
    <row r="101" spans="1:17" s="1684" customFormat="1" ht="15.75" thickBot="1">
      <c r="A101" s="1889"/>
      <c r="B101" s="1864"/>
      <c r="C101" s="1862">
        <v>100</v>
      </c>
      <c r="D101" s="1862">
        <f>C101-$K27</f>
        <v>100</v>
      </c>
      <c r="E101" s="1862">
        <f>D101-$K27</f>
        <v>100</v>
      </c>
      <c r="F101" s="1862">
        <f>E101-$K27</f>
        <v>100</v>
      </c>
      <c r="G101" s="1862">
        <f>F101-$K27</f>
        <v>100</v>
      </c>
      <c r="H101" s="1888"/>
      <c r="I101" s="1888"/>
      <c r="J101" s="1888"/>
      <c r="K101" s="1888"/>
      <c r="L101" s="1888"/>
      <c r="M101" s="1735"/>
      <c r="N101" s="3015"/>
      <c r="O101" s="3015"/>
      <c r="P101" s="2057"/>
      <c r="Q101" s="1821"/>
    </row>
    <row r="102" spans="1:17" s="1771" customFormat="1" ht="15.75" thickTop="1">
      <c r="A102" s="1869"/>
      <c r="B102" s="1858" t="s">
        <v>2356</v>
      </c>
      <c r="C102" s="1859" t="s">
        <v>2314</v>
      </c>
      <c r="D102" s="1859" t="s">
        <v>2315</v>
      </c>
      <c r="E102" s="1859" t="s">
        <v>2316</v>
      </c>
      <c r="F102" s="1859" t="s">
        <v>2317</v>
      </c>
      <c r="G102" s="1859" t="s">
        <v>2318</v>
      </c>
      <c r="H102" s="489"/>
      <c r="I102" s="489"/>
      <c r="J102" s="489"/>
      <c r="K102" s="489"/>
      <c r="L102" s="489"/>
      <c r="M102" s="1904"/>
      <c r="N102" s="3016"/>
      <c r="O102" s="3016"/>
      <c r="P102" s="2058"/>
      <c r="Q102" s="1873"/>
    </row>
    <row r="103" spans="1:17" s="1771" customFormat="1" ht="15.75" thickBot="1">
      <c r="A103" s="1869"/>
      <c r="B103" s="1861"/>
      <c r="C103" s="1862">
        <v>100</v>
      </c>
      <c r="D103" s="1862">
        <f>C103-$K29</f>
        <v>100</v>
      </c>
      <c r="E103" s="1862">
        <f>D103-$K29</f>
        <v>100</v>
      </c>
      <c r="F103" s="1862">
        <f>E103-$K29</f>
        <v>100</v>
      </c>
      <c r="G103" s="1862">
        <f>F103-$K29</f>
        <v>100</v>
      </c>
      <c r="H103" s="1907"/>
      <c r="I103" s="1907"/>
      <c r="J103" s="1907"/>
      <c r="K103" s="1907"/>
      <c r="L103" s="1907"/>
      <c r="M103" s="1908"/>
      <c r="N103" s="3016"/>
      <c r="O103" s="3016"/>
      <c r="P103" s="2058"/>
      <c r="Q103" s="1873"/>
    </row>
    <row r="104" spans="1:17" ht="15.75" thickTop="1">
      <c r="A104" s="1853"/>
      <c r="B104" s="1858" t="str">
        <f>B31</f>
        <v>临街状况</v>
      </c>
      <c r="C104" s="1859" t="s">
        <v>2479</v>
      </c>
      <c r="D104" s="1859" t="s">
        <v>2480</v>
      </c>
      <c r="E104" s="1859" t="s">
        <v>2481</v>
      </c>
      <c r="F104" s="1859" t="s">
        <v>2482</v>
      </c>
      <c r="G104" s="1859"/>
      <c r="H104" s="1859"/>
      <c r="I104" s="1859"/>
      <c r="J104" s="1859"/>
      <c r="K104" s="428"/>
      <c r="L104" s="428"/>
      <c r="M104" s="1860"/>
      <c r="N104" s="3014"/>
      <c r="O104" s="3014"/>
      <c r="P104" s="2057"/>
      <c r="Q104" s="1821"/>
    </row>
    <row r="105" spans="1:17" ht="15.75" thickBot="1">
      <c r="A105" s="1853"/>
      <c r="B105" s="1861"/>
      <c r="C105" s="1862">
        <v>100</v>
      </c>
      <c r="D105" s="1862">
        <f>C105-$K31</f>
        <v>100</v>
      </c>
      <c r="E105" s="1862">
        <f t="shared" ref="E105:M105" si="22">D105-$K31</f>
        <v>100</v>
      </c>
      <c r="F105" s="1862">
        <f t="shared" si="22"/>
        <v>100</v>
      </c>
      <c r="G105" s="1862">
        <f t="shared" si="22"/>
        <v>100</v>
      </c>
      <c r="H105" s="1862">
        <f t="shared" si="22"/>
        <v>100</v>
      </c>
      <c r="I105" s="1862">
        <f t="shared" si="22"/>
        <v>100</v>
      </c>
      <c r="J105" s="1862">
        <f t="shared" si="22"/>
        <v>100</v>
      </c>
      <c r="K105" s="1862">
        <f t="shared" si="22"/>
        <v>100</v>
      </c>
      <c r="L105" s="1862">
        <f t="shared" si="22"/>
        <v>100</v>
      </c>
      <c r="M105" s="1862">
        <f t="shared" si="22"/>
        <v>100</v>
      </c>
      <c r="N105" s="3015"/>
      <c r="O105" s="3015"/>
      <c r="P105" s="2057"/>
      <c r="Q105" s="1821"/>
    </row>
    <row r="106" spans="1:17" ht="27.75" thickTop="1">
      <c r="A106" s="1853"/>
      <c r="B106" s="1858" t="s">
        <v>2387</v>
      </c>
      <c r="C106" s="468"/>
      <c r="D106" s="468"/>
      <c r="E106" s="468"/>
      <c r="F106" s="468"/>
      <c r="G106" s="468"/>
      <c r="H106" s="1578"/>
      <c r="I106" s="1578"/>
      <c r="J106" s="1578"/>
      <c r="K106" s="473"/>
      <c r="L106" s="473"/>
      <c r="M106" s="1893"/>
      <c r="N106" s="3014"/>
      <c r="O106" s="3014"/>
      <c r="P106" s="2057"/>
      <c r="Q106" s="1821"/>
    </row>
    <row r="107" spans="1:17" ht="15.75" thickBot="1">
      <c r="A107" s="1853"/>
      <c r="B107" s="1861"/>
      <c r="C107" s="1862">
        <v>100</v>
      </c>
      <c r="D107" s="1862">
        <f>C107-$K32</f>
        <v>100</v>
      </c>
      <c r="E107" s="1862">
        <f t="shared" ref="E107:M107" si="23">D107-$K32</f>
        <v>100</v>
      </c>
      <c r="F107" s="1862">
        <f t="shared" si="23"/>
        <v>100</v>
      </c>
      <c r="G107" s="1862">
        <f t="shared" si="23"/>
        <v>100</v>
      </c>
      <c r="H107" s="1862">
        <f t="shared" si="23"/>
        <v>100</v>
      </c>
      <c r="I107" s="1862">
        <f t="shared" si="23"/>
        <v>100</v>
      </c>
      <c r="J107" s="1862">
        <f t="shared" si="23"/>
        <v>100</v>
      </c>
      <c r="K107" s="1862">
        <f t="shared" si="23"/>
        <v>100</v>
      </c>
      <c r="L107" s="1862">
        <f t="shared" si="23"/>
        <v>100</v>
      </c>
      <c r="M107" s="1862">
        <f t="shared" si="23"/>
        <v>100</v>
      </c>
      <c r="N107" s="3015"/>
      <c r="O107" s="3015"/>
      <c r="P107" s="2057"/>
      <c r="Q107" s="1821"/>
    </row>
    <row r="108" spans="1:17" ht="15.75" thickTop="1">
      <c r="A108" s="1853"/>
      <c r="B108" s="1858" t="s">
        <v>2448</v>
      </c>
      <c r="C108" s="1578"/>
      <c r="D108" s="1578"/>
      <c r="E108" s="1578"/>
      <c r="F108" s="1578"/>
      <c r="G108" s="1578"/>
      <c r="H108" s="1578"/>
      <c r="I108" s="1578"/>
      <c r="J108" s="1578"/>
      <c r="K108" s="473"/>
      <c r="L108" s="473"/>
      <c r="M108" s="1893"/>
      <c r="N108" s="3014"/>
      <c r="O108" s="3014"/>
      <c r="P108" s="2057"/>
      <c r="Q108" s="1821"/>
    </row>
    <row r="109" spans="1:17" ht="15.75" thickBot="1">
      <c r="A109" s="1853"/>
      <c r="B109" s="1861"/>
      <c r="C109" s="1862">
        <v>100</v>
      </c>
      <c r="D109" s="1862">
        <f>C109-$K34</f>
        <v>100</v>
      </c>
      <c r="E109" s="1862">
        <f t="shared" ref="E109:M109" si="24">D109-$K34</f>
        <v>100</v>
      </c>
      <c r="F109" s="1862">
        <f t="shared" si="24"/>
        <v>100</v>
      </c>
      <c r="G109" s="1862">
        <f t="shared" si="24"/>
        <v>100</v>
      </c>
      <c r="H109" s="1862">
        <f t="shared" si="24"/>
        <v>100</v>
      </c>
      <c r="I109" s="1862">
        <f t="shared" si="24"/>
        <v>100</v>
      </c>
      <c r="J109" s="1862">
        <f t="shared" si="24"/>
        <v>100</v>
      </c>
      <c r="K109" s="1862">
        <f t="shared" si="24"/>
        <v>100</v>
      </c>
      <c r="L109" s="1862">
        <f t="shared" si="24"/>
        <v>100</v>
      </c>
      <c r="M109" s="1862">
        <f t="shared" si="24"/>
        <v>100</v>
      </c>
      <c r="N109" s="3015"/>
      <c r="O109" s="3015"/>
      <c r="P109" s="2057"/>
      <c r="Q109" s="1821"/>
    </row>
    <row r="110" spans="1:17" ht="15.75" thickTop="1">
      <c r="A110" s="1853"/>
      <c r="B110" s="1864">
        <f>B35</f>
        <v>111</v>
      </c>
      <c r="C110" s="468"/>
      <c r="D110" s="468"/>
      <c r="E110" s="468"/>
      <c r="F110" s="468"/>
      <c r="G110" s="1894"/>
      <c r="H110" s="1894"/>
      <c r="I110" s="1894"/>
      <c r="J110" s="1894"/>
      <c r="K110" s="477"/>
      <c r="L110" s="477"/>
      <c r="M110" s="1895"/>
      <c r="N110" s="3014"/>
      <c r="O110" s="3014"/>
      <c r="P110" s="2057"/>
      <c r="Q110" s="1821"/>
    </row>
    <row r="111" spans="1:17" ht="15.75" thickBot="1">
      <c r="A111" s="1853"/>
      <c r="B111" s="1881"/>
      <c r="C111" s="1874"/>
      <c r="D111" s="1874"/>
      <c r="E111" s="1874"/>
      <c r="F111" s="1874"/>
      <c r="G111" s="1897"/>
      <c r="H111" s="1897"/>
      <c r="I111" s="1897"/>
      <c r="J111" s="1897"/>
      <c r="K111" s="1897"/>
      <c r="L111" s="1897"/>
      <c r="M111" s="1898"/>
      <c r="N111" s="3015"/>
      <c r="O111" s="3015"/>
      <c r="P111" s="2057"/>
      <c r="Q111" s="1821"/>
    </row>
    <row r="112" spans="1:17" ht="15" thickTop="1">
      <c r="A112" s="1994"/>
      <c r="B112" s="1858">
        <f>B36</f>
        <v>111</v>
      </c>
      <c r="C112" s="409"/>
      <c r="D112" s="409"/>
      <c r="E112" s="409"/>
      <c r="F112" s="409"/>
      <c r="G112" s="1578"/>
      <c r="H112" s="1578"/>
      <c r="I112" s="1578"/>
      <c r="J112" s="1578"/>
      <c r="K112" s="473"/>
      <c r="L112" s="473"/>
      <c r="M112" s="1893"/>
      <c r="N112" s="3014"/>
      <c r="O112" s="3014"/>
      <c r="P112" s="2057"/>
      <c r="Q112" s="1821"/>
    </row>
    <row r="113" spans="1:17" ht="15.75" thickBot="1">
      <c r="A113" s="1853"/>
      <c r="B113" s="1861"/>
      <c r="C113" s="1882"/>
      <c r="D113" s="1882"/>
      <c r="E113" s="1882"/>
      <c r="F113" s="1882"/>
      <c r="G113" s="1855"/>
      <c r="H113" s="1855"/>
      <c r="I113" s="1855"/>
      <c r="J113" s="1855"/>
      <c r="K113" s="1855"/>
      <c r="L113" s="1855"/>
      <c r="M113" s="1856"/>
      <c r="N113" s="3015"/>
      <c r="O113" s="3015"/>
      <c r="P113" s="2057"/>
      <c r="Q113" s="1821"/>
    </row>
    <row r="114" spans="1:17" s="1771" customFormat="1" ht="15" thickTop="1">
      <c r="A114" s="1899"/>
      <c r="B114" s="1900">
        <f>B37</f>
        <v>111</v>
      </c>
      <c r="C114" s="1901"/>
      <c r="D114" s="1901"/>
      <c r="E114" s="1901"/>
      <c r="F114" s="1901"/>
      <c r="G114" s="1901"/>
      <c r="H114" s="1901"/>
      <c r="I114" s="1901"/>
      <c r="J114" s="485"/>
      <c r="K114" s="485"/>
      <c r="L114" s="485"/>
      <c r="M114" s="1902"/>
      <c r="N114" s="3016"/>
      <c r="O114" s="3016"/>
      <c r="P114" s="2058"/>
      <c r="Q114" s="1873"/>
    </row>
    <row r="115" spans="1:17" s="1771" customFormat="1" ht="15.75" thickBot="1">
      <c r="A115" s="1869"/>
      <c r="B115" s="1864"/>
      <c r="C115" s="1831"/>
      <c r="D115" s="2061"/>
      <c r="E115" s="2061"/>
      <c r="F115" s="2061"/>
      <c r="G115" s="2061"/>
      <c r="H115" s="2061"/>
      <c r="I115" s="2061"/>
      <c r="J115" s="2061"/>
      <c r="K115" s="2061"/>
      <c r="L115" s="2061"/>
      <c r="M115" s="2062"/>
      <c r="N115" s="3015"/>
      <c r="O115" s="3015"/>
      <c r="P115" s="2058"/>
      <c r="Q115" s="1873"/>
    </row>
    <row r="116" spans="1:17">
      <c r="A116" s="1846" t="s">
        <v>2273</v>
      </c>
      <c r="B116" s="1847" t="s">
        <v>2483</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63" t="str">
        <f>M117&amp;"(含)"&amp;"-"&amp;P117</f>
        <v>(含)-</v>
      </c>
      <c r="N116" s="3014"/>
      <c r="O116" s="3014"/>
      <c r="P116" s="2057"/>
      <c r="Q116" s="1821"/>
    </row>
    <row r="117" spans="1:17" ht="15">
      <c r="A117" s="1853"/>
      <c r="B117" s="1864"/>
      <c r="C117" s="1901"/>
      <c r="D117" s="1901"/>
      <c r="E117" s="1901"/>
      <c r="F117" s="1901"/>
      <c r="G117" s="1901"/>
      <c r="H117" s="1901"/>
      <c r="I117" s="1901"/>
      <c r="J117" s="485"/>
      <c r="K117" s="485"/>
      <c r="L117" s="485"/>
      <c r="M117" s="1902"/>
      <c r="N117" s="3014"/>
      <c r="O117" s="3014"/>
      <c r="P117" s="2057"/>
      <c r="Q117" s="1821"/>
    </row>
    <row r="118" spans="1:17" ht="15.75" thickBot="1">
      <c r="A118" s="1853"/>
      <c r="B118" s="1861"/>
      <c r="C118" s="1882"/>
      <c r="D118" s="1897"/>
      <c r="E118" s="1897"/>
      <c r="F118" s="1897"/>
      <c r="G118" s="1897"/>
      <c r="H118" s="1897"/>
      <c r="I118" s="1897"/>
      <c r="J118" s="1897"/>
      <c r="K118" s="1897"/>
      <c r="L118" s="1897"/>
      <c r="M118" s="1898"/>
      <c r="N118" s="3015"/>
      <c r="O118" s="3015"/>
      <c r="P118" s="2057"/>
      <c r="Q118" s="1821"/>
    </row>
    <row r="119" spans="1:17" ht="15" thickTop="1">
      <c r="A119" s="1903"/>
      <c r="B119" s="1858" t="s">
        <v>2484</v>
      </c>
      <c r="C119" s="1578"/>
      <c r="D119" s="1578"/>
      <c r="E119" s="1578"/>
      <c r="F119" s="1578"/>
      <c r="G119" s="1578"/>
      <c r="H119" s="1578"/>
      <c r="I119" s="1578"/>
      <c r="J119" s="1578"/>
      <c r="K119" s="473"/>
      <c r="L119" s="473"/>
      <c r="M119" s="1893"/>
      <c r="N119" s="3014"/>
      <c r="O119" s="3014"/>
      <c r="P119" s="2057"/>
      <c r="Q119" s="1821"/>
    </row>
    <row r="120" spans="1:17" ht="15.75" thickBot="1">
      <c r="A120" s="1853"/>
      <c r="B120" s="1861"/>
      <c r="C120" s="1862">
        <v>100</v>
      </c>
      <c r="D120" s="1862">
        <f t="shared" ref="D120:M120" si="26">C120-$K39</f>
        <v>100</v>
      </c>
      <c r="E120" s="1862">
        <f t="shared" si="26"/>
        <v>100</v>
      </c>
      <c r="F120" s="1862">
        <f t="shared" si="26"/>
        <v>100</v>
      </c>
      <c r="G120" s="1862">
        <f t="shared" si="26"/>
        <v>100</v>
      </c>
      <c r="H120" s="1862">
        <f t="shared" si="26"/>
        <v>100</v>
      </c>
      <c r="I120" s="1862">
        <f t="shared" si="26"/>
        <v>100</v>
      </c>
      <c r="J120" s="1862">
        <f t="shared" si="26"/>
        <v>100</v>
      </c>
      <c r="K120" s="1862">
        <f t="shared" si="26"/>
        <v>100</v>
      </c>
      <c r="L120" s="1862">
        <f t="shared" si="26"/>
        <v>100</v>
      </c>
      <c r="M120" s="1863">
        <f t="shared" si="26"/>
        <v>100</v>
      </c>
      <c r="N120" s="3015"/>
      <c r="O120" s="3015"/>
      <c r="P120" s="2057"/>
      <c r="Q120" s="1821"/>
    </row>
    <row r="121" spans="1:17" ht="15" thickTop="1">
      <c r="A121" s="1903"/>
      <c r="B121" s="1858" t="s">
        <v>2485</v>
      </c>
      <c r="C121" s="468"/>
      <c r="D121" s="468"/>
      <c r="E121" s="468"/>
      <c r="F121" s="1578"/>
      <c r="G121" s="1578"/>
      <c r="H121" s="1578"/>
      <c r="I121" s="1578"/>
      <c r="J121" s="1578"/>
      <c r="K121" s="473"/>
      <c r="L121" s="473"/>
      <c r="M121" s="1893"/>
      <c r="N121" s="3014"/>
      <c r="O121" s="3014"/>
      <c r="P121" s="2057"/>
      <c r="Q121" s="1821"/>
    </row>
    <row r="122" spans="1:17" ht="15.75" thickBot="1">
      <c r="A122" s="1853"/>
      <c r="B122" s="1861"/>
      <c r="C122" s="1862">
        <v>100</v>
      </c>
      <c r="D122" s="1862">
        <f t="shared" ref="D122:M122" si="27">C122-$K40</f>
        <v>100</v>
      </c>
      <c r="E122" s="1862">
        <f t="shared" si="27"/>
        <v>100</v>
      </c>
      <c r="F122" s="1862">
        <f t="shared" si="27"/>
        <v>100</v>
      </c>
      <c r="G122" s="1862">
        <f t="shared" si="27"/>
        <v>100</v>
      </c>
      <c r="H122" s="1862">
        <f t="shared" si="27"/>
        <v>100</v>
      </c>
      <c r="I122" s="1862">
        <f t="shared" si="27"/>
        <v>100</v>
      </c>
      <c r="J122" s="1862">
        <f t="shared" si="27"/>
        <v>100</v>
      </c>
      <c r="K122" s="1862">
        <f t="shared" si="27"/>
        <v>100</v>
      </c>
      <c r="L122" s="1862">
        <f t="shared" si="27"/>
        <v>100</v>
      </c>
      <c r="M122" s="1863">
        <f t="shared" si="27"/>
        <v>100</v>
      </c>
      <c r="N122" s="3015"/>
      <c r="O122" s="3015"/>
      <c r="P122" s="2057"/>
      <c r="Q122" s="1821"/>
    </row>
    <row r="123" spans="1:17" s="1771" customFormat="1" ht="15" thickTop="1">
      <c r="A123" s="1899"/>
      <c r="B123" s="1858" t="s">
        <v>2486</v>
      </c>
      <c r="C123" s="468"/>
      <c r="D123" s="468"/>
      <c r="E123" s="468"/>
      <c r="F123" s="468"/>
      <c r="G123" s="468"/>
      <c r="H123" s="1578"/>
      <c r="I123" s="1578"/>
      <c r="J123" s="1578"/>
      <c r="K123" s="473"/>
      <c r="L123" s="473"/>
      <c r="M123" s="1893"/>
      <c r="N123" s="3016"/>
      <c r="O123" s="3016"/>
      <c r="P123" s="2058"/>
      <c r="Q123" s="1873"/>
    </row>
    <row r="124" spans="1:17" s="1771" customFormat="1" ht="15.75" thickBot="1">
      <c r="A124" s="1869"/>
      <c r="B124" s="1861"/>
      <c r="C124" s="1862">
        <v>100</v>
      </c>
      <c r="D124" s="1862">
        <f>C124-$K41</f>
        <v>100</v>
      </c>
      <c r="E124" s="1862">
        <f t="shared" ref="E124:M124" si="28">D124-$K41</f>
        <v>100</v>
      </c>
      <c r="F124" s="1862">
        <f t="shared" si="28"/>
        <v>100</v>
      </c>
      <c r="G124" s="1862">
        <f t="shared" si="28"/>
        <v>100</v>
      </c>
      <c r="H124" s="1862">
        <f t="shared" si="28"/>
        <v>100</v>
      </c>
      <c r="I124" s="1862">
        <f t="shared" si="28"/>
        <v>100</v>
      </c>
      <c r="J124" s="1862">
        <f t="shared" si="28"/>
        <v>100</v>
      </c>
      <c r="K124" s="1862">
        <f t="shared" si="28"/>
        <v>100</v>
      </c>
      <c r="L124" s="1862">
        <f t="shared" si="28"/>
        <v>100</v>
      </c>
      <c r="M124" s="1863">
        <f t="shared" si="28"/>
        <v>100</v>
      </c>
      <c r="N124" s="3016"/>
      <c r="O124" s="3016"/>
      <c r="P124" s="2058"/>
      <c r="Q124" s="1873"/>
    </row>
    <row r="125" spans="1:17" ht="15" thickTop="1">
      <c r="A125" s="1903"/>
      <c r="B125" s="1858" t="s">
        <v>2487</v>
      </c>
      <c r="C125" s="468"/>
      <c r="D125" s="468"/>
      <c r="E125" s="1578"/>
      <c r="F125" s="1578"/>
      <c r="G125" s="1578"/>
      <c r="H125" s="1578"/>
      <c r="I125" s="1578"/>
      <c r="J125" s="1578"/>
      <c r="K125" s="473"/>
      <c r="L125" s="473"/>
      <c r="M125" s="1893"/>
      <c r="N125" s="3014"/>
      <c r="O125" s="3014"/>
      <c r="P125" s="2057"/>
      <c r="Q125" s="1821"/>
    </row>
    <row r="126" spans="1:17" ht="15.75" thickBot="1">
      <c r="A126" s="1853"/>
      <c r="B126" s="1861"/>
      <c r="C126" s="1862">
        <v>100</v>
      </c>
      <c r="D126" s="1862">
        <f t="shared" ref="D126:M126" si="29">C126-$K42</f>
        <v>100</v>
      </c>
      <c r="E126" s="1862">
        <f t="shared" si="29"/>
        <v>100</v>
      </c>
      <c r="F126" s="1862">
        <f t="shared" si="29"/>
        <v>100</v>
      </c>
      <c r="G126" s="1862">
        <f t="shared" si="29"/>
        <v>100</v>
      </c>
      <c r="H126" s="1862">
        <f t="shared" si="29"/>
        <v>100</v>
      </c>
      <c r="I126" s="1862">
        <f t="shared" si="29"/>
        <v>100</v>
      </c>
      <c r="J126" s="1862">
        <f t="shared" si="29"/>
        <v>100</v>
      </c>
      <c r="K126" s="1862">
        <f t="shared" si="29"/>
        <v>100</v>
      </c>
      <c r="L126" s="1862">
        <f t="shared" si="29"/>
        <v>100</v>
      </c>
      <c r="M126" s="1863">
        <f t="shared" si="29"/>
        <v>100</v>
      </c>
      <c r="N126" s="3015"/>
      <c r="O126" s="3015"/>
      <c r="P126" s="2057"/>
      <c r="Q126" s="1821"/>
    </row>
    <row r="127" spans="1:17" ht="15" thickTop="1">
      <c r="A127" s="1903"/>
      <c r="B127" s="1858">
        <f>B43</f>
        <v>111</v>
      </c>
      <c r="C127" s="468"/>
      <c r="D127" s="468"/>
      <c r="E127" s="468"/>
      <c r="F127" s="468"/>
      <c r="G127" s="468"/>
      <c r="H127" s="1578"/>
      <c r="I127" s="1578"/>
      <c r="J127" s="1578"/>
      <c r="K127" s="473"/>
      <c r="L127" s="473"/>
      <c r="M127" s="1893"/>
      <c r="N127" s="3014"/>
      <c r="O127" s="3014"/>
      <c r="P127" s="2057"/>
      <c r="Q127" s="1821"/>
    </row>
    <row r="128" spans="1:17" ht="15.75" thickBot="1">
      <c r="A128" s="1853"/>
      <c r="B128" s="1861"/>
      <c r="C128" s="1874"/>
      <c r="D128" s="1874"/>
      <c r="E128" s="1874"/>
      <c r="F128" s="1874"/>
      <c r="G128" s="1855"/>
      <c r="H128" s="1855"/>
      <c r="I128" s="1855"/>
      <c r="J128" s="1855"/>
      <c r="K128" s="1855"/>
      <c r="L128" s="1855"/>
      <c r="M128" s="1856"/>
      <c r="N128" s="3015"/>
      <c r="O128" s="3015"/>
      <c r="P128" s="2057"/>
      <c r="Q128" s="1821"/>
    </row>
    <row r="129" spans="1:17" ht="15" thickTop="1">
      <c r="A129" s="1903"/>
      <c r="B129" s="1858">
        <f>B44</f>
        <v>111</v>
      </c>
      <c r="C129" s="409"/>
      <c r="D129" s="409"/>
      <c r="E129" s="409"/>
      <c r="F129" s="409"/>
      <c r="G129" s="1578"/>
      <c r="H129" s="1578"/>
      <c r="I129" s="1578"/>
      <c r="J129" s="1578"/>
      <c r="K129" s="473"/>
      <c r="L129" s="473"/>
      <c r="M129" s="1893"/>
      <c r="N129" s="3014"/>
      <c r="O129" s="3014"/>
      <c r="P129" s="2057"/>
      <c r="Q129" s="1821"/>
    </row>
    <row r="130" spans="1:17" ht="15.75" thickBot="1">
      <c r="A130" s="1853"/>
      <c r="B130" s="1861"/>
      <c r="C130" s="1882"/>
      <c r="D130" s="1882"/>
      <c r="E130" s="1882"/>
      <c r="F130" s="1882"/>
      <c r="G130" s="1855"/>
      <c r="H130" s="1855"/>
      <c r="I130" s="1855"/>
      <c r="J130" s="1855"/>
      <c r="K130" s="1855"/>
      <c r="L130" s="1855"/>
      <c r="M130" s="1856"/>
      <c r="N130" s="3015"/>
      <c r="O130" s="3015"/>
      <c r="P130" s="2057"/>
      <c r="Q130" s="1821"/>
    </row>
    <row r="131" spans="1:17" s="1771" customFormat="1" ht="15" thickTop="1">
      <c r="A131" s="1899"/>
      <c r="B131" s="1858">
        <f>B45</f>
        <v>111</v>
      </c>
      <c r="C131" s="409"/>
      <c r="D131" s="409"/>
      <c r="E131" s="409"/>
      <c r="F131" s="409"/>
      <c r="G131" s="443"/>
      <c r="H131" s="443"/>
      <c r="I131" s="443"/>
      <c r="J131" s="443"/>
      <c r="K131" s="443"/>
      <c r="L131" s="443"/>
      <c r="M131" s="1870"/>
      <c r="N131" s="3016"/>
      <c r="O131" s="3016"/>
      <c r="P131" s="2058"/>
      <c r="Q131" s="1873"/>
    </row>
    <row r="132" spans="1:17" s="1771" customFormat="1" ht="15.75" thickBot="1">
      <c r="A132" s="1880"/>
      <c r="B132" s="2064"/>
      <c r="C132" s="1882"/>
      <c r="D132" s="1882"/>
      <c r="E132" s="1882"/>
      <c r="F132" s="1882"/>
      <c r="G132" s="1897"/>
      <c r="H132" s="1897"/>
      <c r="I132" s="1897"/>
      <c r="J132" s="1897"/>
      <c r="K132" s="1897"/>
      <c r="L132" s="1897"/>
      <c r="M132" s="1898"/>
      <c r="N132" s="3016"/>
      <c r="O132" s="3016"/>
      <c r="P132" s="2058"/>
      <c r="Q132" s="1873"/>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6" type="noConversion"/>
  <conditionalFormatting sqref="F51 H51 J51">
    <cfRule type="containsText" dxfId="123" priority="18" stopIfTrue="1" operator="containsText" text="超过">
      <formula>NOT(ISERROR(SEARCH("超过",F51)))</formula>
    </cfRule>
  </conditionalFormatting>
  <conditionalFormatting sqref="J53">
    <cfRule type="containsText" dxfId="122" priority="17" stopIfTrue="1" operator="containsText" text="超过">
      <formula>NOT(ISERROR(SEARCH("超过",J53)))</formula>
    </cfRule>
  </conditionalFormatting>
  <conditionalFormatting sqref="H53">
    <cfRule type="containsText" dxfId="121" priority="16" stopIfTrue="1" operator="containsText" text="超过">
      <formula>NOT(ISERROR(SEARCH("超过",H53)))</formula>
    </cfRule>
  </conditionalFormatting>
  <conditionalFormatting sqref="F53">
    <cfRule type="containsText" dxfId="120" priority="15" stopIfTrue="1" operator="containsText" text="超过">
      <formula>NOT(ISERROR(SEARCH("超过",F53)))</formula>
    </cfRule>
  </conditionalFormatting>
  <conditionalFormatting sqref="F52 H52 J52">
    <cfRule type="containsText" dxfId="119" priority="14" stopIfTrue="1" operator="containsText" text="超过">
      <formula>NOT(ISERROR(SEARCH("超过",F52)))</formula>
    </cfRule>
  </conditionalFormatting>
  <conditionalFormatting sqref="E51">
    <cfRule type="expression" dxfId="118" priority="13" stopIfTrue="1">
      <formula>$F$51="超过30%"</formula>
    </cfRule>
  </conditionalFormatting>
  <conditionalFormatting sqref="G53">
    <cfRule type="expression" dxfId="117" priority="12" stopIfTrue="1">
      <formula>$H$53="超过30%"</formula>
    </cfRule>
  </conditionalFormatting>
  <conditionalFormatting sqref="E52">
    <cfRule type="expression" dxfId="116" priority="11" stopIfTrue="1">
      <formula>$F$52="超过20%"</formula>
    </cfRule>
  </conditionalFormatting>
  <conditionalFormatting sqref="E53">
    <cfRule type="expression" dxfId="115" priority="10" stopIfTrue="1">
      <formula>$F$53="超过30%"</formula>
    </cfRule>
  </conditionalFormatting>
  <conditionalFormatting sqref="G51">
    <cfRule type="expression" dxfId="114" priority="9" stopIfTrue="1">
      <formula>$H$53+$H$51="超过30%"</formula>
    </cfRule>
  </conditionalFormatting>
  <conditionalFormatting sqref="G52">
    <cfRule type="expression" dxfId="113" priority="8" stopIfTrue="1">
      <formula>$H$52="超过20%"</formula>
    </cfRule>
  </conditionalFormatting>
  <conditionalFormatting sqref="I51">
    <cfRule type="expression" dxfId="112" priority="7" stopIfTrue="1">
      <formula>$J$51="超过30%"</formula>
    </cfRule>
  </conditionalFormatting>
  <conditionalFormatting sqref="I52">
    <cfRule type="expression" dxfId="111" priority="6" stopIfTrue="1">
      <formula>$J$52="超过20%"</formula>
    </cfRule>
  </conditionalFormatting>
  <conditionalFormatting sqref="I53">
    <cfRule type="expression" dxfId="110" priority="5" stopIfTrue="1">
      <formula>$J$53="超过30%"</formula>
    </cfRule>
  </conditionalFormatting>
  <conditionalFormatting sqref="F47">
    <cfRule type="expression" dxfId="109" priority="4">
      <formula>$D$47="简单平均"</formula>
    </cfRule>
  </conditionalFormatting>
  <conditionalFormatting sqref="H47">
    <cfRule type="expression" dxfId="108" priority="3">
      <formula>$D$47="简单平均"</formula>
    </cfRule>
  </conditionalFormatting>
  <conditionalFormatting sqref="J47">
    <cfRule type="expression" dxfId="107" priority="2">
      <formula>$D$47="简单平均"</formula>
    </cfRule>
  </conditionalFormatting>
  <conditionalFormatting sqref="F7:F45 H7:H45 J7:J45">
    <cfRule type="cellIs" dxfId="106" priority="1" operator="notEqual">
      <formula>100</formula>
    </cfRule>
  </conditionalFormatting>
  <dataValidations count="23">
    <dataValidation type="list" allowBlank="1" showInputMessage="1" showErrorMessage="1" sqref="C25" xr:uid="{00000000-0002-0000-1800-000000000000}">
      <formula1>住宅朝向</formula1>
    </dataValidation>
    <dataValidation type="list" allowBlank="1" showInputMessage="1" showErrorMessage="1" sqref="C28 I28 E28 G28" xr:uid="{00000000-0002-0000-1800-000001000000}">
      <formula1>公共配套设施</formula1>
    </dataValidation>
    <dataValidation type="list" allowBlank="1" showInputMessage="1" showErrorMessage="1" sqref="E22 C22 G22 I22" xr:uid="{00000000-0002-0000-1800-000002000000}">
      <formula1>交通便捷度</formula1>
    </dataValidation>
    <dataValidation type="list" allowBlank="1" showInputMessage="1" showErrorMessage="1" sqref="E16 G16 I16 C16" xr:uid="{00000000-0002-0000-1800-000003000000}">
      <formula1>居住社区成熟度</formula1>
    </dataValidation>
    <dataValidation type="list" allowBlank="1" showInputMessage="1" showErrorMessage="1" sqref="E26 G26 C26 I26" xr:uid="{00000000-0002-0000-1800-000004000000}">
      <formula1>环境</formula1>
    </dataValidation>
    <dataValidation type="list" allowBlank="1" showInputMessage="1" showErrorMessage="1" sqref="B46" xr:uid="{00000000-0002-0000-1800-000005000000}">
      <formula1>单价内涵</formula1>
    </dataValidation>
    <dataValidation type="list" allowBlank="1" showInputMessage="1" showErrorMessage="1" sqref="C8 E8 G8 I8" xr:uid="{00000000-0002-0000-1800-000006000000}">
      <formula1>套综交易情况</formula1>
    </dataValidation>
    <dataValidation type="list" allowBlank="1" showInputMessage="1" showErrorMessage="1" sqref="C9 E9 G9 I9" xr:uid="{00000000-0002-0000-1800-000007000000}">
      <formula1>套综用途</formula1>
    </dataValidation>
    <dataValidation type="list" allowBlank="1" showInputMessage="1" showErrorMessage="1" sqref="E18 C18 G18 I18" xr:uid="{00000000-0002-0000-1800-000008000000}">
      <formula1>商业繁华度</formula1>
    </dataValidation>
    <dataValidation type="list" allowBlank="1" showInputMessage="1" showErrorMessage="1" sqref="E20 C20 G20 I20" xr:uid="{00000000-0002-0000-1800-000009000000}">
      <formula1>办公集聚程度</formula1>
    </dataValidation>
    <dataValidation type="list" allowBlank="1" showInputMessage="1" showErrorMessage="1" sqref="C33 E33 G33 I33" xr:uid="{00000000-0002-0000-1800-00000A000000}">
      <formula1>套综道路等级</formula1>
    </dataValidation>
    <dataValidation type="list" allowBlank="1" showInputMessage="1" showErrorMessage="1" sqref="C34 E34 G34 I34" xr:uid="{00000000-0002-0000-1800-00000B000000}">
      <formula1>套综土地级别</formula1>
    </dataValidation>
    <dataValidation type="list" allowBlank="1" showInputMessage="1" showErrorMessage="1" sqref="C39 E39 G39 I39" xr:uid="{00000000-0002-0000-1800-00000C000000}">
      <formula1>套综宗地形状</formula1>
    </dataValidation>
    <dataValidation type="list" allowBlank="1" showInputMessage="1" showErrorMessage="1" sqref="C40 E40 G40 I40" xr:uid="{00000000-0002-0000-1800-00000D000000}">
      <formula1>套综临街宽度及深度</formula1>
    </dataValidation>
    <dataValidation type="list" allowBlank="1" showInputMessage="1" showErrorMessage="1" sqref="C41 E41 G41 I41" xr:uid="{00000000-0002-0000-1800-00000E000000}">
      <formula1>套综宗地内开发程度</formula1>
    </dataValidation>
    <dataValidation type="list" allowBlank="1" showInputMessage="1" showErrorMessage="1" sqref="C42 E42 G42 I42" xr:uid="{00000000-0002-0000-1800-00000F000000}">
      <formula1>套综工程地质条件</formula1>
    </dataValidation>
    <dataValidation type="list" allowBlank="1" showInputMessage="1" showErrorMessage="1" sqref="C31 E31 G31 I31" xr:uid="{00000000-0002-0000-1800-000010000000}">
      <formula1>临街状况</formula1>
    </dataValidation>
    <dataValidation type="list" allowBlank="1" showInputMessage="1" showErrorMessage="1" sqref="E24 G24 I24 C24" xr:uid="{00000000-0002-0000-1800-000011000000}">
      <formula1>区域土地利用方向</formula1>
    </dataValidation>
    <dataValidation type="list" allowBlank="1" showInputMessage="1" showErrorMessage="1" sqref="C55" xr:uid="{00000000-0002-0000-1800-000012000000}">
      <formula1>"北京市系数,其他省市系数"</formula1>
    </dataValidation>
    <dataValidation type="list" allowBlank="1" showInputMessage="1" showErrorMessage="1" sqref="D57:D65" xr:uid="{00000000-0002-0000-1800-000013000000}">
      <formula1>"25%,1"</formula1>
    </dataValidation>
    <dataValidation type="list" allowBlank="1" showInputMessage="1" showErrorMessage="1" sqref="C30 E30 G30 I30" xr:uid="{00000000-0002-0000-1800-000014000000}">
      <formula1>基础设施水平</formula1>
    </dataValidation>
    <dataValidation type="list" allowBlank="1" showInputMessage="1" showErrorMessage="1" sqref="A71" xr:uid="{00000000-0002-0000-1800-000015000000}">
      <formula1>"综合,商业,办公,住宅"</formula1>
    </dataValidation>
    <dataValidation type="list" allowBlank="1" showInputMessage="1" showErrorMessage="1" sqref="D47" xr:uid="{00000000-0002-0000-1800-000016000000}">
      <formula1>"简单平均,加权平均"</formula1>
    </dataValidation>
  </dataValidations>
  <pageMargins left="0.70866141732283472" right="0.70866141732283472" top="1.0629921259842521" bottom="0.94488188976377963" header="0.31496062992125984" footer="0.31496062992125984"/>
  <pageSetup paperSize="9" scale="38"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625" style="296" customWidth="1"/>
    <col min="3" max="3" width="14.375" style="296" customWidth="1"/>
    <col min="4" max="4" width="12.125" style="296" customWidth="1"/>
    <col min="5" max="5" width="14.375" style="296" customWidth="1"/>
    <col min="6" max="6" width="12.125" style="296" customWidth="1"/>
    <col min="7" max="7" width="14.5" style="296" customWidth="1"/>
    <col min="8" max="8" width="12.125" style="296" customWidth="1"/>
    <col min="9" max="9" width="14.5" style="296" customWidth="1"/>
    <col min="10" max="10" width="12.125" style="296" customWidth="1"/>
    <col min="11" max="11" width="12.125" style="381" customWidth="1"/>
    <col min="12" max="12" width="12.125" style="382" customWidth="1"/>
    <col min="13" max="15" width="12.125" style="296" customWidth="1"/>
    <col min="16" max="16" width="4.625" style="296" customWidth="1"/>
    <col min="17" max="17" width="19.5" style="296" customWidth="1"/>
    <col min="18" max="22" width="6.125" style="296" customWidth="1"/>
    <col min="23" max="23" width="5.625" style="296" customWidth="1"/>
    <col min="24" max="24" width="4.125" style="296" customWidth="1"/>
    <col min="25" max="25" width="3.5" style="296" customWidth="1"/>
    <col min="26" max="26" width="19.625" style="296" customWidth="1"/>
    <col min="27" max="28" width="9.375" style="296" customWidth="1"/>
    <col min="29" max="16384" width="9" style="296"/>
  </cols>
  <sheetData>
    <row r="1" spans="1:29" s="291" customFormat="1" ht="28.5" customHeight="1">
      <c r="A1" s="288" t="s">
        <v>2440</v>
      </c>
      <c r="B1" s="289"/>
      <c r="C1" s="290" t="s">
        <v>2488</v>
      </c>
      <c r="D1" s="614"/>
      <c r="E1" s="614"/>
      <c r="F1" s="613" t="s">
        <v>2242</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1912</v>
      </c>
      <c r="B2" s="552" t="e">
        <f>F61</f>
        <v>#DIV/0!</v>
      </c>
      <c r="C2" s="612" t="s">
        <v>2442</v>
      </c>
      <c r="D2" s="3018"/>
      <c r="E2" s="3018"/>
      <c r="F2" s="3021"/>
      <c r="G2" s="3018"/>
      <c r="H2" s="3018"/>
      <c r="I2" s="3018"/>
      <c r="J2" s="3018"/>
      <c r="K2" s="3022"/>
      <c r="L2" s="3019"/>
      <c r="M2" s="3020"/>
      <c r="N2" s="3020"/>
      <c r="O2" s="3020"/>
      <c r="P2" s="625"/>
      <c r="Q2" s="625"/>
      <c r="R2" s="625"/>
      <c r="S2" s="625"/>
      <c r="T2" s="625"/>
      <c r="U2" s="625"/>
      <c r="V2" s="625"/>
      <c r="W2" s="625"/>
      <c r="X2" s="625"/>
      <c r="Y2" s="625"/>
      <c r="Z2" s="625"/>
      <c r="AA2" s="625"/>
      <c r="AB2" s="625"/>
      <c r="AC2" s="626"/>
    </row>
    <row r="3" spans="1:29" s="291" customFormat="1" ht="28.5" customHeight="1" thickBot="1">
      <c r="A3" s="83" t="s">
        <v>1913</v>
      </c>
      <c r="B3" s="495" t="e">
        <f>ROUND(B2/'数据-取费表'!B5,0)</f>
        <v>#DIV/0!</v>
      </c>
      <c r="C3" s="612" t="s">
        <v>2443</v>
      </c>
      <c r="D3" s="3018"/>
      <c r="E3" s="3018"/>
      <c r="F3" s="3021"/>
      <c r="G3" s="3018"/>
      <c r="H3" s="3018"/>
      <c r="I3" s="3018"/>
      <c r="J3" s="3018"/>
      <c r="K3" s="3022"/>
      <c r="L3" s="3019"/>
      <c r="M3" s="3020"/>
      <c r="N3" s="3020"/>
      <c r="O3" s="3020"/>
      <c r="P3" s="625"/>
      <c r="Q3" s="625"/>
      <c r="R3" s="625"/>
      <c r="S3" s="625"/>
      <c r="T3" s="625"/>
      <c r="U3" s="625"/>
      <c r="V3" s="625"/>
      <c r="W3" s="625"/>
      <c r="X3" s="625"/>
      <c r="Y3" s="625"/>
      <c r="Z3" s="625"/>
      <c r="AA3" s="625"/>
      <c r="AB3" s="644"/>
      <c r="AC3" s="639"/>
    </row>
    <row r="4" spans="1:29" ht="15">
      <c r="A4" s="294" t="s">
        <v>2244</v>
      </c>
      <c r="B4" s="295"/>
      <c r="C4" s="4553" t="s">
        <v>2245</v>
      </c>
      <c r="D4" s="4554"/>
      <c r="E4" s="4555" t="s">
        <v>2246</v>
      </c>
      <c r="F4" s="4556"/>
      <c r="G4" s="4553" t="s">
        <v>2247</v>
      </c>
      <c r="H4" s="4554"/>
      <c r="I4" s="4553" t="s">
        <v>2248</v>
      </c>
      <c r="J4" s="4554"/>
      <c r="K4" s="496" t="s">
        <v>2249</v>
      </c>
      <c r="L4" s="3023"/>
      <c r="M4" s="3024"/>
      <c r="N4" s="3024"/>
      <c r="O4" s="3024"/>
      <c r="P4" s="4557" t="s">
        <v>2250</v>
      </c>
      <c r="Q4" s="4558"/>
      <c r="R4" s="4540" t="s">
        <v>2246</v>
      </c>
      <c r="S4" s="4541"/>
      <c r="T4" s="4540" t="s">
        <v>2247</v>
      </c>
      <c r="U4" s="4541"/>
      <c r="V4" s="4563" t="s">
        <v>2248</v>
      </c>
      <c r="W4" s="4563"/>
      <c r="X4" s="1335"/>
      <c r="Y4" s="4540" t="s">
        <v>2250</v>
      </c>
      <c r="Z4" s="4541"/>
      <c r="AA4" s="4550" t="s">
        <v>2246</v>
      </c>
      <c r="AB4" s="4551" t="s">
        <v>2247</v>
      </c>
      <c r="AC4" s="4550" t="s">
        <v>2248</v>
      </c>
    </row>
    <row r="5" spans="1:29" ht="15">
      <c r="A5" s="297"/>
      <c r="B5" s="298"/>
      <c r="C5" s="4566" t="s">
        <v>2251</v>
      </c>
      <c r="D5" s="4567"/>
      <c r="E5" s="4564" t="s">
        <v>2252</v>
      </c>
      <c r="F5" s="4565"/>
      <c r="G5" s="4566" t="s">
        <v>2253</v>
      </c>
      <c r="H5" s="4567"/>
      <c r="I5" s="4566" t="s">
        <v>2254</v>
      </c>
      <c r="J5" s="4567"/>
      <c r="K5" s="496"/>
      <c r="L5" s="3023"/>
      <c r="M5" s="3024"/>
      <c r="N5" s="3024"/>
      <c r="O5" s="3024"/>
      <c r="P5" s="4559"/>
      <c r="Q5" s="4560"/>
      <c r="R5" s="4542"/>
      <c r="S5" s="4543"/>
      <c r="T5" s="4542"/>
      <c r="U5" s="4543"/>
      <c r="V5" s="4563"/>
      <c r="W5" s="4563"/>
      <c r="X5" s="1335"/>
      <c r="Y5" s="4542"/>
      <c r="Z5" s="4543"/>
      <c r="AA5" s="4551"/>
      <c r="AB5" s="4551"/>
      <c r="AC5" s="4551"/>
    </row>
    <row r="6" spans="1:29" ht="15.75" thickBot="1">
      <c r="A6" s="299"/>
      <c r="B6" s="300"/>
      <c r="C6" s="4568" t="s">
        <v>2255</v>
      </c>
      <c r="D6" s="4569"/>
      <c r="E6" s="4570" t="s">
        <v>2255</v>
      </c>
      <c r="F6" s="4571"/>
      <c r="G6" s="4568" t="s">
        <v>2255</v>
      </c>
      <c r="H6" s="4569"/>
      <c r="I6" s="4568" t="s">
        <v>2255</v>
      </c>
      <c r="J6" s="4569"/>
      <c r="K6" s="496" t="s">
        <v>2256</v>
      </c>
      <c r="L6" s="3023"/>
      <c r="M6" s="3024"/>
      <c r="N6" s="3024"/>
      <c r="O6" s="3024"/>
      <c r="P6" s="4561"/>
      <c r="Q6" s="4562"/>
      <c r="R6" s="4542"/>
      <c r="S6" s="4543"/>
      <c r="T6" s="4544"/>
      <c r="U6" s="4545"/>
      <c r="V6" s="4563"/>
      <c r="W6" s="4563"/>
      <c r="X6" s="1335"/>
      <c r="Y6" s="4544"/>
      <c r="Z6" s="4545"/>
      <c r="AA6" s="4552"/>
      <c r="AB6" s="4552"/>
      <c r="AC6" s="4552"/>
    </row>
    <row r="7" spans="1:29" s="25" customFormat="1" ht="15.75" thickBot="1">
      <c r="A7" s="301" t="s">
        <v>2257</v>
      </c>
      <c r="B7" s="302"/>
      <c r="C7" s="303">
        <f>'数据-取费表'!B2</f>
        <v>42402</v>
      </c>
      <c r="D7" s="304">
        <v>100</v>
      </c>
      <c r="E7" s="305"/>
      <c r="F7" s="306">
        <f>SUMIF(65:65,YEAR(E7)&amp;"-"&amp;INT((MONTH(E7)+2)/3),66:66)</f>
        <v>0</v>
      </c>
      <c r="G7" s="1575"/>
      <c r="H7" s="304">
        <f>SUMIF(65:65,YEAR(G7)&amp;"-"&amp;INT((MONTH(G7)+2)/3),66:66)</f>
        <v>0</v>
      </c>
      <c r="I7" s="1575"/>
      <c r="J7" s="304">
        <f>SUMIF(65:65,YEAR(I7)&amp;"-"&amp;INT((MONTH(I7)+2)/3),66:66)</f>
        <v>0</v>
      </c>
      <c r="K7" s="497"/>
      <c r="L7" s="3025"/>
      <c r="M7" s="3026"/>
      <c r="N7" s="3026"/>
      <c r="O7" s="3026"/>
      <c r="P7" s="4538" t="s">
        <v>2258</v>
      </c>
      <c r="Q7" s="4546"/>
      <c r="R7" s="627" t="s">
        <v>25</v>
      </c>
      <c r="S7" s="628">
        <f t="shared" ref="S7:S15" si="0">F7</f>
        <v>0</v>
      </c>
      <c r="T7" s="627" t="s">
        <v>25</v>
      </c>
      <c r="U7" s="628">
        <f t="shared" ref="U7:U15" si="1">H7</f>
        <v>0</v>
      </c>
      <c r="V7" s="627" t="s">
        <v>25</v>
      </c>
      <c r="W7" s="628">
        <f t="shared" ref="W7:W15" si="2">J7</f>
        <v>0</v>
      </c>
      <c r="X7" s="629"/>
      <c r="Y7" s="4538" t="s">
        <v>2258</v>
      </c>
      <c r="Z7" s="4539"/>
      <c r="AA7" s="630" t="e">
        <f>D7/F7</f>
        <v>#DIV/0!</v>
      </c>
      <c r="AB7" s="630" t="e">
        <f>D7/H7</f>
        <v>#DIV/0!</v>
      </c>
      <c r="AC7" s="630" t="e">
        <f>D7/J7</f>
        <v>#DIV/0!</v>
      </c>
    </row>
    <row r="8" spans="1:29" s="25" customFormat="1" ht="15.75" thickBot="1">
      <c r="A8" s="301" t="s">
        <v>2259</v>
      </c>
      <c r="B8" s="302"/>
      <c r="C8" s="307" t="s">
        <v>2444</v>
      </c>
      <c r="D8" s="304">
        <v>100</v>
      </c>
      <c r="E8" s="307"/>
      <c r="F8" s="306">
        <f>SUMIF(68:68,E8,69:69)-SUMIF(68:68,C8,69:69)+100</f>
        <v>0</v>
      </c>
      <c r="G8" s="307"/>
      <c r="H8" s="304">
        <f>SUMIF(68:68,G8,69:69)-SUMIF(68:68,C8,69:69)+100</f>
        <v>0</v>
      </c>
      <c r="I8" s="307"/>
      <c r="J8" s="304">
        <f>SUMIF(68:68,I8,69:69)-SUMIF(68:68,C8,69:69)+100</f>
        <v>0</v>
      </c>
      <c r="K8" s="497"/>
      <c r="L8" s="3025"/>
      <c r="M8" s="3026"/>
      <c r="N8" s="3026"/>
      <c r="O8" s="3026"/>
      <c r="P8" s="4538" t="s">
        <v>2261</v>
      </c>
      <c r="Q8" s="4539"/>
      <c r="R8" s="627" t="s">
        <v>25</v>
      </c>
      <c r="S8" s="628">
        <f t="shared" si="0"/>
        <v>0</v>
      </c>
      <c r="T8" s="627" t="s">
        <v>25</v>
      </c>
      <c r="U8" s="628">
        <f t="shared" si="1"/>
        <v>0</v>
      </c>
      <c r="V8" s="627" t="s">
        <v>25</v>
      </c>
      <c r="W8" s="628">
        <f t="shared" si="2"/>
        <v>0</v>
      </c>
      <c r="X8" s="629"/>
      <c r="Y8" s="4538" t="s">
        <v>2261</v>
      </c>
      <c r="Z8" s="4539"/>
      <c r="AA8" s="630" t="e">
        <f t="shared" ref="AA8:AA40" si="3">D8/F8</f>
        <v>#DIV/0!</v>
      </c>
      <c r="AB8" s="630" t="e">
        <f t="shared" ref="AB8:AB40" si="4">D8/H8</f>
        <v>#DIV/0!</v>
      </c>
      <c r="AC8" s="630" t="e">
        <f t="shared" ref="AC8:AC40" si="5">D8/J8</f>
        <v>#DIV/0!</v>
      </c>
    </row>
    <row r="9" spans="1:29" s="25" customFormat="1">
      <c r="A9" s="308" t="s">
        <v>2262</v>
      </c>
      <c r="B9" s="24" t="s">
        <v>2263</v>
      </c>
      <c r="C9" s="1585" t="s">
        <v>2489</v>
      </c>
      <c r="D9" s="28">
        <v>100</v>
      </c>
      <c r="E9" s="1585"/>
      <c r="F9" s="28">
        <f>SUMIF(70:70,E9,71:71)-SUMIF(70:70,C9,71:71)+100</f>
        <v>100</v>
      </c>
      <c r="G9" s="1585"/>
      <c r="H9" s="28">
        <f>SUMIF(70:70,G9,71:71)-SUMIF(70:70,C9,71:71)+100</f>
        <v>100</v>
      </c>
      <c r="I9" s="1585"/>
      <c r="J9" s="28">
        <f>SUMIF(70:70,I9,71:71)-SUMIF(70:70,C9,71:71)+100</f>
        <v>100</v>
      </c>
      <c r="K9" s="497"/>
      <c r="L9" s="3025"/>
      <c r="M9" s="3026"/>
      <c r="N9" s="3026"/>
      <c r="O9" s="3027"/>
      <c r="P9" s="4530" t="s">
        <v>2264</v>
      </c>
      <c r="Q9" s="1327" t="str">
        <f t="shared" ref="Q9:Q15" si="6">B9</f>
        <v>用途</v>
      </c>
      <c r="R9" s="627" t="s">
        <v>25</v>
      </c>
      <c r="S9" s="628">
        <f t="shared" si="0"/>
        <v>100</v>
      </c>
      <c r="T9" s="627" t="s">
        <v>25</v>
      </c>
      <c r="U9" s="628">
        <f t="shared" si="1"/>
        <v>100</v>
      </c>
      <c r="V9" s="627" t="s">
        <v>25</v>
      </c>
      <c r="W9" s="628">
        <f t="shared" si="2"/>
        <v>100</v>
      </c>
      <c r="X9" s="629"/>
      <c r="Y9" s="4549" t="s">
        <v>2265</v>
      </c>
      <c r="Z9" s="19" t="str">
        <f t="shared" ref="Z9:Z15" si="7">Q9</f>
        <v>用途</v>
      </c>
      <c r="AA9" s="630">
        <f t="shared" si="3"/>
        <v>1</v>
      </c>
      <c r="AB9" s="630">
        <f t="shared" si="4"/>
        <v>1</v>
      </c>
      <c r="AC9" s="630">
        <f t="shared" si="5"/>
        <v>1</v>
      </c>
    </row>
    <row r="10" spans="1:29" s="317" customFormat="1" ht="27">
      <c r="A10" s="312"/>
      <c r="B10" s="313" t="s">
        <v>2266</v>
      </c>
      <c r="C10" s="322"/>
      <c r="D10" s="29">
        <v>100</v>
      </c>
      <c r="E10" s="322"/>
      <c r="F10" s="29">
        <f>ROUND(100/'数据-取费表'!B14,0)</f>
        <v>129</v>
      </c>
      <c r="G10" s="322"/>
      <c r="H10" s="29">
        <f>ROUND(100/'数据-取费表'!B14,0)</f>
        <v>129</v>
      </c>
      <c r="I10" s="322"/>
      <c r="J10" s="29">
        <f>ROUND(100/'数据-取费表'!B14,0)</f>
        <v>129</v>
      </c>
      <c r="K10" s="553"/>
      <c r="L10" s="3028"/>
      <c r="M10" s="3029"/>
      <c r="N10" s="3029"/>
      <c r="O10" s="3030"/>
      <c r="P10" s="4530"/>
      <c r="Q10" s="1327" t="str">
        <f t="shared" si="6"/>
        <v>土地使用年限（年）</v>
      </c>
      <c r="R10" s="627" t="s">
        <v>25</v>
      </c>
      <c r="S10" s="628">
        <f t="shared" si="0"/>
        <v>129</v>
      </c>
      <c r="T10" s="627" t="s">
        <v>25</v>
      </c>
      <c r="U10" s="628">
        <f t="shared" si="1"/>
        <v>129</v>
      </c>
      <c r="V10" s="627" t="s">
        <v>25</v>
      </c>
      <c r="W10" s="628">
        <f t="shared" si="2"/>
        <v>129</v>
      </c>
      <c r="X10" s="629"/>
      <c r="Y10" s="4549"/>
      <c r="Z10" s="19" t="str">
        <f t="shared" si="7"/>
        <v>土地使用年限（年）</v>
      </c>
      <c r="AA10" s="630">
        <f t="shared" si="3"/>
        <v>0.77519379844961245</v>
      </c>
      <c r="AB10" s="630">
        <f t="shared" si="4"/>
        <v>0.77519379844961245</v>
      </c>
      <c r="AC10" s="630">
        <f t="shared" si="5"/>
        <v>0.77519379844961245</v>
      </c>
    </row>
    <row r="11" spans="1:29" ht="15">
      <c r="A11" s="318"/>
      <c r="B11" s="313" t="s">
        <v>2267</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31"/>
      <c r="M11" s="3024"/>
      <c r="N11" s="3024"/>
      <c r="O11" s="3032"/>
      <c r="P11" s="4530"/>
      <c r="Q11" s="1327" t="str">
        <f t="shared" si="6"/>
        <v>容积率</v>
      </c>
      <c r="R11" s="627" t="s">
        <v>25</v>
      </c>
      <c r="S11" s="628" t="e">
        <f t="shared" si="0"/>
        <v>#N/A</v>
      </c>
      <c r="T11" s="627" t="s">
        <v>25</v>
      </c>
      <c r="U11" s="628" t="e">
        <f t="shared" si="1"/>
        <v>#N/A</v>
      </c>
      <c r="V11" s="627" t="s">
        <v>25</v>
      </c>
      <c r="W11" s="628" t="e">
        <f t="shared" si="2"/>
        <v>#N/A</v>
      </c>
      <c r="X11" s="629"/>
      <c r="Y11" s="4549"/>
      <c r="Z11" s="19" t="str">
        <f t="shared" si="7"/>
        <v>容积率</v>
      </c>
      <c r="AA11" s="630" t="e">
        <f t="shared" si="3"/>
        <v>#N/A</v>
      </c>
      <c r="AB11" s="630" t="e">
        <f t="shared" si="4"/>
        <v>#N/A</v>
      </c>
      <c r="AC11" s="630" t="e">
        <f t="shared" si="5"/>
        <v>#N/A</v>
      </c>
    </row>
    <row r="12" spans="1:29" s="25" customFormat="1" ht="15">
      <c r="A12" s="321"/>
      <c r="B12" s="1563">
        <v>111</v>
      </c>
      <c r="C12" s="322">
        <v>111</v>
      </c>
      <c r="D12" s="323">
        <v>100</v>
      </c>
      <c r="E12" s="436"/>
      <c r="F12" s="29">
        <f>SUMIF(77:77,E12,78:78)-SUMIF(77:77,C12,78:78)+100</f>
        <v>100</v>
      </c>
      <c r="G12" s="555"/>
      <c r="H12" s="29">
        <f>SUMIF(77:77,G12,78:78)-SUMIF(77:77,C12,78:78)+100</f>
        <v>100</v>
      </c>
      <c r="I12" s="436"/>
      <c r="J12" s="29">
        <f>SUMIF(77:77,I12,78:78)-SUMIF(77:77,C12,78:78)+100</f>
        <v>100</v>
      </c>
      <c r="K12" s="553"/>
      <c r="L12" s="3025"/>
      <c r="M12" s="3026"/>
      <c r="N12" s="3026"/>
      <c r="O12" s="3027"/>
      <c r="P12" s="4530"/>
      <c r="Q12" s="1327">
        <f t="shared" si="6"/>
        <v>111</v>
      </c>
      <c r="R12" s="627" t="s">
        <v>25</v>
      </c>
      <c r="S12" s="628">
        <f t="shared" si="0"/>
        <v>100</v>
      </c>
      <c r="T12" s="627" t="s">
        <v>25</v>
      </c>
      <c r="U12" s="628">
        <f t="shared" si="1"/>
        <v>100</v>
      </c>
      <c r="V12" s="627" t="s">
        <v>25</v>
      </c>
      <c r="W12" s="628">
        <f t="shared" si="2"/>
        <v>100</v>
      </c>
      <c r="X12" s="629"/>
      <c r="Y12" s="4549"/>
      <c r="Z12" s="19">
        <f t="shared" si="7"/>
        <v>111</v>
      </c>
      <c r="AA12" s="630">
        <f>D12/F12</f>
        <v>1</v>
      </c>
      <c r="AB12" s="630">
        <f>D12/H12</f>
        <v>1</v>
      </c>
      <c r="AC12" s="630">
        <f>D12/J12</f>
        <v>1</v>
      </c>
    </row>
    <row r="13" spans="1:29" ht="15">
      <c r="A13" s="318"/>
      <c r="B13" s="156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3"/>
      <c r="M13" s="3024"/>
      <c r="N13" s="3024"/>
      <c r="O13" s="3032"/>
      <c r="P13" s="4530"/>
      <c r="Q13" s="1327">
        <f t="shared" si="6"/>
        <v>111</v>
      </c>
      <c r="R13" s="627" t="s">
        <v>25</v>
      </c>
      <c r="S13" s="628">
        <f t="shared" si="0"/>
        <v>100</v>
      </c>
      <c r="T13" s="627" t="s">
        <v>25</v>
      </c>
      <c r="U13" s="628">
        <f t="shared" si="1"/>
        <v>100</v>
      </c>
      <c r="V13" s="627" t="s">
        <v>25</v>
      </c>
      <c r="W13" s="628">
        <f t="shared" si="2"/>
        <v>100</v>
      </c>
      <c r="X13" s="629"/>
      <c r="Y13" s="4549"/>
      <c r="Z13" s="19">
        <f t="shared" si="7"/>
        <v>111</v>
      </c>
      <c r="AA13" s="630">
        <f t="shared" si="3"/>
        <v>1</v>
      </c>
      <c r="AB13" s="630">
        <f t="shared" si="4"/>
        <v>1</v>
      </c>
      <c r="AC13" s="630">
        <f t="shared" si="5"/>
        <v>1</v>
      </c>
    </row>
    <row r="14" spans="1:29" ht="15.75" thickBot="1">
      <c r="A14" s="326"/>
      <c r="B14" s="1564">
        <v>111</v>
      </c>
      <c r="C14" s="1565">
        <v>111</v>
      </c>
      <c r="D14" s="327">
        <v>100</v>
      </c>
      <c r="E14" s="436"/>
      <c r="F14" s="327">
        <f>SUMIF(81:81,E14,82:82)-SUMIF(81:81,C14,82:82)+100</f>
        <v>100</v>
      </c>
      <c r="G14" s="555"/>
      <c r="H14" s="327">
        <f>SUMIF(81:81,G14,82:82)-SUMIF(81:81,C14,82:82)+100</f>
        <v>100</v>
      </c>
      <c r="I14" s="436"/>
      <c r="J14" s="327">
        <f>SUMIF(81:81,I14,82:82)-SUMIF(81:81,C14,82:82)+100</f>
        <v>100</v>
      </c>
      <c r="K14" s="553"/>
      <c r="L14" s="3033"/>
      <c r="M14" s="3024"/>
      <c r="N14" s="3024"/>
      <c r="O14" s="3032"/>
      <c r="P14" s="4530"/>
      <c r="Q14" s="1327">
        <f t="shared" si="6"/>
        <v>111</v>
      </c>
      <c r="R14" s="627" t="s">
        <v>25</v>
      </c>
      <c r="S14" s="628">
        <f t="shared" si="0"/>
        <v>100</v>
      </c>
      <c r="T14" s="627" t="s">
        <v>25</v>
      </c>
      <c r="U14" s="628">
        <f t="shared" si="1"/>
        <v>100</v>
      </c>
      <c r="V14" s="627" t="s">
        <v>25</v>
      </c>
      <c r="W14" s="628">
        <f t="shared" si="2"/>
        <v>100</v>
      </c>
      <c r="X14" s="629"/>
      <c r="Y14" s="4549"/>
      <c r="Z14" s="19">
        <f t="shared" si="7"/>
        <v>111</v>
      </c>
      <c r="AA14" s="630">
        <f t="shared" si="3"/>
        <v>1</v>
      </c>
      <c r="AB14" s="630">
        <f t="shared" si="4"/>
        <v>1</v>
      </c>
      <c r="AC14" s="630">
        <f t="shared" si="5"/>
        <v>1</v>
      </c>
    </row>
    <row r="15" spans="1:29" ht="57">
      <c r="A15" s="329" t="s">
        <v>2268</v>
      </c>
      <c r="B15" s="511" t="s">
        <v>2490</v>
      </c>
      <c r="C15" s="158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3"/>
      <c r="M15" s="3024"/>
      <c r="N15" s="3024"/>
      <c r="O15" s="3032"/>
      <c r="P15" s="4547" t="s">
        <v>2269</v>
      </c>
      <c r="Q15" s="1334" t="str">
        <f t="shared" si="6"/>
        <v>产业集聚程度</v>
      </c>
      <c r="R15" s="631" t="s">
        <v>25</v>
      </c>
      <c r="S15" s="632">
        <f t="shared" si="0"/>
        <v>100</v>
      </c>
      <c r="T15" s="631" t="s">
        <v>25</v>
      </c>
      <c r="U15" s="632">
        <f t="shared" si="1"/>
        <v>100</v>
      </c>
      <c r="V15" s="631" t="s">
        <v>25</v>
      </c>
      <c r="W15" s="632">
        <f t="shared" si="2"/>
        <v>100</v>
      </c>
      <c r="X15" s="1335"/>
      <c r="Y15" s="4547" t="s">
        <v>2269</v>
      </c>
      <c r="Z15" s="1336" t="str">
        <f t="shared" si="7"/>
        <v>产业集聚程度</v>
      </c>
      <c r="AA15" s="1337">
        <f t="shared" si="3"/>
        <v>1</v>
      </c>
      <c r="AB15" s="1337">
        <f t="shared" si="4"/>
        <v>1</v>
      </c>
      <c r="AC15" s="1337">
        <f t="shared" si="5"/>
        <v>1</v>
      </c>
    </row>
    <row r="16" spans="1:29" ht="15">
      <c r="A16" s="318"/>
      <c r="B16" s="512"/>
      <c r="C16" s="335"/>
      <c r="D16" s="336"/>
      <c r="E16" s="1135"/>
      <c r="F16" s="336"/>
      <c r="G16" s="1135"/>
      <c r="H16" s="339"/>
      <c r="I16" s="1135"/>
      <c r="J16" s="336"/>
      <c r="K16" s="553"/>
      <c r="L16" s="3033"/>
      <c r="M16" s="3024"/>
      <c r="N16" s="3024"/>
      <c r="O16" s="3032"/>
      <c r="P16" s="4548"/>
      <c r="Q16" s="1334"/>
      <c r="R16" s="631"/>
      <c r="S16" s="632"/>
      <c r="T16" s="631"/>
      <c r="U16" s="632"/>
      <c r="V16" s="631"/>
      <c r="W16" s="632"/>
      <c r="X16" s="1335"/>
      <c r="Y16" s="4548"/>
      <c r="Z16" s="1336"/>
      <c r="AA16" s="1337">
        <v>1</v>
      </c>
      <c r="AB16" s="1337">
        <v>1</v>
      </c>
      <c r="AC16" s="1337">
        <v>1</v>
      </c>
    </row>
    <row r="17" spans="1:29" ht="85.5">
      <c r="A17" s="318"/>
      <c r="B17" s="513" t="s">
        <v>2406</v>
      </c>
      <c r="C17" s="156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3"/>
      <c r="M17" s="3024"/>
      <c r="N17" s="3024"/>
      <c r="O17" s="3032"/>
      <c r="P17" s="4548"/>
      <c r="Q17" s="1334" t="str">
        <f>B17</f>
        <v>交通便捷度</v>
      </c>
      <c r="R17" s="631" t="s">
        <v>25</v>
      </c>
      <c r="S17" s="632">
        <f>F17</f>
        <v>100</v>
      </c>
      <c r="T17" s="631" t="s">
        <v>25</v>
      </c>
      <c r="U17" s="632">
        <f>H17</f>
        <v>100</v>
      </c>
      <c r="V17" s="631" t="s">
        <v>25</v>
      </c>
      <c r="W17" s="632">
        <f>J17</f>
        <v>100</v>
      </c>
      <c r="X17" s="1335"/>
      <c r="Y17" s="4548"/>
      <c r="Z17" s="1336" t="str">
        <f>Q17</f>
        <v>交通便捷度</v>
      </c>
      <c r="AA17" s="1337">
        <f t="shared" si="3"/>
        <v>1</v>
      </c>
      <c r="AB17" s="1337">
        <f t="shared" si="4"/>
        <v>1</v>
      </c>
      <c r="AC17" s="1337">
        <f t="shared" si="5"/>
        <v>1</v>
      </c>
    </row>
    <row r="18" spans="1:29" ht="15">
      <c r="A18" s="318"/>
      <c r="B18" s="514"/>
      <c r="C18" s="335"/>
      <c r="D18" s="336"/>
      <c r="E18" s="337"/>
      <c r="F18" s="336"/>
      <c r="G18" s="337"/>
      <c r="H18" s="336"/>
      <c r="I18" s="1566"/>
      <c r="J18" s="336"/>
      <c r="K18" s="553"/>
      <c r="L18" s="3033"/>
      <c r="M18" s="3024"/>
      <c r="N18" s="3024"/>
      <c r="O18" s="3032"/>
      <c r="P18" s="4548"/>
      <c r="Q18" s="1334"/>
      <c r="R18" s="631"/>
      <c r="S18" s="632"/>
      <c r="T18" s="631"/>
      <c r="U18" s="632"/>
      <c r="V18" s="631"/>
      <c r="W18" s="632"/>
      <c r="X18" s="1335"/>
      <c r="Y18" s="4548"/>
      <c r="Z18" s="1336"/>
      <c r="AA18" s="1337">
        <v>1</v>
      </c>
      <c r="AB18" s="1337">
        <v>1</v>
      </c>
      <c r="AC18" s="1337">
        <v>1</v>
      </c>
    </row>
    <row r="19" spans="1:29" ht="15">
      <c r="A19" s="318"/>
      <c r="B19" s="513" t="s">
        <v>2446</v>
      </c>
      <c r="C19" s="156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3"/>
      <c r="M19" s="3024"/>
      <c r="N19" s="3024"/>
      <c r="O19" s="3032"/>
      <c r="P19" s="4548"/>
      <c r="Q19" s="1334" t="str">
        <f t="shared" ref="Q19:Q33" si="8">B19</f>
        <v>区域土地利用方向</v>
      </c>
      <c r="R19" s="631" t="s">
        <v>25</v>
      </c>
      <c r="S19" s="632">
        <f>F19</f>
        <v>100</v>
      </c>
      <c r="T19" s="631" t="s">
        <v>25</v>
      </c>
      <c r="U19" s="632">
        <f>H19</f>
        <v>100</v>
      </c>
      <c r="V19" s="631" t="s">
        <v>25</v>
      </c>
      <c r="W19" s="632">
        <f>J19</f>
        <v>100</v>
      </c>
      <c r="X19" s="1335"/>
      <c r="Y19" s="4548"/>
      <c r="Z19" s="1336" t="str">
        <f>Q19</f>
        <v>区域土地利用方向</v>
      </c>
      <c r="AA19" s="1337">
        <f t="shared" si="3"/>
        <v>1</v>
      </c>
      <c r="AB19" s="1337">
        <f t="shared" si="4"/>
        <v>1</v>
      </c>
      <c r="AC19" s="1337">
        <f t="shared" si="5"/>
        <v>1</v>
      </c>
    </row>
    <row r="20" spans="1:29" ht="15">
      <c r="A20" s="297"/>
      <c r="B20" s="514"/>
      <c r="C20" s="335"/>
      <c r="D20" s="336"/>
      <c r="E20" s="337"/>
      <c r="F20" s="336"/>
      <c r="G20" s="337"/>
      <c r="H20" s="336"/>
      <c r="I20" s="337"/>
      <c r="J20" s="336"/>
      <c r="K20" s="665"/>
      <c r="L20" s="3033"/>
      <c r="M20" s="3024"/>
      <c r="N20" s="3024"/>
      <c r="O20" s="3032"/>
      <c r="P20" s="4548"/>
      <c r="Q20" s="1334"/>
      <c r="R20" s="631"/>
      <c r="S20" s="632"/>
      <c r="T20" s="631"/>
      <c r="U20" s="632"/>
      <c r="V20" s="631"/>
      <c r="W20" s="632"/>
      <c r="X20" s="1335"/>
      <c r="Y20" s="4548"/>
      <c r="Z20" s="1336"/>
      <c r="AA20" s="1337"/>
      <c r="AB20" s="1337"/>
      <c r="AC20" s="1337"/>
    </row>
    <row r="21" spans="1:29" ht="71.25">
      <c r="A21" s="297"/>
      <c r="B21" s="513" t="s">
        <v>2491</v>
      </c>
      <c r="C21" s="156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3"/>
      <c r="M21" s="3024"/>
      <c r="N21" s="3024"/>
      <c r="O21" s="3032"/>
      <c r="P21" s="4548"/>
      <c r="Q21" s="1334" t="str">
        <f t="shared" si="8"/>
        <v>环境状况</v>
      </c>
      <c r="R21" s="631" t="s">
        <v>25</v>
      </c>
      <c r="S21" s="632">
        <f>F21</f>
        <v>100</v>
      </c>
      <c r="T21" s="631" t="s">
        <v>25</v>
      </c>
      <c r="U21" s="632">
        <f>H21</f>
        <v>100</v>
      </c>
      <c r="V21" s="631" t="s">
        <v>25</v>
      </c>
      <c r="W21" s="632">
        <f>J21</f>
        <v>100</v>
      </c>
      <c r="X21" s="1335"/>
      <c r="Y21" s="4548"/>
      <c r="Z21" s="1336" t="str">
        <f>Q21</f>
        <v>环境状况</v>
      </c>
      <c r="AA21" s="1337">
        <f t="shared" si="3"/>
        <v>1</v>
      </c>
      <c r="AB21" s="1337">
        <f t="shared" si="4"/>
        <v>1</v>
      </c>
      <c r="AC21" s="1337">
        <f t="shared" si="5"/>
        <v>1</v>
      </c>
    </row>
    <row r="22" spans="1:29" ht="15">
      <c r="A22" s="297"/>
      <c r="B22" s="514"/>
      <c r="C22" s="335"/>
      <c r="D22" s="336"/>
      <c r="E22" s="1135"/>
      <c r="F22" s="336"/>
      <c r="G22" s="1135"/>
      <c r="H22" s="336"/>
      <c r="I22" s="335"/>
      <c r="J22" s="336"/>
      <c r="K22" s="553"/>
      <c r="L22" s="3033"/>
      <c r="M22" s="3024"/>
      <c r="N22" s="3024"/>
      <c r="O22" s="3032"/>
      <c r="P22" s="4548"/>
      <c r="Q22" s="1334"/>
      <c r="R22" s="631"/>
      <c r="S22" s="632"/>
      <c r="T22" s="631"/>
      <c r="U22" s="632"/>
      <c r="V22" s="631"/>
      <c r="W22" s="632"/>
      <c r="X22" s="1335"/>
      <c r="Y22" s="4548"/>
      <c r="Z22" s="1336"/>
      <c r="AA22" s="1337">
        <v>1</v>
      </c>
      <c r="AB22" s="1337">
        <v>1</v>
      </c>
      <c r="AC22" s="1337">
        <v>1</v>
      </c>
    </row>
    <row r="23" spans="1:29" s="25" customFormat="1" ht="42.75">
      <c r="A23" s="531"/>
      <c r="B23" s="513" t="s">
        <v>2355</v>
      </c>
      <c r="C23" s="156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5"/>
      <c r="M23" s="3026"/>
      <c r="N23" s="3026"/>
      <c r="O23" s="3027"/>
      <c r="P23" s="4548"/>
      <c r="Q23" s="1327" t="str">
        <f t="shared" si="8"/>
        <v>公共配套设施</v>
      </c>
      <c r="R23" s="627" t="s">
        <v>25</v>
      </c>
      <c r="S23" s="628">
        <f>F23</f>
        <v>100</v>
      </c>
      <c r="T23" s="627" t="s">
        <v>25</v>
      </c>
      <c r="U23" s="628">
        <f>H23</f>
        <v>100</v>
      </c>
      <c r="V23" s="627" t="s">
        <v>25</v>
      </c>
      <c r="W23" s="628">
        <f>J23</f>
        <v>100</v>
      </c>
      <c r="X23" s="629"/>
      <c r="Y23" s="4548"/>
      <c r="Z23" s="19" t="str">
        <f>Q23</f>
        <v>公共配套设施</v>
      </c>
      <c r="AA23" s="1337">
        <f>D23/F23</f>
        <v>1</v>
      </c>
      <c r="AB23" s="1337">
        <f>D23/H23</f>
        <v>1</v>
      </c>
      <c r="AC23" s="1337">
        <f>D23/J23</f>
        <v>1</v>
      </c>
    </row>
    <row r="24" spans="1:29" s="25" customFormat="1" ht="15">
      <c r="A24" s="531"/>
      <c r="B24" s="514"/>
      <c r="C24" s="1595"/>
      <c r="D24" s="336"/>
      <c r="E24" s="1135"/>
      <c r="F24" s="336"/>
      <c r="G24" s="1135"/>
      <c r="H24" s="336"/>
      <c r="I24" s="335"/>
      <c r="J24" s="336"/>
      <c r="K24" s="553"/>
      <c r="L24" s="3025"/>
      <c r="M24" s="3026"/>
      <c r="N24" s="3026"/>
      <c r="O24" s="3027"/>
      <c r="P24" s="4548"/>
      <c r="Q24" s="1327"/>
      <c r="R24" s="627"/>
      <c r="S24" s="628"/>
      <c r="T24" s="627"/>
      <c r="U24" s="628"/>
      <c r="V24" s="627"/>
      <c r="W24" s="628"/>
      <c r="X24" s="629"/>
      <c r="Y24" s="4548"/>
      <c r="Z24" s="19"/>
      <c r="AA24" s="630">
        <v>1</v>
      </c>
      <c r="AB24" s="630">
        <v>1</v>
      </c>
      <c r="AC24" s="630">
        <v>1</v>
      </c>
    </row>
    <row r="25" spans="1:29" s="25" customFormat="1" ht="28.5">
      <c r="A25" s="531"/>
      <c r="B25" s="515" t="s">
        <v>2356</v>
      </c>
      <c r="C25" s="156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5"/>
      <c r="M25" s="3026"/>
      <c r="N25" s="3026"/>
      <c r="O25" s="3027"/>
      <c r="P25" s="4548"/>
      <c r="Q25" s="1327" t="str">
        <f t="shared" ref="Q25" si="9">B25</f>
        <v>基础设施水平</v>
      </c>
      <c r="R25" s="627" t="s">
        <v>25</v>
      </c>
      <c r="S25" s="628">
        <f>F25</f>
        <v>100</v>
      </c>
      <c r="T25" s="627" t="s">
        <v>25</v>
      </c>
      <c r="U25" s="628">
        <f>H25</f>
        <v>100</v>
      </c>
      <c r="V25" s="627" t="s">
        <v>25</v>
      </c>
      <c r="W25" s="628">
        <f>J25</f>
        <v>100</v>
      </c>
      <c r="X25" s="629"/>
      <c r="Y25" s="4548"/>
      <c r="Z25" s="19" t="str">
        <f>Q25</f>
        <v>基础设施水平</v>
      </c>
      <c r="AA25" s="1337">
        <f>D25/F25</f>
        <v>1</v>
      </c>
      <c r="AB25" s="1337">
        <f>D25/H25</f>
        <v>1</v>
      </c>
      <c r="AC25" s="1337">
        <f>D25/J25</f>
        <v>1</v>
      </c>
    </row>
    <row r="26" spans="1:29" s="25" customFormat="1" ht="15">
      <c r="A26" s="531"/>
      <c r="B26" s="514"/>
      <c r="C26" s="1595"/>
      <c r="D26" s="336"/>
      <c r="E26" s="1586"/>
      <c r="F26" s="336"/>
      <c r="G26" s="1586"/>
      <c r="H26" s="336"/>
      <c r="I26" s="1586"/>
      <c r="J26" s="336"/>
      <c r="K26" s="553"/>
      <c r="L26" s="3025"/>
      <c r="M26" s="3026"/>
      <c r="N26" s="3026"/>
      <c r="O26" s="3027"/>
      <c r="P26" s="4548"/>
      <c r="Q26" s="1327"/>
      <c r="R26" s="627"/>
      <c r="S26" s="628"/>
      <c r="T26" s="627"/>
      <c r="U26" s="628"/>
      <c r="V26" s="627"/>
      <c r="W26" s="628"/>
      <c r="X26" s="629"/>
      <c r="Y26" s="4548"/>
      <c r="Z26" s="19"/>
      <c r="AA26" s="630">
        <v>1</v>
      </c>
      <c r="AB26" s="630">
        <v>1</v>
      </c>
      <c r="AC26" s="630">
        <v>1</v>
      </c>
    </row>
    <row r="27" spans="1:29" ht="15">
      <c r="A27" s="318"/>
      <c r="B27" s="514" t="s">
        <v>2357</v>
      </c>
      <c r="C27" s="502"/>
      <c r="D27" s="325">
        <v>100</v>
      </c>
      <c r="E27" s="516"/>
      <c r="F27" s="325">
        <f>SUMIF(95:95,E27,96:96)-SUMIF(95:95,C27,96:96)+100</f>
        <v>100</v>
      </c>
      <c r="G27" s="516"/>
      <c r="H27" s="325">
        <f>SUMIF(95:95,G27,96:96)-SUMIF(95:95,C27,96:96)+100</f>
        <v>100</v>
      </c>
      <c r="I27" s="516"/>
      <c r="J27" s="325">
        <f>SUMIF(95:95,I27,96:96)-SUMIF(95:95,C27,96:96)+100</f>
        <v>100</v>
      </c>
      <c r="K27" s="554"/>
      <c r="L27" s="3033"/>
      <c r="M27" s="3024"/>
      <c r="N27" s="3024"/>
      <c r="O27" s="3032"/>
      <c r="P27" s="4548"/>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4548"/>
      <c r="Z27" s="1336" t="str">
        <f t="shared" ref="Z27:Z40" si="13">Q27</f>
        <v>临街状况</v>
      </c>
      <c r="AA27" s="1337">
        <f t="shared" si="3"/>
        <v>1</v>
      </c>
      <c r="AB27" s="1337">
        <f t="shared" si="4"/>
        <v>1</v>
      </c>
      <c r="AC27" s="1337">
        <f t="shared" si="5"/>
        <v>1</v>
      </c>
    </row>
    <row r="28" spans="1:29" ht="27">
      <c r="A28" s="318"/>
      <c r="B28" s="515" t="s">
        <v>2387</v>
      </c>
      <c r="C28" s="1596">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3"/>
      <c r="M28" s="3024"/>
      <c r="N28" s="3024"/>
      <c r="O28" s="3032"/>
      <c r="P28" s="4548"/>
      <c r="Q28" s="1334" t="str">
        <f t="shared" si="8"/>
        <v>毗邻道路的类型与等级</v>
      </c>
      <c r="R28" s="631" t="s">
        <v>25</v>
      </c>
      <c r="S28" s="632">
        <f t="shared" si="10"/>
        <v>100</v>
      </c>
      <c r="T28" s="631" t="s">
        <v>25</v>
      </c>
      <c r="U28" s="632">
        <f t="shared" si="11"/>
        <v>100</v>
      </c>
      <c r="V28" s="631" t="s">
        <v>25</v>
      </c>
      <c r="W28" s="632">
        <f t="shared" si="12"/>
        <v>100</v>
      </c>
      <c r="X28" s="1335"/>
      <c r="Y28" s="4548"/>
      <c r="Z28" s="1336" t="str">
        <f t="shared" si="13"/>
        <v>毗邻道路的类型与等级</v>
      </c>
      <c r="AA28" s="1337">
        <f t="shared" si="3"/>
        <v>1</v>
      </c>
      <c r="AB28" s="1337">
        <f t="shared" si="4"/>
        <v>1</v>
      </c>
      <c r="AC28" s="1337">
        <f t="shared" si="5"/>
        <v>1</v>
      </c>
    </row>
    <row r="29" spans="1:29" ht="15">
      <c r="A29" s="318"/>
      <c r="B29" s="514"/>
      <c r="C29" s="335"/>
      <c r="D29" s="336"/>
      <c r="E29" s="1135"/>
      <c r="F29" s="336"/>
      <c r="G29" s="1135"/>
      <c r="H29" s="336"/>
      <c r="I29" s="1135"/>
      <c r="J29" s="336"/>
      <c r="K29" s="499"/>
      <c r="L29" s="3033"/>
      <c r="M29" s="3024"/>
      <c r="N29" s="3024"/>
      <c r="O29" s="3032"/>
      <c r="P29" s="4548"/>
      <c r="Q29" s="1334"/>
      <c r="R29" s="631"/>
      <c r="S29" s="632"/>
      <c r="T29" s="631"/>
      <c r="U29" s="632"/>
      <c r="V29" s="631"/>
      <c r="W29" s="632"/>
      <c r="X29" s="1335"/>
      <c r="Y29" s="4548"/>
      <c r="Z29" s="1336"/>
      <c r="AA29" s="1337">
        <v>1</v>
      </c>
      <c r="AB29" s="1337">
        <v>1</v>
      </c>
      <c r="AC29" s="1337">
        <v>1</v>
      </c>
    </row>
    <row r="30" spans="1:29" ht="15">
      <c r="A30" s="318"/>
      <c r="B30" s="535" t="s">
        <v>2448</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3"/>
      <c r="M30" s="3024"/>
      <c r="N30" s="3024"/>
      <c r="O30" s="3032"/>
      <c r="P30" s="4548"/>
      <c r="Q30" s="1334" t="str">
        <f t="shared" si="8"/>
        <v>土地级别</v>
      </c>
      <c r="R30" s="631" t="s">
        <v>25</v>
      </c>
      <c r="S30" s="632">
        <f t="shared" si="10"/>
        <v>100</v>
      </c>
      <c r="T30" s="631" t="s">
        <v>25</v>
      </c>
      <c r="U30" s="632">
        <f t="shared" si="11"/>
        <v>100</v>
      </c>
      <c r="V30" s="631" t="s">
        <v>25</v>
      </c>
      <c r="W30" s="632">
        <f t="shared" si="12"/>
        <v>100</v>
      </c>
      <c r="X30" s="1335"/>
      <c r="Y30" s="4548"/>
      <c r="Z30" s="1336" t="str">
        <f t="shared" si="13"/>
        <v>土地级别</v>
      </c>
      <c r="AA30" s="1337">
        <f t="shared" si="3"/>
        <v>1</v>
      </c>
      <c r="AB30" s="1337">
        <f t="shared" si="4"/>
        <v>1</v>
      </c>
      <c r="AC30" s="1337">
        <f t="shared" si="5"/>
        <v>1</v>
      </c>
    </row>
    <row r="31" spans="1:29" ht="15">
      <c r="A31" s="297"/>
      <c r="B31" s="157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3"/>
      <c r="M31" s="3024"/>
      <c r="N31" s="3024"/>
      <c r="O31" s="3032"/>
      <c r="P31" s="4548"/>
      <c r="Q31" s="1334">
        <f t="shared" si="8"/>
        <v>111</v>
      </c>
      <c r="R31" s="631" t="s">
        <v>25</v>
      </c>
      <c r="S31" s="632">
        <f t="shared" si="10"/>
        <v>100</v>
      </c>
      <c r="T31" s="631" t="s">
        <v>25</v>
      </c>
      <c r="U31" s="632">
        <f t="shared" si="11"/>
        <v>100</v>
      </c>
      <c r="V31" s="631" t="s">
        <v>25</v>
      </c>
      <c r="W31" s="632">
        <f t="shared" si="12"/>
        <v>100</v>
      </c>
      <c r="X31" s="1335"/>
      <c r="Y31" s="4548"/>
      <c r="Z31" s="1336">
        <f t="shared" si="13"/>
        <v>111</v>
      </c>
      <c r="AA31" s="1337">
        <f t="shared" si="3"/>
        <v>1</v>
      </c>
      <c r="AB31" s="1337">
        <f t="shared" si="4"/>
        <v>1</v>
      </c>
      <c r="AC31" s="1337">
        <f t="shared" si="5"/>
        <v>1</v>
      </c>
    </row>
    <row r="32" spans="1:29" ht="15">
      <c r="A32" s="556"/>
      <c r="B32" s="1597">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3"/>
      <c r="M32" s="3024"/>
      <c r="N32" s="3024"/>
      <c r="O32" s="3032"/>
      <c r="P32" s="4535" t="s">
        <v>2275</v>
      </c>
      <c r="Q32" s="1334">
        <f t="shared" si="8"/>
        <v>111</v>
      </c>
      <c r="R32" s="631" t="s">
        <v>25</v>
      </c>
      <c r="S32" s="632">
        <f t="shared" si="10"/>
        <v>100</v>
      </c>
      <c r="T32" s="631" t="s">
        <v>25</v>
      </c>
      <c r="U32" s="632">
        <f t="shared" si="11"/>
        <v>100</v>
      </c>
      <c r="V32" s="631" t="s">
        <v>25</v>
      </c>
      <c r="W32" s="632">
        <f t="shared" si="12"/>
        <v>100</v>
      </c>
      <c r="X32" s="1335"/>
      <c r="Y32" s="4536" t="s">
        <v>2275</v>
      </c>
      <c r="Z32" s="1336">
        <f t="shared" si="13"/>
        <v>111</v>
      </c>
      <c r="AA32" s="1337">
        <f t="shared" si="3"/>
        <v>1</v>
      </c>
      <c r="AB32" s="1337">
        <f t="shared" si="4"/>
        <v>1</v>
      </c>
      <c r="AC32" s="1337">
        <f t="shared" si="5"/>
        <v>1</v>
      </c>
    </row>
    <row r="33" spans="1:29" s="359" customFormat="1" ht="15.75" thickBot="1">
      <c r="A33" s="557"/>
      <c r="B33" s="1598">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31"/>
      <c r="M33" s="358"/>
      <c r="N33" s="358"/>
      <c r="O33" s="3034"/>
      <c r="P33" s="4536"/>
      <c r="Q33" s="1334">
        <f t="shared" si="8"/>
        <v>111</v>
      </c>
      <c r="R33" s="634" t="s">
        <v>25</v>
      </c>
      <c r="S33" s="635">
        <f t="shared" si="10"/>
        <v>100</v>
      </c>
      <c r="T33" s="634" t="s">
        <v>25</v>
      </c>
      <c r="U33" s="635">
        <f t="shared" si="11"/>
        <v>100</v>
      </c>
      <c r="V33" s="634" t="s">
        <v>25</v>
      </c>
      <c r="W33" s="635">
        <f t="shared" si="12"/>
        <v>100</v>
      </c>
      <c r="X33" s="636"/>
      <c r="Y33" s="4536"/>
      <c r="Z33" s="637">
        <f t="shared" si="13"/>
        <v>111</v>
      </c>
      <c r="AA33" s="1337">
        <f t="shared" si="3"/>
        <v>1</v>
      </c>
      <c r="AB33" s="1337">
        <f t="shared" si="4"/>
        <v>1</v>
      </c>
      <c r="AC33" s="1337">
        <f t="shared" si="5"/>
        <v>1</v>
      </c>
    </row>
    <row r="34" spans="1:29" ht="15">
      <c r="A34" s="360" t="s">
        <v>2273</v>
      </c>
      <c r="B34" s="345" t="s">
        <v>2449</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3"/>
      <c r="M34" s="3024"/>
      <c r="N34" s="3024"/>
      <c r="O34" s="3032"/>
      <c r="P34" s="4536"/>
      <c r="Q34" s="1334" t="str">
        <f>B34</f>
        <v>宗地面积</v>
      </c>
      <c r="R34" s="631" t="s">
        <v>25</v>
      </c>
      <c r="S34" s="632" t="e">
        <f t="shared" si="10"/>
        <v>#N/A</v>
      </c>
      <c r="T34" s="631" t="s">
        <v>25</v>
      </c>
      <c r="U34" s="632" t="e">
        <f t="shared" si="11"/>
        <v>#N/A</v>
      </c>
      <c r="V34" s="631" t="s">
        <v>25</v>
      </c>
      <c r="W34" s="632" t="e">
        <f t="shared" si="12"/>
        <v>#N/A</v>
      </c>
      <c r="X34" s="1335"/>
      <c r="Y34" s="4536"/>
      <c r="Z34" s="1336" t="str">
        <f t="shared" si="13"/>
        <v>宗地面积</v>
      </c>
      <c r="AA34" s="1337" t="e">
        <f t="shared" si="3"/>
        <v>#N/A</v>
      </c>
      <c r="AB34" s="1337" t="e">
        <f t="shared" si="4"/>
        <v>#N/A</v>
      </c>
      <c r="AC34" s="1337" t="e">
        <f t="shared" si="5"/>
        <v>#N/A</v>
      </c>
    </row>
    <row r="35" spans="1:29" ht="15">
      <c r="A35" s="360"/>
      <c r="B35" s="313" t="s">
        <v>2450</v>
      </c>
      <c r="C35" s="1570"/>
      <c r="D35" s="325">
        <v>100</v>
      </c>
      <c r="E35" s="1570"/>
      <c r="F35" s="325">
        <f>SUMIF(110:110,E35,111:111)-SUMIF(110:110,C35,111:111)+100</f>
        <v>100</v>
      </c>
      <c r="G35" s="1570"/>
      <c r="H35" s="325">
        <f>SUMIF(110:110,G35,111:111)-SUMIF(110:110,C35,111:111)+100</f>
        <v>100</v>
      </c>
      <c r="I35" s="1570"/>
      <c r="J35" s="325">
        <f>SUMIF(110:110,I35,111:111)-SUMIF(110:110,C35,111:111)+100</f>
        <v>100</v>
      </c>
      <c r="K35" s="498"/>
      <c r="L35" s="3033"/>
      <c r="M35" s="3024"/>
      <c r="N35" s="3024"/>
      <c r="O35" s="3032"/>
      <c r="P35" s="4536"/>
      <c r="Q35" s="1334" t="str">
        <f t="shared" ref="Q35:Q40" si="14">B35</f>
        <v>宗地形状</v>
      </c>
      <c r="R35" s="631" t="s">
        <v>25</v>
      </c>
      <c r="S35" s="632">
        <f t="shared" si="10"/>
        <v>100</v>
      </c>
      <c r="T35" s="631" t="s">
        <v>25</v>
      </c>
      <c r="U35" s="632">
        <f t="shared" si="11"/>
        <v>100</v>
      </c>
      <c r="V35" s="631" t="s">
        <v>25</v>
      </c>
      <c r="W35" s="632">
        <f t="shared" si="12"/>
        <v>100</v>
      </c>
      <c r="X35" s="1335"/>
      <c r="Y35" s="4536"/>
      <c r="Z35" s="1336" t="str">
        <f t="shared" si="13"/>
        <v>宗地形状</v>
      </c>
      <c r="AA35" s="1337">
        <f t="shared" si="3"/>
        <v>1</v>
      </c>
      <c r="AB35" s="1337">
        <f t="shared" si="4"/>
        <v>1</v>
      </c>
      <c r="AC35" s="1337">
        <f t="shared" si="5"/>
        <v>1</v>
      </c>
    </row>
    <row r="36" spans="1:29" s="25" customFormat="1" ht="15">
      <c r="A36" s="361"/>
      <c r="B36" s="313" t="s">
        <v>2452</v>
      </c>
      <c r="C36" s="1587"/>
      <c r="D36" s="29">
        <v>100</v>
      </c>
      <c r="E36" s="1587"/>
      <c r="F36" s="325">
        <f>SUMIF(112:112,E36,113:113)-SUMIF(112:112,C36,113:113)+100</f>
        <v>100</v>
      </c>
      <c r="G36" s="1587"/>
      <c r="H36" s="325">
        <f>SUMIF(112:112,G36,113:113)-SUMIF(112:112,C36,113:113)+100</f>
        <v>100</v>
      </c>
      <c r="I36" s="1587"/>
      <c r="J36" s="325">
        <f>SUMIF(112:112,I36,113:113)-SUMIF(112:112,C36,113:113)+100</f>
        <v>100</v>
      </c>
      <c r="K36" s="498"/>
      <c r="L36" s="3025"/>
      <c r="M36" s="3026"/>
      <c r="N36" s="3026"/>
      <c r="O36" s="3027"/>
      <c r="P36" s="4536"/>
      <c r="Q36" s="1334" t="str">
        <f t="shared" si="14"/>
        <v>宗地开发程度</v>
      </c>
      <c r="R36" s="627" t="s">
        <v>25</v>
      </c>
      <c r="S36" s="628">
        <f t="shared" si="10"/>
        <v>100</v>
      </c>
      <c r="T36" s="627" t="s">
        <v>25</v>
      </c>
      <c r="U36" s="628">
        <f t="shared" si="11"/>
        <v>100</v>
      </c>
      <c r="V36" s="627" t="s">
        <v>25</v>
      </c>
      <c r="W36" s="628">
        <f t="shared" si="12"/>
        <v>100</v>
      </c>
      <c r="X36" s="629"/>
      <c r="Y36" s="4536"/>
      <c r="Z36" s="19" t="str">
        <f t="shared" si="13"/>
        <v>宗地开发程度</v>
      </c>
      <c r="AA36" s="630">
        <f t="shared" si="3"/>
        <v>1</v>
      </c>
      <c r="AB36" s="630">
        <f t="shared" si="4"/>
        <v>1</v>
      </c>
      <c r="AC36" s="630">
        <f t="shared" si="5"/>
        <v>1</v>
      </c>
    </row>
    <row r="37" spans="1:29" ht="15">
      <c r="A37" s="360"/>
      <c r="B37" s="313" t="s">
        <v>2453</v>
      </c>
      <c r="C37" s="1570"/>
      <c r="D37" s="325">
        <v>100</v>
      </c>
      <c r="E37" s="1570"/>
      <c r="F37" s="325">
        <f>SUMIF(114:114,E37,115:115)-SUMIF(114:114,C37,115:115)+100</f>
        <v>100</v>
      </c>
      <c r="G37" s="1570"/>
      <c r="H37" s="325">
        <f>SUMIF(114:114,G37,115:115)-SUMIF(114:114,C37,115:115)+100</f>
        <v>100</v>
      </c>
      <c r="I37" s="1570"/>
      <c r="J37" s="325">
        <f>SUMIF(114:114,I37,115:115)-SUMIF(114:114,C37,115:115)+100</f>
        <v>100</v>
      </c>
      <c r="K37" s="498"/>
      <c r="L37" s="3033"/>
      <c r="M37" s="3024"/>
      <c r="N37" s="3024"/>
      <c r="O37" s="3032"/>
      <c r="P37" s="4536" t="s">
        <v>2275</v>
      </c>
      <c r="Q37" s="1334" t="str">
        <f t="shared" si="14"/>
        <v>工程地质条件</v>
      </c>
      <c r="R37" s="631" t="s">
        <v>25</v>
      </c>
      <c r="S37" s="632">
        <f t="shared" si="10"/>
        <v>100</v>
      </c>
      <c r="T37" s="631" t="s">
        <v>25</v>
      </c>
      <c r="U37" s="632">
        <f t="shared" si="11"/>
        <v>100</v>
      </c>
      <c r="V37" s="631" t="s">
        <v>25</v>
      </c>
      <c r="W37" s="632">
        <f t="shared" si="12"/>
        <v>100</v>
      </c>
      <c r="X37" s="1335"/>
      <c r="Y37" s="4536" t="s">
        <v>2275</v>
      </c>
      <c r="Z37" s="1336" t="str">
        <f t="shared" si="13"/>
        <v>工程地质条件</v>
      </c>
      <c r="AA37" s="1337">
        <f t="shared" si="3"/>
        <v>1</v>
      </c>
      <c r="AB37" s="1337">
        <f t="shared" si="4"/>
        <v>1</v>
      </c>
      <c r="AC37" s="1337">
        <f t="shared" si="5"/>
        <v>1</v>
      </c>
    </row>
    <row r="38" spans="1:29" ht="15">
      <c r="A38" s="360"/>
      <c r="B38" s="1588">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3"/>
      <c r="M38" s="3024"/>
      <c r="N38" s="3024"/>
      <c r="O38" s="3032"/>
      <c r="P38" s="4536"/>
      <c r="Q38" s="1334">
        <f t="shared" si="14"/>
        <v>111</v>
      </c>
      <c r="R38" s="631" t="s">
        <v>25</v>
      </c>
      <c r="S38" s="632">
        <f t="shared" si="10"/>
        <v>100</v>
      </c>
      <c r="T38" s="631" t="s">
        <v>25</v>
      </c>
      <c r="U38" s="632">
        <f t="shared" si="11"/>
        <v>100</v>
      </c>
      <c r="V38" s="631" t="s">
        <v>25</v>
      </c>
      <c r="W38" s="632">
        <f t="shared" si="12"/>
        <v>100</v>
      </c>
      <c r="X38" s="1335"/>
      <c r="Y38" s="4536"/>
      <c r="Z38" s="1336">
        <f t="shared" si="13"/>
        <v>111</v>
      </c>
      <c r="AA38" s="1337">
        <f t="shared" si="3"/>
        <v>1</v>
      </c>
      <c r="AB38" s="1337">
        <f t="shared" si="4"/>
        <v>1</v>
      </c>
      <c r="AC38" s="1337">
        <f t="shared" si="5"/>
        <v>1</v>
      </c>
    </row>
    <row r="39" spans="1:29" ht="15">
      <c r="A39" s="360"/>
      <c r="B39" s="1588">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3"/>
      <c r="M39" s="3024"/>
      <c r="N39" s="3024"/>
      <c r="O39" s="3032"/>
      <c r="P39" s="4536"/>
      <c r="Q39" s="1334">
        <f t="shared" si="14"/>
        <v>111</v>
      </c>
      <c r="R39" s="631" t="s">
        <v>25</v>
      </c>
      <c r="S39" s="632">
        <f t="shared" si="10"/>
        <v>100</v>
      </c>
      <c r="T39" s="631" t="s">
        <v>25</v>
      </c>
      <c r="U39" s="632">
        <f t="shared" si="11"/>
        <v>100</v>
      </c>
      <c r="V39" s="631" t="s">
        <v>25</v>
      </c>
      <c r="W39" s="632">
        <f t="shared" si="12"/>
        <v>100</v>
      </c>
      <c r="X39" s="1335"/>
      <c r="Y39" s="4536"/>
      <c r="Z39" s="1336">
        <f t="shared" si="13"/>
        <v>111</v>
      </c>
      <c r="AA39" s="1337">
        <f t="shared" si="3"/>
        <v>1</v>
      </c>
      <c r="AB39" s="1337">
        <f t="shared" si="4"/>
        <v>1</v>
      </c>
      <c r="AC39" s="1337">
        <f t="shared" si="5"/>
        <v>1</v>
      </c>
    </row>
    <row r="40" spans="1:29" s="359" customFormat="1" ht="15.75" thickBot="1">
      <c r="A40" s="356"/>
      <c r="B40" s="1588">
        <v>111</v>
      </c>
      <c r="C40" s="1589"/>
      <c r="D40" s="30">
        <v>100</v>
      </c>
      <c r="E40" s="555"/>
      <c r="F40" s="327">
        <f>SUMIF(120:120,E40,121:121)-SUMIF(120:120,C40,121:121)+100</f>
        <v>100</v>
      </c>
      <c r="G40" s="555"/>
      <c r="H40" s="327">
        <f>SUMIF(120:120,G40,121:121)-SUMIF(120:120,C40,121:121)+100</f>
        <v>100</v>
      </c>
      <c r="I40" s="436"/>
      <c r="J40" s="327">
        <f>SUMIF(120:120,I40,121:121)-SUMIF(120:120,C40,121:121)+100</f>
        <v>100</v>
      </c>
      <c r="K40" s="561"/>
      <c r="L40" s="3031"/>
      <c r="M40" s="358"/>
      <c r="N40" s="358"/>
      <c r="O40" s="3034"/>
      <c r="P40" s="4536"/>
      <c r="Q40" s="1334">
        <f t="shared" si="14"/>
        <v>111</v>
      </c>
      <c r="R40" s="634" t="s">
        <v>25</v>
      </c>
      <c r="S40" s="635">
        <f t="shared" si="10"/>
        <v>100</v>
      </c>
      <c r="T40" s="634" t="s">
        <v>25</v>
      </c>
      <c r="U40" s="635">
        <f t="shared" si="11"/>
        <v>100</v>
      </c>
      <c r="V40" s="634" t="s">
        <v>25</v>
      </c>
      <c r="W40" s="635">
        <f t="shared" si="12"/>
        <v>100</v>
      </c>
      <c r="X40" s="636"/>
      <c r="Y40" s="4536"/>
      <c r="Z40" s="637">
        <f t="shared" si="13"/>
        <v>111</v>
      </c>
      <c r="AA40" s="1337">
        <f t="shared" si="3"/>
        <v>1</v>
      </c>
      <c r="AB40" s="1337">
        <f t="shared" si="4"/>
        <v>1</v>
      </c>
      <c r="AC40" s="1337">
        <f t="shared" si="5"/>
        <v>1</v>
      </c>
    </row>
    <row r="41" spans="1:29" ht="15">
      <c r="A41" s="367" t="s">
        <v>2417</v>
      </c>
      <c r="B41" s="1590" t="s">
        <v>2492</v>
      </c>
      <c r="C41" s="562" t="s">
        <v>1</v>
      </c>
      <c r="D41" s="369"/>
      <c r="E41" s="370"/>
      <c r="F41" s="371"/>
      <c r="G41" s="372"/>
      <c r="H41" s="373"/>
      <c r="I41" s="370"/>
      <c r="J41" s="373"/>
      <c r="K41" s="640"/>
      <c r="L41" s="3035"/>
      <c r="M41" s="3024"/>
      <c r="N41" s="3024"/>
      <c r="P41" s="4530" t="str">
        <f>A41</f>
        <v>成交单价</v>
      </c>
      <c r="Q41" s="4530"/>
      <c r="R41" s="4563">
        <f>E41</f>
        <v>0</v>
      </c>
      <c r="S41" s="4563"/>
      <c r="T41" s="4563">
        <f>G41</f>
        <v>0</v>
      </c>
      <c r="U41" s="4563"/>
      <c r="V41" s="4563">
        <f>I41</f>
        <v>0</v>
      </c>
      <c r="W41" s="4563"/>
      <c r="X41" s="618"/>
      <c r="Y41" s="638"/>
      <c r="Z41" s="618"/>
      <c r="AA41" s="618"/>
      <c r="AB41" s="618"/>
      <c r="AC41" s="618"/>
    </row>
    <row r="42" spans="1:29" ht="15.75" thickBot="1">
      <c r="A42" s="374" t="s">
        <v>2370</v>
      </c>
      <c r="B42" s="563"/>
      <c r="C42" s="377" t="e">
        <f>R43</f>
        <v>#DIV/0!</v>
      </c>
      <c r="D42" s="1796" t="s">
        <v>2738</v>
      </c>
      <c r="E42" s="377" t="e">
        <f>R42</f>
        <v>#DIV/0!</v>
      </c>
      <c r="F42" s="1798"/>
      <c r="G42" s="376" t="e">
        <f>T42</f>
        <v>#DIV/0!</v>
      </c>
      <c r="H42" s="1798"/>
      <c r="I42" s="377" t="e">
        <f>V42</f>
        <v>#DIV/0!</v>
      </c>
      <c r="J42" s="1798"/>
      <c r="K42" s="2509">
        <f>F42+H42+J42</f>
        <v>0</v>
      </c>
      <c r="L42" s="3035"/>
      <c r="M42" s="3024"/>
      <c r="N42" s="3024"/>
      <c r="P42" s="4530" t="str">
        <f>A42</f>
        <v>比较价值（元/平方米）</v>
      </c>
      <c r="Q42" s="4530"/>
      <c r="R42" s="4578" t="e">
        <f>ROUND(PRODUCT(R41,AA7:AA40),0)</f>
        <v>#DIV/0!</v>
      </c>
      <c r="S42" s="4578"/>
      <c r="T42" s="4578" t="e">
        <f>ROUND(PRODUCT(T41,AB7:AB40),0)</f>
        <v>#DIV/0!</v>
      </c>
      <c r="U42" s="4578"/>
      <c r="V42" s="4578" t="e">
        <f>ROUND(PRODUCT(V41,AC7:AC40),0)</f>
        <v>#DIV/0!</v>
      </c>
      <c r="W42" s="4578"/>
      <c r="X42" s="618"/>
      <c r="Y42" s="618"/>
      <c r="Z42" s="618"/>
      <c r="AA42" s="618"/>
      <c r="AB42" s="618"/>
      <c r="AC42" s="618"/>
    </row>
    <row r="43" spans="1:29" ht="15.75" thickBot="1">
      <c r="A43" s="378" t="s">
        <v>2393</v>
      </c>
      <c r="B43" s="379"/>
      <c r="C43" s="380" t="e">
        <f>R43</f>
        <v>#DIV/0!</v>
      </c>
      <c r="D43" s="380"/>
      <c r="E43" s="380"/>
      <c r="F43" s="380"/>
      <c r="G43" s="380"/>
      <c r="H43" s="380"/>
      <c r="I43" s="380"/>
      <c r="J43" s="380"/>
      <c r="K43" s="641"/>
      <c r="L43" s="3035"/>
      <c r="M43" s="3024"/>
      <c r="N43" s="3024"/>
      <c r="P43" s="4532" t="str">
        <f>A43</f>
        <v>估价对象XX用房的比较价值（楼面单价，元/平方米）</v>
      </c>
      <c r="Q43" s="4533"/>
      <c r="R43" s="4577" t="e">
        <f>ROUND(IF(D42="简单平均",AVERAGE(R42:W42),R42*F42+T42*H42+V42*J42),0)</f>
        <v>#DIV/0!</v>
      </c>
      <c r="S43" s="4577"/>
      <c r="T43" s="4577"/>
      <c r="U43" s="4577"/>
      <c r="V43" s="4577"/>
      <c r="W43" s="4577"/>
      <c r="X43" s="618"/>
      <c r="Y43" s="618"/>
      <c r="Z43" s="618"/>
      <c r="AA43" s="618"/>
      <c r="AB43" s="618"/>
      <c r="AC43" s="618"/>
    </row>
    <row r="44" spans="1:29">
      <c r="G44" s="3038"/>
      <c r="M44" s="3024"/>
      <c r="N44" s="3024"/>
    </row>
    <row r="45" spans="1:29">
      <c r="M45" s="3024"/>
      <c r="N45" s="3024"/>
    </row>
    <row r="46" spans="1:29" ht="13.5" customHeight="1">
      <c r="C46" s="383" t="s">
        <v>2372</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4"/>
      <c r="N46" s="3024"/>
    </row>
    <row r="47" spans="1:29" ht="13.5" customHeight="1">
      <c r="C47" s="383" t="s">
        <v>2373</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2374</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9"/>
      <c r="L48" s="3036"/>
    </row>
    <row r="49" spans="1:17" s="388" customFormat="1" ht="15" thickBot="1">
      <c r="B49" s="3037"/>
      <c r="C49" s="3040"/>
      <c r="K49" s="3039"/>
      <c r="L49" s="3036"/>
    </row>
    <row r="50" spans="1:17" ht="27">
      <c r="A50" s="564" t="s">
        <v>2455</v>
      </c>
      <c r="B50" s="565" t="s">
        <v>2456</v>
      </c>
      <c r="C50" s="1591" t="s">
        <v>2457</v>
      </c>
      <c r="D50" s="1592" t="s">
        <v>2458</v>
      </c>
      <c r="E50" s="566" t="s">
        <v>2459</v>
      </c>
      <c r="F50" s="567" t="s">
        <v>2460</v>
      </c>
      <c r="G50" s="1336" t="s">
        <v>2493</v>
      </c>
      <c r="H50" s="1336">
        <f>项目基本情况!G8</f>
        <v>0</v>
      </c>
      <c r="I50" s="1310" t="s">
        <v>2462</v>
      </c>
      <c r="J50" s="958"/>
      <c r="K50" s="956"/>
    </row>
    <row r="51" spans="1:17" s="572" customFormat="1">
      <c r="A51" s="568" t="s">
        <v>2463</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2464</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2465</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2466</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2467</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2468</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2469</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2470</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2471</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2472</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5" thickBot="1">
      <c r="A61" s="576" t="s">
        <v>2473</v>
      </c>
      <c r="B61" s="577" t="s">
        <v>39</v>
      </c>
      <c r="C61" s="577" t="s">
        <v>40</v>
      </c>
      <c r="D61" s="577" t="s">
        <v>36</v>
      </c>
      <c r="E61" s="577">
        <f>SUM(E51:E60)</f>
        <v>120</v>
      </c>
      <c r="F61" s="578" t="e">
        <f>SUM(F51:F60)</f>
        <v>#DIV/0!</v>
      </c>
      <c r="G61" s="960"/>
      <c r="H61" s="960"/>
      <c r="I61" s="3047"/>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2016-2-1</v>
      </c>
      <c r="D63" s="1182">
        <f>EDATE(C63,-3)</f>
        <v>42309</v>
      </c>
      <c r="E63" s="1182">
        <f t="shared" ref="E63:O63" si="18">EDATE(D63,-3)</f>
        <v>42217</v>
      </c>
      <c r="F63" s="1182">
        <f t="shared" si="18"/>
        <v>42125</v>
      </c>
      <c r="G63" s="1182">
        <f t="shared" si="18"/>
        <v>42036</v>
      </c>
      <c r="H63" s="1182">
        <f t="shared" si="18"/>
        <v>41944</v>
      </c>
      <c r="I63" s="1182">
        <f t="shared" si="18"/>
        <v>41852</v>
      </c>
      <c r="J63" s="1182">
        <f t="shared" si="18"/>
        <v>41760</v>
      </c>
      <c r="K63" s="1182">
        <f t="shared" si="18"/>
        <v>41671</v>
      </c>
      <c r="L63" s="1182">
        <f t="shared" si="18"/>
        <v>41579</v>
      </c>
      <c r="M63" s="1182">
        <f t="shared" si="18"/>
        <v>41487</v>
      </c>
      <c r="N63" s="1182">
        <f t="shared" si="18"/>
        <v>41395</v>
      </c>
      <c r="O63" s="1182">
        <f t="shared" si="18"/>
        <v>41306</v>
      </c>
    </row>
    <row r="64" spans="1:17" ht="21.75" thickBot="1">
      <c r="A64" s="620" t="s">
        <v>2375</v>
      </c>
      <c r="B64" s="618"/>
      <c r="C64" s="621"/>
      <c r="D64" s="621"/>
      <c r="E64" s="621"/>
      <c r="F64" s="622"/>
      <c r="G64" s="622"/>
      <c r="H64" s="621"/>
      <c r="I64" s="963"/>
      <c r="J64" s="963"/>
      <c r="K64" s="961"/>
      <c r="L64" s="962"/>
      <c r="M64" s="963"/>
      <c r="N64" s="963"/>
      <c r="O64" s="963"/>
      <c r="P64" s="389"/>
      <c r="Q64" s="390"/>
    </row>
    <row r="65" spans="1:17" s="394" customFormat="1" ht="15">
      <c r="A65" s="1594" t="s">
        <v>2474</v>
      </c>
      <c r="B65" s="1126"/>
      <c r="C65" s="1183" t="str">
        <f>YEAR(C63)&amp;"-"&amp;ROUNDUP(MONTH(C63)/3,0)</f>
        <v>2016-1</v>
      </c>
      <c r="D65" s="1183" t="str">
        <f t="shared" ref="D65:O65" si="19">YEAR(D63)&amp;"-"&amp;ROUNDUP(MONTH(D63)/3,0)</f>
        <v>2015-4</v>
      </c>
      <c r="E65" s="1183" t="str">
        <f t="shared" si="19"/>
        <v>2015-3</v>
      </c>
      <c r="F65" s="1183" t="str">
        <f t="shared" si="19"/>
        <v>2015-2</v>
      </c>
      <c r="G65" s="1183" t="str">
        <f t="shared" si="19"/>
        <v>2015-1</v>
      </c>
      <c r="H65" s="1183" t="str">
        <f t="shared" si="19"/>
        <v>2014-4</v>
      </c>
      <c r="I65" s="1183" t="str">
        <f t="shared" si="19"/>
        <v>2014-3</v>
      </c>
      <c r="J65" s="1183" t="str">
        <f t="shared" si="19"/>
        <v>2014-2</v>
      </c>
      <c r="K65" s="1183" t="str">
        <f t="shared" si="19"/>
        <v>2014-1</v>
      </c>
      <c r="L65" s="1183" t="str">
        <f t="shared" si="19"/>
        <v>2013-4</v>
      </c>
      <c r="M65" s="1183" t="str">
        <f t="shared" si="19"/>
        <v>2013-3</v>
      </c>
      <c r="N65" s="1183" t="str">
        <f t="shared" si="19"/>
        <v>2013-2</v>
      </c>
      <c r="O65" s="1183" t="str">
        <f t="shared" si="19"/>
        <v>2013-1</v>
      </c>
      <c r="P65" s="393"/>
    </row>
    <row r="66" spans="1:17" s="25" customFormat="1" ht="33.75" customHeight="1">
      <c r="A66" s="1599" t="s">
        <v>2494</v>
      </c>
      <c r="B66" s="200" t="str">
        <f>"北京市平均增长率"&amp;TEXT(基准地价修正!P24,"0.00%")</f>
        <v>北京市平均增长率1.21%</v>
      </c>
      <c r="C66" s="491">
        <v>100</v>
      </c>
      <c r="D66" s="483"/>
      <c r="E66" s="483"/>
      <c r="F66" s="483"/>
      <c r="G66" s="483"/>
      <c r="H66" s="483"/>
      <c r="I66" s="483"/>
      <c r="J66" s="483"/>
      <c r="K66" s="483"/>
      <c r="L66" s="483"/>
      <c r="M66" s="1181"/>
      <c r="N66" s="483"/>
      <c r="O66" s="1184"/>
      <c r="P66" s="390"/>
    </row>
    <row r="67" spans="1:17" s="25" customFormat="1" ht="15.75" thickBot="1">
      <c r="A67" s="400" t="s">
        <v>2295</v>
      </c>
      <c r="B67" s="401"/>
      <c r="C67" s="402"/>
      <c r="D67" s="403"/>
      <c r="E67" s="403"/>
      <c r="F67" s="403"/>
      <c r="G67" s="403"/>
      <c r="H67" s="403"/>
      <c r="I67" s="403"/>
      <c r="J67" s="403"/>
      <c r="K67" s="403"/>
      <c r="L67" s="403"/>
      <c r="M67" s="404"/>
      <c r="N67" s="403"/>
      <c r="O67" s="1185"/>
      <c r="P67" s="390"/>
      <c r="Q67" s="390"/>
    </row>
    <row r="68" spans="1:17" s="25" customFormat="1" ht="15">
      <c r="A68" s="406" t="s">
        <v>2259</v>
      </c>
      <c r="B68" s="396"/>
      <c r="C68" s="407" t="s">
        <v>2260</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2298</v>
      </c>
      <c r="B70" s="413" t="s">
        <v>2263</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2266</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2267</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2268</v>
      </c>
      <c r="B83" s="413" t="s">
        <v>2402</v>
      </c>
      <c r="C83" s="461" t="s">
        <v>2307</v>
      </c>
      <c r="D83" s="461" t="s">
        <v>2308</v>
      </c>
      <c r="E83" s="461" t="s">
        <v>2309</v>
      </c>
      <c r="F83" s="461" t="s">
        <v>2310</v>
      </c>
      <c r="G83" s="461" t="s">
        <v>2311</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2312</v>
      </c>
      <c r="C85" s="466" t="s">
        <v>2307</v>
      </c>
      <c r="D85" s="466" t="s">
        <v>2308</v>
      </c>
      <c r="E85" s="466" t="s">
        <v>2309</v>
      </c>
      <c r="F85" s="466" t="s">
        <v>2310</v>
      </c>
      <c r="G85" s="466" t="s">
        <v>2311</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2477</v>
      </c>
      <c r="C87" s="461" t="s">
        <v>2307</v>
      </c>
      <c r="D87" s="461" t="s">
        <v>2308</v>
      </c>
      <c r="E87" s="461" t="s">
        <v>2309</v>
      </c>
      <c r="F87" s="461" t="s">
        <v>2310</v>
      </c>
      <c r="G87" s="461" t="s">
        <v>2311</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2478</v>
      </c>
      <c r="C89" s="461" t="s">
        <v>2307</v>
      </c>
      <c r="D89" s="461" t="s">
        <v>2308</v>
      </c>
      <c r="E89" s="461" t="s">
        <v>2309</v>
      </c>
      <c r="F89" s="461" t="s">
        <v>2310</v>
      </c>
      <c r="G89" s="461" t="s">
        <v>2311</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2355</v>
      </c>
      <c r="C91" s="461" t="s">
        <v>2307</v>
      </c>
      <c r="D91" s="461" t="s">
        <v>2308</v>
      </c>
      <c r="E91" s="461" t="s">
        <v>2309</v>
      </c>
      <c r="F91" s="461" t="s">
        <v>2310</v>
      </c>
      <c r="G91" s="461" t="s">
        <v>2311</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2356</v>
      </c>
      <c r="C93" s="426" t="s">
        <v>2314</v>
      </c>
      <c r="D93" s="426" t="s">
        <v>2315</v>
      </c>
      <c r="E93" s="426" t="s">
        <v>2316</v>
      </c>
      <c r="F93" s="426" t="s">
        <v>2317</v>
      </c>
      <c r="G93" s="426" t="s">
        <v>2318</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5.75" thickTop="1">
      <c r="A95" s="420"/>
      <c r="B95" s="425" t="str">
        <f>B27</f>
        <v>临街状况</v>
      </c>
      <c r="C95" s="426" t="s">
        <v>2479</v>
      </c>
      <c r="D95" s="426" t="s">
        <v>2480</v>
      </c>
      <c r="E95" s="426" t="s">
        <v>2481</v>
      </c>
      <c r="F95" s="426" t="s">
        <v>2482</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2387</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2448</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2273</v>
      </c>
      <c r="B107" s="413" t="s">
        <v>2483</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2484</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2486</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2487</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600"/>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8" type="noConversion"/>
  <conditionalFormatting sqref="F46 H46 J46">
    <cfRule type="containsText" dxfId="105" priority="18" stopIfTrue="1" operator="containsText" text="超过">
      <formula>NOT(ISERROR(SEARCH("超过",F46)))</formula>
    </cfRule>
  </conditionalFormatting>
  <conditionalFormatting sqref="J48">
    <cfRule type="containsText" dxfId="104" priority="17" stopIfTrue="1" operator="containsText" text="超过">
      <formula>NOT(ISERROR(SEARCH("超过",J48)))</formula>
    </cfRule>
  </conditionalFormatting>
  <conditionalFormatting sqref="H48">
    <cfRule type="containsText" dxfId="103" priority="16" stopIfTrue="1" operator="containsText" text="超过">
      <formula>NOT(ISERROR(SEARCH("超过",H48)))</formula>
    </cfRule>
  </conditionalFormatting>
  <conditionalFormatting sqref="F48">
    <cfRule type="containsText" dxfId="102" priority="15" stopIfTrue="1" operator="containsText" text="超过">
      <formula>NOT(ISERROR(SEARCH("超过",F48)))</formula>
    </cfRule>
  </conditionalFormatting>
  <conditionalFormatting sqref="F47 H47 J47">
    <cfRule type="containsText" dxfId="101" priority="14" stopIfTrue="1" operator="containsText" text="超过">
      <formula>NOT(ISERROR(SEARCH("超过",F47)))</formula>
    </cfRule>
  </conditionalFormatting>
  <conditionalFormatting sqref="E46">
    <cfRule type="expression" dxfId="100" priority="13" stopIfTrue="1">
      <formula>$F$46="超过30%"</formula>
    </cfRule>
  </conditionalFormatting>
  <conditionalFormatting sqref="G48">
    <cfRule type="expression" dxfId="99" priority="12" stopIfTrue="1">
      <formula>$H$48="超过30%"</formula>
    </cfRule>
  </conditionalFormatting>
  <conditionalFormatting sqref="E48">
    <cfRule type="expression" dxfId="98" priority="10" stopIfTrue="1">
      <formula>$F$48="超过30%"</formula>
    </cfRule>
  </conditionalFormatting>
  <conditionalFormatting sqref="G46">
    <cfRule type="expression" dxfId="97" priority="9" stopIfTrue="1">
      <formula>$H$46="超过30%"</formula>
    </cfRule>
  </conditionalFormatting>
  <conditionalFormatting sqref="G47">
    <cfRule type="expression" dxfId="96" priority="8" stopIfTrue="1">
      <formula>$H$47="超过20%"</formula>
    </cfRule>
  </conditionalFormatting>
  <conditionalFormatting sqref="I46">
    <cfRule type="expression" dxfId="95" priority="7" stopIfTrue="1">
      <formula>$J$46="超过30%"</formula>
    </cfRule>
  </conditionalFormatting>
  <conditionalFormatting sqref="I47">
    <cfRule type="expression" dxfId="94" priority="6" stopIfTrue="1">
      <formula>$J$47="超过20%"</formula>
    </cfRule>
  </conditionalFormatting>
  <conditionalFormatting sqref="I48">
    <cfRule type="expression" dxfId="93" priority="5" stopIfTrue="1">
      <formula>$J$48="超过30%"</formula>
    </cfRule>
  </conditionalFormatting>
  <conditionalFormatting sqref="E47">
    <cfRule type="expression" dxfId="92" priority="27" stopIfTrue="1">
      <formula>$J$54+$F$47="超过20%"</formula>
    </cfRule>
  </conditionalFormatting>
  <conditionalFormatting sqref="F42">
    <cfRule type="expression" dxfId="91" priority="4">
      <formula>$D$42="简单平均"</formula>
    </cfRule>
  </conditionalFormatting>
  <conditionalFormatting sqref="H42">
    <cfRule type="expression" dxfId="90" priority="3">
      <formula>$D$42="简单平均"</formula>
    </cfRule>
  </conditionalFormatting>
  <conditionalFormatting sqref="J42">
    <cfRule type="expression" dxfId="89" priority="2">
      <formula>$D$42="简单平均"</formula>
    </cfRule>
  </conditionalFormatting>
  <conditionalFormatting sqref="F7:F40 H7:H40 J7:J40">
    <cfRule type="cellIs" dxfId="88" priority="1" operator="notEqual">
      <formula>100</formula>
    </cfRule>
  </conditionalFormatting>
  <dataValidations count="18">
    <dataValidation type="list" allowBlank="1" showInputMessage="1" showErrorMessage="1" sqref="B41" xr:uid="{00000000-0002-0000-1900-000000000000}">
      <formula1>单价内涵</formula1>
    </dataValidation>
    <dataValidation type="list" allowBlank="1" showInputMessage="1" showErrorMessage="1" sqref="C22 E22 G22 I22" xr:uid="{00000000-0002-0000-1900-000001000000}">
      <formula1>环境</formula1>
    </dataValidation>
    <dataValidation type="list" allowBlank="1" showInputMessage="1" showErrorMessage="1" sqref="E18 C18 G18 I18" xr:uid="{00000000-0002-0000-1900-000002000000}">
      <formula1>交通便捷度</formula1>
    </dataValidation>
    <dataValidation type="list" allowBlank="1" showInputMessage="1" showErrorMessage="1" sqref="E24 C24 I24 G24" xr:uid="{00000000-0002-0000-1900-000003000000}">
      <formula1>公共配套设施</formula1>
    </dataValidation>
    <dataValidation type="list" allowBlank="1" showInputMessage="1" showErrorMessage="1" sqref="C8 E8 G8 I8" xr:uid="{00000000-0002-0000-1900-000004000000}">
      <formula1>套工交易情况</formula1>
    </dataValidation>
    <dataValidation type="list" allowBlank="1" showInputMessage="1" showErrorMessage="1" sqref="C9 E9 G9 I9" xr:uid="{00000000-0002-0000-1900-000005000000}">
      <formula1>套工用途</formula1>
    </dataValidation>
    <dataValidation type="list" allowBlank="1" showInputMessage="1" showErrorMessage="1" sqref="I30 E30 G30" xr:uid="{00000000-0002-0000-1900-000006000000}">
      <formula1>套工土地级别</formula1>
    </dataValidation>
    <dataValidation type="list" allowBlank="1" showInputMessage="1" showErrorMessage="1" sqref="C27 E27 G27 I27" xr:uid="{00000000-0002-0000-1900-000007000000}">
      <formula1>临街状况</formula1>
    </dataValidation>
    <dataValidation type="list" allowBlank="1" showInputMessage="1" showErrorMessage="1" sqref="E20 G20 I20 C20" xr:uid="{00000000-0002-0000-1900-000008000000}">
      <formula1>区域土地利用方向</formula1>
    </dataValidation>
    <dataValidation type="list" allowBlank="1" showInputMessage="1" showErrorMessage="1" sqref="C50" xr:uid="{00000000-0002-0000-1900-000009000000}">
      <formula1>"北京市系数,其他省市系数"</formula1>
    </dataValidation>
    <dataValidation type="list" allowBlank="1" showInputMessage="1" showErrorMessage="1" sqref="C16 E16 G16 I16" xr:uid="{00000000-0002-0000-1900-00000A000000}">
      <formula1>产业集聚程度</formula1>
    </dataValidation>
    <dataValidation type="list" allowBlank="1" showInputMessage="1" showErrorMessage="1" sqref="C35 E35 G35 I35" xr:uid="{00000000-0002-0000-1900-00000B000000}">
      <formula1>套工宗地形状</formula1>
    </dataValidation>
    <dataValidation type="list" allowBlank="1" showInputMessage="1" showErrorMessage="1" sqref="C29 E29 G29 I29" xr:uid="{00000000-0002-0000-1900-00000C000000}">
      <formula1>套工道路等级</formula1>
    </dataValidation>
    <dataValidation type="list" allowBlank="1" showInputMessage="1" showErrorMessage="1" sqref="C37 E37 G37 I37" xr:uid="{00000000-0002-0000-1900-00000D000000}">
      <formula1>套工地质条件</formula1>
    </dataValidation>
    <dataValidation type="list" allowBlank="1" showInputMessage="1" showErrorMessage="1" sqref="C36 E36 G36 I36" xr:uid="{00000000-0002-0000-1900-00000E000000}">
      <formula1>套工宗地内开发程度</formula1>
    </dataValidation>
    <dataValidation type="list" allowBlank="1" showInputMessage="1" showErrorMessage="1" sqref="D52:D60" xr:uid="{00000000-0002-0000-1900-00000F000000}">
      <formula1>"25%,1"</formula1>
    </dataValidation>
    <dataValidation type="list" allowBlank="1" showInputMessage="1" showErrorMessage="1" sqref="C26 E26 G26 I26" xr:uid="{00000000-0002-0000-1900-000010000000}">
      <formula1>基础设施水平</formula1>
    </dataValidation>
    <dataValidation type="list" allowBlank="1" showInputMessage="1" showErrorMessage="1" sqref="D42" xr:uid="{00000000-0002-0000-1900-000011000000}">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00000"/>
  </sheetPr>
  <dimension ref="A1:L34"/>
  <sheetViews>
    <sheetView zoomScale="90" zoomScaleNormal="90" workbookViewId="0">
      <selection activeCell="B14" sqref="B14:C14"/>
    </sheetView>
  </sheetViews>
  <sheetFormatPr defaultColWidth="10.875" defaultRowHeight="14.25"/>
  <cols>
    <col min="1" max="1" width="14.375" style="3750" customWidth="1"/>
    <col min="2" max="2" width="9.5" style="3750" customWidth="1"/>
    <col min="3" max="3" width="18.5" style="3750" customWidth="1"/>
    <col min="4" max="4" width="13.875" style="3750" customWidth="1"/>
    <col min="5" max="6" width="10.875" style="3750"/>
    <col min="7" max="7" width="13.375" style="3750" customWidth="1"/>
    <col min="8" max="8" width="10.875" style="3750"/>
    <col min="9" max="9" width="13.125" style="3750" customWidth="1"/>
    <col min="10" max="10" width="10.875" style="3750"/>
    <col min="11" max="11" width="12.625" style="3750" customWidth="1"/>
    <col min="12" max="16384" width="10.875" style="3750"/>
  </cols>
  <sheetData>
    <row r="1" spans="1:12">
      <c r="L1" s="3750">
        <f>9144.07/1394.67</f>
        <v>6.5564398746656911</v>
      </c>
    </row>
    <row r="2" spans="1:12" ht="20.100000000000001" customHeight="1">
      <c r="A2" s="4589" t="s">
        <v>3531</v>
      </c>
      <c r="B2" s="4589"/>
      <c r="C2" s="4589"/>
      <c r="D2" s="4589"/>
      <c r="E2" s="4589"/>
      <c r="F2" s="4589"/>
      <c r="G2" s="4589"/>
      <c r="H2" s="4589"/>
      <c r="I2" s="4589"/>
      <c r="J2" s="4589"/>
      <c r="K2" s="4589"/>
      <c r="L2" s="4589"/>
    </row>
    <row r="3" spans="1:12" ht="42.75">
      <c r="A3" s="3751" t="s">
        <v>3532</v>
      </c>
      <c r="B3" s="3751" t="s">
        <v>3533</v>
      </c>
      <c r="C3" s="3751" t="s">
        <v>3534</v>
      </c>
      <c r="D3" s="3751" t="s">
        <v>3535</v>
      </c>
      <c r="E3" s="3751" t="s">
        <v>3536</v>
      </c>
      <c r="F3" s="3751" t="s">
        <v>3537</v>
      </c>
      <c r="G3" s="3751" t="s">
        <v>3538</v>
      </c>
      <c r="H3" s="3751" t="s">
        <v>3539</v>
      </c>
      <c r="I3" s="3751" t="s">
        <v>3540</v>
      </c>
      <c r="J3" s="3751" t="s">
        <v>3541</v>
      </c>
      <c r="K3" s="3751" t="s">
        <v>3542</v>
      </c>
      <c r="L3" s="3751" t="s">
        <v>3543</v>
      </c>
    </row>
    <row r="4" spans="1:12" ht="44.1" customHeight="1">
      <c r="A4" s="3751">
        <v>1</v>
      </c>
      <c r="B4" s="4589" t="s">
        <v>3544</v>
      </c>
      <c r="C4" s="3751" t="s">
        <v>3545</v>
      </c>
      <c r="D4" s="3751" t="s">
        <v>3546</v>
      </c>
      <c r="E4" s="3751">
        <v>1088.48</v>
      </c>
      <c r="F4" s="4590" t="s">
        <v>3547</v>
      </c>
      <c r="G4" s="4590" t="s">
        <v>3548</v>
      </c>
      <c r="H4" s="4590" t="s">
        <v>3549</v>
      </c>
      <c r="I4" s="4590" t="s">
        <v>3546</v>
      </c>
      <c r="J4" s="4590" t="s">
        <v>3550</v>
      </c>
      <c r="K4" s="4590" t="s">
        <v>3551</v>
      </c>
      <c r="L4" s="4593">
        <v>43353</v>
      </c>
    </row>
    <row r="5" spans="1:12" ht="44.1" customHeight="1">
      <c r="A5" s="3751">
        <v>2</v>
      </c>
      <c r="B5" s="4589"/>
      <c r="C5" s="3751" t="s">
        <v>3552</v>
      </c>
      <c r="D5" s="3751" t="s">
        <v>3546</v>
      </c>
      <c r="E5" s="3751">
        <v>306.19</v>
      </c>
      <c r="F5" s="4591"/>
      <c r="G5" s="4591"/>
      <c r="H5" s="4591"/>
      <c r="I5" s="4591"/>
      <c r="J5" s="4591"/>
      <c r="K5" s="4591"/>
      <c r="L5" s="4594"/>
    </row>
    <row r="6" spans="1:12" ht="44.1" customHeight="1">
      <c r="A6" s="3751">
        <v>3</v>
      </c>
      <c r="B6" s="4589"/>
      <c r="C6" s="3751" t="s">
        <v>3553</v>
      </c>
      <c r="D6" s="3751" t="s">
        <v>3546</v>
      </c>
      <c r="E6" s="3751">
        <v>1091.49</v>
      </c>
      <c r="F6" s="4591"/>
      <c r="G6" s="4591"/>
      <c r="H6" s="4591"/>
      <c r="I6" s="4591"/>
      <c r="J6" s="4591"/>
      <c r="K6" s="4591"/>
      <c r="L6" s="4594"/>
    </row>
    <row r="7" spans="1:12" ht="44.1" customHeight="1">
      <c r="A7" s="3751">
        <v>4</v>
      </c>
      <c r="B7" s="4589"/>
      <c r="C7" s="3751" t="s">
        <v>3554</v>
      </c>
      <c r="D7" s="3751" t="s">
        <v>3546</v>
      </c>
      <c r="E7" s="3751">
        <v>311.33999999999997</v>
      </c>
      <c r="F7" s="4592"/>
      <c r="G7" s="4592"/>
      <c r="H7" s="4592"/>
      <c r="I7" s="4592"/>
      <c r="J7" s="4592"/>
      <c r="K7" s="4592"/>
      <c r="L7" s="4595"/>
    </row>
    <row r="8" spans="1:12">
      <c r="A8" s="3751" t="s">
        <v>3555</v>
      </c>
      <c r="B8" s="3751"/>
      <c r="C8" s="3751"/>
      <c r="D8" s="3751"/>
      <c r="E8" s="3751">
        <f>SUM(E4:E7)</f>
        <v>2797.5</v>
      </c>
      <c r="F8" s="3751"/>
      <c r="G8" s="3751"/>
      <c r="H8" s="3751"/>
      <c r="I8" s="3751"/>
      <c r="J8" s="3751"/>
      <c r="K8" s="3751"/>
      <c r="L8" s="3751"/>
    </row>
    <row r="11" spans="1:12">
      <c r="A11" s="3750" t="s">
        <v>3556</v>
      </c>
      <c r="B11" s="3750">
        <f>(B32+E32)/B21</f>
        <v>2.8333560302231784</v>
      </c>
      <c r="D11" s="3750">
        <f>B32+E32+H32</f>
        <v>32523.98</v>
      </c>
    </row>
    <row r="12" spans="1:12" ht="29.1" customHeight="1">
      <c r="A12" s="4587" t="s">
        <v>3557</v>
      </c>
      <c r="B12" s="4587"/>
      <c r="C12" s="4587"/>
      <c r="D12" s="4587"/>
      <c r="E12" s="4587"/>
      <c r="F12" s="4587"/>
      <c r="G12" s="4587"/>
      <c r="H12" s="4587"/>
      <c r="I12" s="4587"/>
    </row>
    <row r="13" spans="1:12" ht="23.1" customHeight="1">
      <c r="A13" s="3752" t="s">
        <v>752</v>
      </c>
      <c r="B13" s="4585" t="s">
        <v>3558</v>
      </c>
      <c r="C13" s="4585"/>
      <c r="D13" s="3753" t="s">
        <v>752</v>
      </c>
      <c r="E13" s="4585"/>
      <c r="F13" s="4585"/>
      <c r="G13" s="3753" t="s">
        <v>752</v>
      </c>
      <c r="H13" s="4585"/>
      <c r="I13" s="4585"/>
    </row>
    <row r="14" spans="1:12" ht="23.1" customHeight="1">
      <c r="A14" s="3752" t="s">
        <v>3559</v>
      </c>
      <c r="B14" s="4585" t="s">
        <v>3560</v>
      </c>
      <c r="C14" s="4585"/>
      <c r="D14" s="3753" t="s">
        <v>3559</v>
      </c>
      <c r="E14" s="4585"/>
      <c r="F14" s="4585"/>
      <c r="G14" s="3753" t="s">
        <v>3559</v>
      </c>
      <c r="H14" s="4585"/>
      <c r="I14" s="4585"/>
    </row>
    <row r="15" spans="1:12" ht="23.1" customHeight="1">
      <c r="A15" s="3752" t="s">
        <v>3561</v>
      </c>
      <c r="B15" s="4585" t="s">
        <v>3562</v>
      </c>
      <c r="C15" s="4585"/>
      <c r="D15" s="3753" t="s">
        <v>3561</v>
      </c>
      <c r="E15" s="4585"/>
      <c r="F15" s="4585"/>
      <c r="G15" s="3753" t="s">
        <v>3561</v>
      </c>
      <c r="H15" s="4585"/>
      <c r="I15" s="4585"/>
    </row>
    <row r="16" spans="1:12" ht="23.1" customHeight="1">
      <c r="A16" s="3752" t="s">
        <v>3563</v>
      </c>
      <c r="B16" s="4585"/>
      <c r="C16" s="4585"/>
      <c r="D16" s="3753" t="s">
        <v>3563</v>
      </c>
      <c r="E16" s="4585"/>
      <c r="F16" s="4585"/>
      <c r="G16" s="3753" t="s">
        <v>3563</v>
      </c>
      <c r="H16" s="4585"/>
      <c r="I16" s="4585"/>
    </row>
    <row r="17" spans="1:9" ht="23.1" customHeight="1">
      <c r="A17" s="3752" t="s">
        <v>3564</v>
      </c>
      <c r="B17" s="4585"/>
      <c r="C17" s="4585"/>
      <c r="D17" s="3753" t="s">
        <v>3564</v>
      </c>
      <c r="E17" s="4585"/>
      <c r="F17" s="4585"/>
      <c r="G17" s="3753" t="s">
        <v>3564</v>
      </c>
      <c r="H17" s="4585"/>
      <c r="I17" s="4585"/>
    </row>
    <row r="18" spans="1:9" ht="23.1" customHeight="1">
      <c r="A18" s="3752" t="s">
        <v>3565</v>
      </c>
      <c r="B18" s="4588" t="s">
        <v>135</v>
      </c>
      <c r="C18" s="4588"/>
      <c r="D18" s="3753" t="s">
        <v>3565</v>
      </c>
      <c r="E18" s="4585"/>
      <c r="F18" s="4585"/>
      <c r="G18" s="3753" t="s">
        <v>3565</v>
      </c>
      <c r="H18" s="4585"/>
      <c r="I18" s="4585"/>
    </row>
    <row r="19" spans="1:9" ht="23.1" customHeight="1">
      <c r="A19" s="3752" t="s">
        <v>3566</v>
      </c>
      <c r="B19" s="4585"/>
      <c r="C19" s="4585"/>
      <c r="D19" s="3753" t="s">
        <v>3566</v>
      </c>
      <c r="E19" s="4585"/>
      <c r="F19" s="4585"/>
      <c r="G19" s="3753" t="s">
        <v>3566</v>
      </c>
      <c r="H19" s="4585"/>
      <c r="I19" s="4585"/>
    </row>
    <row r="20" spans="1:9" ht="23.1" customHeight="1">
      <c r="A20" s="3752" t="s">
        <v>3567</v>
      </c>
      <c r="B20" s="4586">
        <v>52076</v>
      </c>
      <c r="C20" s="4586"/>
      <c r="D20" s="3753" t="s">
        <v>3567</v>
      </c>
      <c r="E20" s="4586"/>
      <c r="F20" s="4586"/>
      <c r="G20" s="3753" t="s">
        <v>3567</v>
      </c>
      <c r="H20" s="4586"/>
      <c r="I20" s="4586"/>
    </row>
    <row r="21" spans="1:9" ht="23.1" customHeight="1">
      <c r="A21" s="3752" t="s">
        <v>3568</v>
      </c>
      <c r="B21" s="4585">
        <v>8811.7800000000007</v>
      </c>
      <c r="C21" s="4585"/>
      <c r="D21" s="3753" t="s">
        <v>3568</v>
      </c>
      <c r="E21" s="4585"/>
      <c r="F21" s="4585"/>
      <c r="G21" s="3753" t="s">
        <v>3568</v>
      </c>
      <c r="H21" s="4585"/>
      <c r="I21" s="4585"/>
    </row>
    <row r="22" spans="1:9" ht="23.1" customHeight="1">
      <c r="A22" s="3754" t="s">
        <v>3569</v>
      </c>
      <c r="B22" s="4585"/>
      <c r="C22" s="4585"/>
      <c r="D22" s="4585"/>
      <c r="E22" s="4585"/>
      <c r="F22" s="4585"/>
      <c r="G22" s="4585"/>
      <c r="H22" s="4585"/>
      <c r="I22" s="4585"/>
    </row>
    <row r="23" spans="1:9" ht="23.1" customHeight="1">
      <c r="A23" s="3755"/>
      <c r="B23" s="3755"/>
      <c r="C23" s="3755"/>
      <c r="D23" s="3755"/>
      <c r="E23" s="3755"/>
      <c r="F23" s="3755"/>
      <c r="G23" s="3755"/>
      <c r="H23" s="3755"/>
      <c r="I23" s="3755"/>
    </row>
    <row r="24" spans="1:9" ht="23.1" customHeight="1">
      <c r="A24" s="4587" t="s">
        <v>3570</v>
      </c>
      <c r="B24" s="4587"/>
      <c r="C24" s="4587"/>
      <c r="D24" s="4587"/>
      <c r="E24" s="4587"/>
      <c r="F24" s="4587"/>
      <c r="G24" s="4587"/>
      <c r="H24" s="4587"/>
      <c r="I24" s="4587"/>
    </row>
    <row r="25" spans="1:9" ht="23.1" customHeight="1">
      <c r="A25" s="3756" t="s">
        <v>752</v>
      </c>
      <c r="B25" s="4582" t="s">
        <v>3571</v>
      </c>
      <c r="C25" s="4583"/>
      <c r="D25" s="3757" t="s">
        <v>752</v>
      </c>
      <c r="E25" s="4579" t="s">
        <v>3572</v>
      </c>
      <c r="F25" s="4579"/>
      <c r="G25" s="3757" t="s">
        <v>752</v>
      </c>
      <c r="H25" s="4579" t="s">
        <v>3573</v>
      </c>
      <c r="I25" s="4579"/>
    </row>
    <row r="26" spans="1:9" ht="23.1" customHeight="1">
      <c r="A26" s="3756" t="s">
        <v>3574</v>
      </c>
      <c r="B26" s="4579" t="s">
        <v>3575</v>
      </c>
      <c r="C26" s="4579"/>
      <c r="D26" s="3757" t="s">
        <v>3574</v>
      </c>
      <c r="E26" s="4579" t="s">
        <v>3560</v>
      </c>
      <c r="F26" s="4579"/>
      <c r="G26" s="3757" t="s">
        <v>3574</v>
      </c>
      <c r="H26" s="4579" t="str">
        <f>E26</f>
        <v>信心控股有限公司</v>
      </c>
      <c r="I26" s="4579"/>
    </row>
    <row r="27" spans="1:9" ht="23.1" customHeight="1">
      <c r="A27" s="3756" t="s">
        <v>3576</v>
      </c>
      <c r="B27" s="4579" t="s">
        <v>3577</v>
      </c>
      <c r="C27" s="4579"/>
      <c r="D27" s="3757" t="s">
        <v>3576</v>
      </c>
      <c r="E27" s="4579" t="s">
        <v>3577</v>
      </c>
      <c r="F27" s="4579"/>
      <c r="G27" s="3757" t="s">
        <v>3576</v>
      </c>
      <c r="H27" s="4579" t="str">
        <f>E27</f>
        <v>单独所有</v>
      </c>
      <c r="I27" s="4579"/>
    </row>
    <row r="28" spans="1:9" ht="23.1" customHeight="1">
      <c r="A28" s="3756" t="s">
        <v>3578</v>
      </c>
      <c r="B28" s="4579" t="s">
        <v>3579</v>
      </c>
      <c r="C28" s="4579"/>
      <c r="D28" s="3757" t="s">
        <v>3578</v>
      </c>
      <c r="E28" s="4582" t="s">
        <v>3579</v>
      </c>
      <c r="F28" s="4583"/>
      <c r="G28" s="3757" t="s">
        <v>3578</v>
      </c>
      <c r="H28" s="4579" t="s">
        <v>3580</v>
      </c>
      <c r="I28" s="4579"/>
    </row>
    <row r="29" spans="1:9" ht="23.1" customHeight="1">
      <c r="A29" s="3756" t="s">
        <v>3581</v>
      </c>
      <c r="B29" s="4584"/>
      <c r="C29" s="4584"/>
      <c r="D29" s="3757" t="s">
        <v>3581</v>
      </c>
      <c r="E29" s="4584"/>
      <c r="F29" s="4584"/>
      <c r="G29" s="3757" t="s">
        <v>3581</v>
      </c>
      <c r="H29" s="4584"/>
      <c r="I29" s="4584"/>
    </row>
    <row r="30" spans="1:9" ht="23.1" customHeight="1">
      <c r="A30" s="3756" t="s">
        <v>3582</v>
      </c>
      <c r="B30" s="4579"/>
      <c r="C30" s="4579"/>
      <c r="D30" s="3757" t="s">
        <v>3582</v>
      </c>
      <c r="E30" s="4579"/>
      <c r="F30" s="4579"/>
      <c r="G30" s="3757" t="s">
        <v>3582</v>
      </c>
      <c r="H30" s="4579"/>
      <c r="I30" s="4579"/>
    </row>
    <row r="31" spans="1:9" ht="23.1" customHeight="1">
      <c r="A31" s="3756" t="s">
        <v>3583</v>
      </c>
      <c r="B31" s="4581" t="s">
        <v>133</v>
      </c>
      <c r="C31" s="4581"/>
      <c r="D31" s="3757" t="s">
        <v>3583</v>
      </c>
      <c r="E31" s="4579" t="s">
        <v>133</v>
      </c>
      <c r="F31" s="4579"/>
      <c r="G31" s="3757" t="s">
        <v>3583</v>
      </c>
      <c r="H31" s="4579" t="s">
        <v>3584</v>
      </c>
      <c r="I31" s="4579"/>
    </row>
    <row r="32" spans="1:9" ht="23.1" customHeight="1">
      <c r="A32" s="3756" t="s">
        <v>992</v>
      </c>
      <c r="B32" s="4581">
        <v>9144.07</v>
      </c>
      <c r="C32" s="4581"/>
      <c r="D32" s="3757" t="s">
        <v>992</v>
      </c>
      <c r="E32" s="4579">
        <v>15822.84</v>
      </c>
      <c r="F32" s="4579"/>
      <c r="G32" s="3757" t="s">
        <v>992</v>
      </c>
      <c r="H32" s="4579">
        <v>7557.07</v>
      </c>
      <c r="I32" s="4579"/>
    </row>
    <row r="33" spans="1:9" ht="23.1" customHeight="1">
      <c r="A33" s="3756" t="s">
        <v>3585</v>
      </c>
      <c r="B33" s="4579"/>
      <c r="C33" s="4579"/>
      <c r="D33" s="3757" t="s">
        <v>3585</v>
      </c>
      <c r="E33" s="4579"/>
      <c r="F33" s="4579"/>
      <c r="G33" s="3757" t="s">
        <v>3585</v>
      </c>
      <c r="H33" s="4579"/>
      <c r="I33" s="4579"/>
    </row>
    <row r="34" spans="1:9" ht="23.1" customHeight="1">
      <c r="A34" s="3758" t="s">
        <v>3586</v>
      </c>
      <c r="B34" s="4579"/>
      <c r="C34" s="4579"/>
      <c r="D34" s="3759" t="s">
        <v>3586</v>
      </c>
      <c r="E34" s="4580"/>
      <c r="F34" s="4580"/>
      <c r="G34" s="3759" t="s">
        <v>3586</v>
      </c>
      <c r="H34" s="4579"/>
      <c r="I34" s="4579"/>
    </row>
  </sheetData>
  <mergeCells count="69">
    <mergeCell ref="A2:L2"/>
    <mergeCell ref="B4:B7"/>
    <mergeCell ref="F4:F7"/>
    <mergeCell ref="G4:G7"/>
    <mergeCell ref="H4:H7"/>
    <mergeCell ref="I4:I7"/>
    <mergeCell ref="J4:J7"/>
    <mergeCell ref="K4:K7"/>
    <mergeCell ref="L4:L7"/>
    <mergeCell ref="A12:I12"/>
    <mergeCell ref="B13:C13"/>
    <mergeCell ref="E13:F13"/>
    <mergeCell ref="H13:I13"/>
    <mergeCell ref="B14:C14"/>
    <mergeCell ref="E14:F14"/>
    <mergeCell ref="H14:I14"/>
    <mergeCell ref="B15:C15"/>
    <mergeCell ref="E15:F15"/>
    <mergeCell ref="H15:I15"/>
    <mergeCell ref="B16:C16"/>
    <mergeCell ref="E16:F16"/>
    <mergeCell ref="H16:I16"/>
    <mergeCell ref="B17:C17"/>
    <mergeCell ref="E17:F17"/>
    <mergeCell ref="H17:I17"/>
    <mergeCell ref="B18:C18"/>
    <mergeCell ref="E18:F18"/>
    <mergeCell ref="H18:I18"/>
    <mergeCell ref="B25:C25"/>
    <mergeCell ref="E25:F25"/>
    <mergeCell ref="H25:I25"/>
    <mergeCell ref="B19:C19"/>
    <mergeCell ref="E19:F19"/>
    <mergeCell ref="H19:I19"/>
    <mergeCell ref="B20:C20"/>
    <mergeCell ref="E20:F20"/>
    <mergeCell ref="H20:I20"/>
    <mergeCell ref="B21:C21"/>
    <mergeCell ref="E21:F21"/>
    <mergeCell ref="H21:I21"/>
    <mergeCell ref="B22:I22"/>
    <mergeCell ref="A24:I24"/>
    <mergeCell ref="B26:C26"/>
    <mergeCell ref="E26:F26"/>
    <mergeCell ref="H26:I26"/>
    <mergeCell ref="B27:C27"/>
    <mergeCell ref="E27:F27"/>
    <mergeCell ref="H27:I27"/>
    <mergeCell ref="B28:C28"/>
    <mergeCell ref="E28:F28"/>
    <mergeCell ref="H28:I28"/>
    <mergeCell ref="B29:C29"/>
    <mergeCell ref="E29:F29"/>
    <mergeCell ref="H29:I29"/>
    <mergeCell ref="B30:C30"/>
    <mergeCell ref="E30:F30"/>
    <mergeCell ref="H30:I30"/>
    <mergeCell ref="B31:C31"/>
    <mergeCell ref="E31:F31"/>
    <mergeCell ref="H31:I31"/>
    <mergeCell ref="B34:C34"/>
    <mergeCell ref="E34:F34"/>
    <mergeCell ref="H34:I34"/>
    <mergeCell ref="B32:C32"/>
    <mergeCell ref="E32:F32"/>
    <mergeCell ref="H32:I32"/>
    <mergeCell ref="B33:C33"/>
    <mergeCell ref="E33:F33"/>
    <mergeCell ref="H33:I33"/>
  </mergeCells>
  <phoneticPr fontId="147"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tabColor rgb="FFC00000"/>
  </sheetPr>
  <dimension ref="A1:S45"/>
  <sheetViews>
    <sheetView topLeftCell="A7" zoomScale="90" zoomScaleNormal="90" workbookViewId="0">
      <selection activeCell="G29" sqref="G29:I29"/>
    </sheetView>
  </sheetViews>
  <sheetFormatPr defaultColWidth="8.875" defaultRowHeight="14.25"/>
  <cols>
    <col min="1" max="1" width="6.375" style="3169" customWidth="1"/>
    <col min="2" max="2" width="19.375" style="3219" customWidth="1"/>
    <col min="3" max="3" width="7" style="3169" customWidth="1"/>
    <col min="4" max="4" width="3.125" style="3169" customWidth="1"/>
    <col min="5" max="5" width="7.375" style="3169" customWidth="1"/>
    <col min="6" max="6" width="3.5" style="3169" customWidth="1"/>
    <col min="7" max="7" width="19.375" style="3168" customWidth="1"/>
    <col min="8" max="8" width="19.5" style="3169" customWidth="1"/>
    <col min="9" max="9" width="8.625" style="3169" customWidth="1"/>
    <col min="10" max="10" width="10.5" style="3171" customWidth="1"/>
    <col min="11" max="11" width="4.875" style="3171" customWidth="1"/>
    <col min="12" max="12" width="20.125" style="3171" customWidth="1"/>
    <col min="13" max="17" width="9.5" style="3169" bestFit="1" customWidth="1"/>
    <col min="18" max="18" width="11.625" style="3169" bestFit="1" customWidth="1"/>
    <col min="19" max="19" width="17.125" style="3169" bestFit="1" customWidth="1"/>
    <col min="20" max="256" width="8.875" style="3169"/>
    <col min="257" max="257" width="6.375" style="3169" customWidth="1"/>
    <col min="258" max="258" width="19.375" style="3169" customWidth="1"/>
    <col min="259" max="259" width="7" style="3169" customWidth="1"/>
    <col min="260" max="260" width="3.125" style="3169" customWidth="1"/>
    <col min="261" max="261" width="7.375" style="3169" customWidth="1"/>
    <col min="262" max="262" width="3.5" style="3169" customWidth="1"/>
    <col min="263" max="263" width="19.375" style="3169" customWidth="1"/>
    <col min="264" max="264" width="19.5" style="3169" customWidth="1"/>
    <col min="265" max="265" width="8.625" style="3169" customWidth="1"/>
    <col min="266" max="266" width="10.5" style="3169" customWidth="1"/>
    <col min="267" max="267" width="4.875" style="3169" customWidth="1"/>
    <col min="268" max="268" width="16.375" style="3169" customWidth="1"/>
    <col min="269" max="272" width="8.125" style="3169" customWidth="1"/>
    <col min="273" max="512" width="8.875" style="3169"/>
    <col min="513" max="513" width="6.375" style="3169" customWidth="1"/>
    <col min="514" max="514" width="19.375" style="3169" customWidth="1"/>
    <col min="515" max="515" width="7" style="3169" customWidth="1"/>
    <col min="516" max="516" width="3.125" style="3169" customWidth="1"/>
    <col min="517" max="517" width="7.375" style="3169" customWidth="1"/>
    <col min="518" max="518" width="3.5" style="3169" customWidth="1"/>
    <col min="519" max="519" width="19.375" style="3169" customWidth="1"/>
    <col min="520" max="520" width="19.5" style="3169" customWidth="1"/>
    <col min="521" max="521" width="8.625" style="3169" customWidth="1"/>
    <col min="522" max="522" width="10.5" style="3169" customWidth="1"/>
    <col min="523" max="523" width="4.875" style="3169" customWidth="1"/>
    <col min="524" max="524" width="16.375" style="3169" customWidth="1"/>
    <col min="525" max="528" width="8.125" style="3169" customWidth="1"/>
    <col min="529" max="768" width="8.875" style="3169"/>
    <col min="769" max="769" width="6.375" style="3169" customWidth="1"/>
    <col min="770" max="770" width="19.375" style="3169" customWidth="1"/>
    <col min="771" max="771" width="7" style="3169" customWidth="1"/>
    <col min="772" max="772" width="3.125" style="3169" customWidth="1"/>
    <col min="773" max="773" width="7.375" style="3169" customWidth="1"/>
    <col min="774" max="774" width="3.5" style="3169" customWidth="1"/>
    <col min="775" max="775" width="19.375" style="3169" customWidth="1"/>
    <col min="776" max="776" width="19.5" style="3169" customWidth="1"/>
    <col min="777" max="777" width="8.625" style="3169" customWidth="1"/>
    <col min="778" max="778" width="10.5" style="3169" customWidth="1"/>
    <col min="779" max="779" width="4.875" style="3169" customWidth="1"/>
    <col min="780" max="780" width="16.375" style="3169" customWidth="1"/>
    <col min="781" max="784" width="8.125" style="3169" customWidth="1"/>
    <col min="785" max="1024" width="8.875" style="3169"/>
    <col min="1025" max="1025" width="6.375" style="3169" customWidth="1"/>
    <col min="1026" max="1026" width="19.375" style="3169" customWidth="1"/>
    <col min="1027" max="1027" width="7" style="3169" customWidth="1"/>
    <col min="1028" max="1028" width="3.125" style="3169" customWidth="1"/>
    <col min="1029" max="1029" width="7.375" style="3169" customWidth="1"/>
    <col min="1030" max="1030" width="3.5" style="3169" customWidth="1"/>
    <col min="1031" max="1031" width="19.375" style="3169" customWidth="1"/>
    <col min="1032" max="1032" width="19.5" style="3169" customWidth="1"/>
    <col min="1033" max="1033" width="8.625" style="3169" customWidth="1"/>
    <col min="1034" max="1034" width="10.5" style="3169" customWidth="1"/>
    <col min="1035" max="1035" width="4.875" style="3169" customWidth="1"/>
    <col min="1036" max="1036" width="16.375" style="3169" customWidth="1"/>
    <col min="1037" max="1040" width="8.125" style="3169" customWidth="1"/>
    <col min="1041" max="1280" width="8.875" style="3169"/>
    <col min="1281" max="1281" width="6.375" style="3169" customWidth="1"/>
    <col min="1282" max="1282" width="19.375" style="3169" customWidth="1"/>
    <col min="1283" max="1283" width="7" style="3169" customWidth="1"/>
    <col min="1284" max="1284" width="3.125" style="3169" customWidth="1"/>
    <col min="1285" max="1285" width="7.375" style="3169" customWidth="1"/>
    <col min="1286" max="1286" width="3.5" style="3169" customWidth="1"/>
    <col min="1287" max="1287" width="19.375" style="3169" customWidth="1"/>
    <col min="1288" max="1288" width="19.5" style="3169" customWidth="1"/>
    <col min="1289" max="1289" width="8.625" style="3169" customWidth="1"/>
    <col min="1290" max="1290" width="10.5" style="3169" customWidth="1"/>
    <col min="1291" max="1291" width="4.875" style="3169" customWidth="1"/>
    <col min="1292" max="1292" width="16.375" style="3169" customWidth="1"/>
    <col min="1293" max="1296" width="8.125" style="3169" customWidth="1"/>
    <col min="1297" max="1536" width="8.875" style="3169"/>
    <col min="1537" max="1537" width="6.375" style="3169" customWidth="1"/>
    <col min="1538" max="1538" width="19.375" style="3169" customWidth="1"/>
    <col min="1539" max="1539" width="7" style="3169" customWidth="1"/>
    <col min="1540" max="1540" width="3.125" style="3169" customWidth="1"/>
    <col min="1541" max="1541" width="7.375" style="3169" customWidth="1"/>
    <col min="1542" max="1542" width="3.5" style="3169" customWidth="1"/>
    <col min="1543" max="1543" width="19.375" style="3169" customWidth="1"/>
    <col min="1544" max="1544" width="19.5" style="3169" customWidth="1"/>
    <col min="1545" max="1545" width="8.625" style="3169" customWidth="1"/>
    <col min="1546" max="1546" width="10.5" style="3169" customWidth="1"/>
    <col min="1547" max="1547" width="4.875" style="3169" customWidth="1"/>
    <col min="1548" max="1548" width="16.375" style="3169" customWidth="1"/>
    <col min="1549" max="1552" width="8.125" style="3169" customWidth="1"/>
    <col min="1553" max="1792" width="8.875" style="3169"/>
    <col min="1793" max="1793" width="6.375" style="3169" customWidth="1"/>
    <col min="1794" max="1794" width="19.375" style="3169" customWidth="1"/>
    <col min="1795" max="1795" width="7" style="3169" customWidth="1"/>
    <col min="1796" max="1796" width="3.125" style="3169" customWidth="1"/>
    <col min="1797" max="1797" width="7.375" style="3169" customWidth="1"/>
    <col min="1798" max="1798" width="3.5" style="3169" customWidth="1"/>
    <col min="1799" max="1799" width="19.375" style="3169" customWidth="1"/>
    <col min="1800" max="1800" width="19.5" style="3169" customWidth="1"/>
    <col min="1801" max="1801" width="8.625" style="3169" customWidth="1"/>
    <col min="1802" max="1802" width="10.5" style="3169" customWidth="1"/>
    <col min="1803" max="1803" width="4.875" style="3169" customWidth="1"/>
    <col min="1804" max="1804" width="16.375" style="3169" customWidth="1"/>
    <col min="1805" max="1808" width="8.125" style="3169" customWidth="1"/>
    <col min="1809" max="2048" width="8.875" style="3169"/>
    <col min="2049" max="2049" width="6.375" style="3169" customWidth="1"/>
    <col min="2050" max="2050" width="19.375" style="3169" customWidth="1"/>
    <col min="2051" max="2051" width="7" style="3169" customWidth="1"/>
    <col min="2052" max="2052" width="3.125" style="3169" customWidth="1"/>
    <col min="2053" max="2053" width="7.375" style="3169" customWidth="1"/>
    <col min="2054" max="2054" width="3.5" style="3169" customWidth="1"/>
    <col min="2055" max="2055" width="19.375" style="3169" customWidth="1"/>
    <col min="2056" max="2056" width="19.5" style="3169" customWidth="1"/>
    <col min="2057" max="2057" width="8.625" style="3169" customWidth="1"/>
    <col min="2058" max="2058" width="10.5" style="3169" customWidth="1"/>
    <col min="2059" max="2059" width="4.875" style="3169" customWidth="1"/>
    <col min="2060" max="2060" width="16.375" style="3169" customWidth="1"/>
    <col min="2061" max="2064" width="8.125" style="3169" customWidth="1"/>
    <col min="2065" max="2304" width="8.875" style="3169"/>
    <col min="2305" max="2305" width="6.375" style="3169" customWidth="1"/>
    <col min="2306" max="2306" width="19.375" style="3169" customWidth="1"/>
    <col min="2307" max="2307" width="7" style="3169" customWidth="1"/>
    <col min="2308" max="2308" width="3.125" style="3169" customWidth="1"/>
    <col min="2309" max="2309" width="7.375" style="3169" customWidth="1"/>
    <col min="2310" max="2310" width="3.5" style="3169" customWidth="1"/>
    <col min="2311" max="2311" width="19.375" style="3169" customWidth="1"/>
    <col min="2312" max="2312" width="19.5" style="3169" customWidth="1"/>
    <col min="2313" max="2313" width="8.625" style="3169" customWidth="1"/>
    <col min="2314" max="2314" width="10.5" style="3169" customWidth="1"/>
    <col min="2315" max="2315" width="4.875" style="3169" customWidth="1"/>
    <col min="2316" max="2316" width="16.375" style="3169" customWidth="1"/>
    <col min="2317" max="2320" width="8.125" style="3169" customWidth="1"/>
    <col min="2321" max="2560" width="8.875" style="3169"/>
    <col min="2561" max="2561" width="6.375" style="3169" customWidth="1"/>
    <col min="2562" max="2562" width="19.375" style="3169" customWidth="1"/>
    <col min="2563" max="2563" width="7" style="3169" customWidth="1"/>
    <col min="2564" max="2564" width="3.125" style="3169" customWidth="1"/>
    <col min="2565" max="2565" width="7.375" style="3169" customWidth="1"/>
    <col min="2566" max="2566" width="3.5" style="3169" customWidth="1"/>
    <col min="2567" max="2567" width="19.375" style="3169" customWidth="1"/>
    <col min="2568" max="2568" width="19.5" style="3169" customWidth="1"/>
    <col min="2569" max="2569" width="8.625" style="3169" customWidth="1"/>
    <col min="2570" max="2570" width="10.5" style="3169" customWidth="1"/>
    <col min="2571" max="2571" width="4.875" style="3169" customWidth="1"/>
    <col min="2572" max="2572" width="16.375" style="3169" customWidth="1"/>
    <col min="2573" max="2576" width="8.125" style="3169" customWidth="1"/>
    <col min="2577" max="2816" width="8.875" style="3169"/>
    <col min="2817" max="2817" width="6.375" style="3169" customWidth="1"/>
    <col min="2818" max="2818" width="19.375" style="3169" customWidth="1"/>
    <col min="2819" max="2819" width="7" style="3169" customWidth="1"/>
    <col min="2820" max="2820" width="3.125" style="3169" customWidth="1"/>
    <col min="2821" max="2821" width="7.375" style="3169" customWidth="1"/>
    <col min="2822" max="2822" width="3.5" style="3169" customWidth="1"/>
    <col min="2823" max="2823" width="19.375" style="3169" customWidth="1"/>
    <col min="2824" max="2824" width="19.5" style="3169" customWidth="1"/>
    <col min="2825" max="2825" width="8.625" style="3169" customWidth="1"/>
    <col min="2826" max="2826" width="10.5" style="3169" customWidth="1"/>
    <col min="2827" max="2827" width="4.875" style="3169" customWidth="1"/>
    <col min="2828" max="2828" width="16.375" style="3169" customWidth="1"/>
    <col min="2829" max="2832" width="8.125" style="3169" customWidth="1"/>
    <col min="2833" max="3072" width="8.875" style="3169"/>
    <col min="3073" max="3073" width="6.375" style="3169" customWidth="1"/>
    <col min="3074" max="3074" width="19.375" style="3169" customWidth="1"/>
    <col min="3075" max="3075" width="7" style="3169" customWidth="1"/>
    <col min="3076" max="3076" width="3.125" style="3169" customWidth="1"/>
    <col min="3077" max="3077" width="7.375" style="3169" customWidth="1"/>
    <col min="3078" max="3078" width="3.5" style="3169" customWidth="1"/>
    <col min="3079" max="3079" width="19.375" style="3169" customWidth="1"/>
    <col min="3080" max="3080" width="19.5" style="3169" customWidth="1"/>
    <col min="3081" max="3081" width="8.625" style="3169" customWidth="1"/>
    <col min="3082" max="3082" width="10.5" style="3169" customWidth="1"/>
    <col min="3083" max="3083" width="4.875" style="3169" customWidth="1"/>
    <col min="3084" max="3084" width="16.375" style="3169" customWidth="1"/>
    <col min="3085" max="3088" width="8.125" style="3169" customWidth="1"/>
    <col min="3089" max="3328" width="8.875" style="3169"/>
    <col min="3329" max="3329" width="6.375" style="3169" customWidth="1"/>
    <col min="3330" max="3330" width="19.375" style="3169" customWidth="1"/>
    <col min="3331" max="3331" width="7" style="3169" customWidth="1"/>
    <col min="3332" max="3332" width="3.125" style="3169" customWidth="1"/>
    <col min="3333" max="3333" width="7.375" style="3169" customWidth="1"/>
    <col min="3334" max="3334" width="3.5" style="3169" customWidth="1"/>
    <col min="3335" max="3335" width="19.375" style="3169" customWidth="1"/>
    <col min="3336" max="3336" width="19.5" style="3169" customWidth="1"/>
    <col min="3337" max="3337" width="8.625" style="3169" customWidth="1"/>
    <col min="3338" max="3338" width="10.5" style="3169" customWidth="1"/>
    <col min="3339" max="3339" width="4.875" style="3169" customWidth="1"/>
    <col min="3340" max="3340" width="16.375" style="3169" customWidth="1"/>
    <col min="3341" max="3344" width="8.125" style="3169" customWidth="1"/>
    <col min="3345" max="3584" width="8.875" style="3169"/>
    <col min="3585" max="3585" width="6.375" style="3169" customWidth="1"/>
    <col min="3586" max="3586" width="19.375" style="3169" customWidth="1"/>
    <col min="3587" max="3587" width="7" style="3169" customWidth="1"/>
    <col min="3588" max="3588" width="3.125" style="3169" customWidth="1"/>
    <col min="3589" max="3589" width="7.375" style="3169" customWidth="1"/>
    <col min="3590" max="3590" width="3.5" style="3169" customWidth="1"/>
    <col min="3591" max="3591" width="19.375" style="3169" customWidth="1"/>
    <col min="3592" max="3592" width="19.5" style="3169" customWidth="1"/>
    <col min="3593" max="3593" width="8.625" style="3169" customWidth="1"/>
    <col min="3594" max="3594" width="10.5" style="3169" customWidth="1"/>
    <col min="3595" max="3595" width="4.875" style="3169" customWidth="1"/>
    <col min="3596" max="3596" width="16.375" style="3169" customWidth="1"/>
    <col min="3597" max="3600" width="8.125" style="3169" customWidth="1"/>
    <col min="3601" max="3840" width="8.875" style="3169"/>
    <col min="3841" max="3841" width="6.375" style="3169" customWidth="1"/>
    <col min="3842" max="3842" width="19.375" style="3169" customWidth="1"/>
    <col min="3843" max="3843" width="7" style="3169" customWidth="1"/>
    <col min="3844" max="3844" width="3.125" style="3169" customWidth="1"/>
    <col min="3845" max="3845" width="7.375" style="3169" customWidth="1"/>
    <col min="3846" max="3846" width="3.5" style="3169" customWidth="1"/>
    <col min="3847" max="3847" width="19.375" style="3169" customWidth="1"/>
    <col min="3848" max="3848" width="19.5" style="3169" customWidth="1"/>
    <col min="3849" max="3849" width="8.625" style="3169" customWidth="1"/>
    <col min="3850" max="3850" width="10.5" style="3169" customWidth="1"/>
    <col min="3851" max="3851" width="4.875" style="3169" customWidth="1"/>
    <col min="3852" max="3852" width="16.375" style="3169" customWidth="1"/>
    <col min="3853" max="3856" width="8.125" style="3169" customWidth="1"/>
    <col min="3857" max="4096" width="8.875" style="3169"/>
    <col min="4097" max="4097" width="6.375" style="3169" customWidth="1"/>
    <col min="4098" max="4098" width="19.375" style="3169" customWidth="1"/>
    <col min="4099" max="4099" width="7" style="3169" customWidth="1"/>
    <col min="4100" max="4100" width="3.125" style="3169" customWidth="1"/>
    <col min="4101" max="4101" width="7.375" style="3169" customWidth="1"/>
    <col min="4102" max="4102" width="3.5" style="3169" customWidth="1"/>
    <col min="4103" max="4103" width="19.375" style="3169" customWidth="1"/>
    <col min="4104" max="4104" width="19.5" style="3169" customWidth="1"/>
    <col min="4105" max="4105" width="8.625" style="3169" customWidth="1"/>
    <col min="4106" max="4106" width="10.5" style="3169" customWidth="1"/>
    <col min="4107" max="4107" width="4.875" style="3169" customWidth="1"/>
    <col min="4108" max="4108" width="16.375" style="3169" customWidth="1"/>
    <col min="4109" max="4112" width="8.125" style="3169" customWidth="1"/>
    <col min="4113" max="4352" width="8.875" style="3169"/>
    <col min="4353" max="4353" width="6.375" style="3169" customWidth="1"/>
    <col min="4354" max="4354" width="19.375" style="3169" customWidth="1"/>
    <col min="4355" max="4355" width="7" style="3169" customWidth="1"/>
    <col min="4356" max="4356" width="3.125" style="3169" customWidth="1"/>
    <col min="4357" max="4357" width="7.375" style="3169" customWidth="1"/>
    <col min="4358" max="4358" width="3.5" style="3169" customWidth="1"/>
    <col min="4359" max="4359" width="19.375" style="3169" customWidth="1"/>
    <col min="4360" max="4360" width="19.5" style="3169" customWidth="1"/>
    <col min="4361" max="4361" width="8.625" style="3169" customWidth="1"/>
    <col min="4362" max="4362" width="10.5" style="3169" customWidth="1"/>
    <col min="4363" max="4363" width="4.875" style="3169" customWidth="1"/>
    <col min="4364" max="4364" width="16.375" style="3169" customWidth="1"/>
    <col min="4365" max="4368" width="8.125" style="3169" customWidth="1"/>
    <col min="4369" max="4608" width="8.875" style="3169"/>
    <col min="4609" max="4609" width="6.375" style="3169" customWidth="1"/>
    <col min="4610" max="4610" width="19.375" style="3169" customWidth="1"/>
    <col min="4611" max="4611" width="7" style="3169" customWidth="1"/>
    <col min="4612" max="4612" width="3.125" style="3169" customWidth="1"/>
    <col min="4613" max="4613" width="7.375" style="3169" customWidth="1"/>
    <col min="4614" max="4614" width="3.5" style="3169" customWidth="1"/>
    <col min="4615" max="4615" width="19.375" style="3169" customWidth="1"/>
    <col min="4616" max="4616" width="19.5" style="3169" customWidth="1"/>
    <col min="4617" max="4617" width="8.625" style="3169" customWidth="1"/>
    <col min="4618" max="4618" width="10.5" style="3169" customWidth="1"/>
    <col min="4619" max="4619" width="4.875" style="3169" customWidth="1"/>
    <col min="4620" max="4620" width="16.375" style="3169" customWidth="1"/>
    <col min="4621" max="4624" width="8.125" style="3169" customWidth="1"/>
    <col min="4625" max="4864" width="8.875" style="3169"/>
    <col min="4865" max="4865" width="6.375" style="3169" customWidth="1"/>
    <col min="4866" max="4866" width="19.375" style="3169" customWidth="1"/>
    <col min="4867" max="4867" width="7" style="3169" customWidth="1"/>
    <col min="4868" max="4868" width="3.125" style="3169" customWidth="1"/>
    <col min="4869" max="4869" width="7.375" style="3169" customWidth="1"/>
    <col min="4870" max="4870" width="3.5" style="3169" customWidth="1"/>
    <col min="4871" max="4871" width="19.375" style="3169" customWidth="1"/>
    <col min="4872" max="4872" width="19.5" style="3169" customWidth="1"/>
    <col min="4873" max="4873" width="8.625" style="3169" customWidth="1"/>
    <col min="4874" max="4874" width="10.5" style="3169" customWidth="1"/>
    <col min="4875" max="4875" width="4.875" style="3169" customWidth="1"/>
    <col min="4876" max="4876" width="16.375" style="3169" customWidth="1"/>
    <col min="4877" max="4880" width="8.125" style="3169" customWidth="1"/>
    <col min="4881" max="5120" width="8.875" style="3169"/>
    <col min="5121" max="5121" width="6.375" style="3169" customWidth="1"/>
    <col min="5122" max="5122" width="19.375" style="3169" customWidth="1"/>
    <col min="5123" max="5123" width="7" style="3169" customWidth="1"/>
    <col min="5124" max="5124" width="3.125" style="3169" customWidth="1"/>
    <col min="5125" max="5125" width="7.375" style="3169" customWidth="1"/>
    <col min="5126" max="5126" width="3.5" style="3169" customWidth="1"/>
    <col min="5127" max="5127" width="19.375" style="3169" customWidth="1"/>
    <col min="5128" max="5128" width="19.5" style="3169" customWidth="1"/>
    <col min="5129" max="5129" width="8.625" style="3169" customWidth="1"/>
    <col min="5130" max="5130" width="10.5" style="3169" customWidth="1"/>
    <col min="5131" max="5131" width="4.875" style="3169" customWidth="1"/>
    <col min="5132" max="5132" width="16.375" style="3169" customWidth="1"/>
    <col min="5133" max="5136" width="8.125" style="3169" customWidth="1"/>
    <col min="5137" max="5376" width="8.875" style="3169"/>
    <col min="5377" max="5377" width="6.375" style="3169" customWidth="1"/>
    <col min="5378" max="5378" width="19.375" style="3169" customWidth="1"/>
    <col min="5379" max="5379" width="7" style="3169" customWidth="1"/>
    <col min="5380" max="5380" width="3.125" style="3169" customWidth="1"/>
    <col min="5381" max="5381" width="7.375" style="3169" customWidth="1"/>
    <col min="5382" max="5382" width="3.5" style="3169" customWidth="1"/>
    <col min="5383" max="5383" width="19.375" style="3169" customWidth="1"/>
    <col min="5384" max="5384" width="19.5" style="3169" customWidth="1"/>
    <col min="5385" max="5385" width="8.625" style="3169" customWidth="1"/>
    <col min="5386" max="5386" width="10.5" style="3169" customWidth="1"/>
    <col min="5387" max="5387" width="4.875" style="3169" customWidth="1"/>
    <col min="5388" max="5388" width="16.375" style="3169" customWidth="1"/>
    <col min="5389" max="5392" width="8.125" style="3169" customWidth="1"/>
    <col min="5393" max="5632" width="8.875" style="3169"/>
    <col min="5633" max="5633" width="6.375" style="3169" customWidth="1"/>
    <col min="5634" max="5634" width="19.375" style="3169" customWidth="1"/>
    <col min="5635" max="5635" width="7" style="3169" customWidth="1"/>
    <col min="5636" max="5636" width="3.125" style="3169" customWidth="1"/>
    <col min="5637" max="5637" width="7.375" style="3169" customWidth="1"/>
    <col min="5638" max="5638" width="3.5" style="3169" customWidth="1"/>
    <col min="5639" max="5639" width="19.375" style="3169" customWidth="1"/>
    <col min="5640" max="5640" width="19.5" style="3169" customWidth="1"/>
    <col min="5641" max="5641" width="8.625" style="3169" customWidth="1"/>
    <col min="5642" max="5642" width="10.5" style="3169" customWidth="1"/>
    <col min="5643" max="5643" width="4.875" style="3169" customWidth="1"/>
    <col min="5644" max="5644" width="16.375" style="3169" customWidth="1"/>
    <col min="5645" max="5648" width="8.125" style="3169" customWidth="1"/>
    <col min="5649" max="5888" width="8.875" style="3169"/>
    <col min="5889" max="5889" width="6.375" style="3169" customWidth="1"/>
    <col min="5890" max="5890" width="19.375" style="3169" customWidth="1"/>
    <col min="5891" max="5891" width="7" style="3169" customWidth="1"/>
    <col min="5892" max="5892" width="3.125" style="3169" customWidth="1"/>
    <col min="5893" max="5893" width="7.375" style="3169" customWidth="1"/>
    <col min="5894" max="5894" width="3.5" style="3169" customWidth="1"/>
    <col min="5895" max="5895" width="19.375" style="3169" customWidth="1"/>
    <col min="5896" max="5896" width="19.5" style="3169" customWidth="1"/>
    <col min="5897" max="5897" width="8.625" style="3169" customWidth="1"/>
    <col min="5898" max="5898" width="10.5" style="3169" customWidth="1"/>
    <col min="5899" max="5899" width="4.875" style="3169" customWidth="1"/>
    <col min="5900" max="5900" width="16.375" style="3169" customWidth="1"/>
    <col min="5901" max="5904" width="8.125" style="3169" customWidth="1"/>
    <col min="5905" max="6144" width="8.875" style="3169"/>
    <col min="6145" max="6145" width="6.375" style="3169" customWidth="1"/>
    <col min="6146" max="6146" width="19.375" style="3169" customWidth="1"/>
    <col min="6147" max="6147" width="7" style="3169" customWidth="1"/>
    <col min="6148" max="6148" width="3.125" style="3169" customWidth="1"/>
    <col min="6149" max="6149" width="7.375" style="3169" customWidth="1"/>
    <col min="6150" max="6150" width="3.5" style="3169" customWidth="1"/>
    <col min="6151" max="6151" width="19.375" style="3169" customWidth="1"/>
    <col min="6152" max="6152" width="19.5" style="3169" customWidth="1"/>
    <col min="6153" max="6153" width="8.625" style="3169" customWidth="1"/>
    <col min="6154" max="6154" width="10.5" style="3169" customWidth="1"/>
    <col min="6155" max="6155" width="4.875" style="3169" customWidth="1"/>
    <col min="6156" max="6156" width="16.375" style="3169" customWidth="1"/>
    <col min="6157" max="6160" width="8.125" style="3169" customWidth="1"/>
    <col min="6161" max="6400" width="8.875" style="3169"/>
    <col min="6401" max="6401" width="6.375" style="3169" customWidth="1"/>
    <col min="6402" max="6402" width="19.375" style="3169" customWidth="1"/>
    <col min="6403" max="6403" width="7" style="3169" customWidth="1"/>
    <col min="6404" max="6404" width="3.125" style="3169" customWidth="1"/>
    <col min="6405" max="6405" width="7.375" style="3169" customWidth="1"/>
    <col min="6406" max="6406" width="3.5" style="3169" customWidth="1"/>
    <col min="6407" max="6407" width="19.375" style="3169" customWidth="1"/>
    <col min="6408" max="6408" width="19.5" style="3169" customWidth="1"/>
    <col min="6409" max="6409" width="8.625" style="3169" customWidth="1"/>
    <col min="6410" max="6410" width="10.5" style="3169" customWidth="1"/>
    <col min="6411" max="6411" width="4.875" style="3169" customWidth="1"/>
    <col min="6412" max="6412" width="16.375" style="3169" customWidth="1"/>
    <col min="6413" max="6416" width="8.125" style="3169" customWidth="1"/>
    <col min="6417" max="6656" width="8.875" style="3169"/>
    <col min="6657" max="6657" width="6.375" style="3169" customWidth="1"/>
    <col min="6658" max="6658" width="19.375" style="3169" customWidth="1"/>
    <col min="6659" max="6659" width="7" style="3169" customWidth="1"/>
    <col min="6660" max="6660" width="3.125" style="3169" customWidth="1"/>
    <col min="6661" max="6661" width="7.375" style="3169" customWidth="1"/>
    <col min="6662" max="6662" width="3.5" style="3169" customWidth="1"/>
    <col min="6663" max="6663" width="19.375" style="3169" customWidth="1"/>
    <col min="6664" max="6664" width="19.5" style="3169" customWidth="1"/>
    <col min="6665" max="6665" width="8.625" style="3169" customWidth="1"/>
    <col min="6666" max="6666" width="10.5" style="3169" customWidth="1"/>
    <col min="6667" max="6667" width="4.875" style="3169" customWidth="1"/>
    <col min="6668" max="6668" width="16.375" style="3169" customWidth="1"/>
    <col min="6669" max="6672" width="8.125" style="3169" customWidth="1"/>
    <col min="6673" max="6912" width="8.875" style="3169"/>
    <col min="6913" max="6913" width="6.375" style="3169" customWidth="1"/>
    <col min="6914" max="6914" width="19.375" style="3169" customWidth="1"/>
    <col min="6915" max="6915" width="7" style="3169" customWidth="1"/>
    <col min="6916" max="6916" width="3.125" style="3169" customWidth="1"/>
    <col min="6917" max="6917" width="7.375" style="3169" customWidth="1"/>
    <col min="6918" max="6918" width="3.5" style="3169" customWidth="1"/>
    <col min="6919" max="6919" width="19.375" style="3169" customWidth="1"/>
    <col min="6920" max="6920" width="19.5" style="3169" customWidth="1"/>
    <col min="6921" max="6921" width="8.625" style="3169" customWidth="1"/>
    <col min="6922" max="6922" width="10.5" style="3169" customWidth="1"/>
    <col min="6923" max="6923" width="4.875" style="3169" customWidth="1"/>
    <col min="6924" max="6924" width="16.375" style="3169" customWidth="1"/>
    <col min="6925" max="6928" width="8.125" style="3169" customWidth="1"/>
    <col min="6929" max="7168" width="8.875" style="3169"/>
    <col min="7169" max="7169" width="6.375" style="3169" customWidth="1"/>
    <col min="7170" max="7170" width="19.375" style="3169" customWidth="1"/>
    <col min="7171" max="7171" width="7" style="3169" customWidth="1"/>
    <col min="7172" max="7172" width="3.125" style="3169" customWidth="1"/>
    <col min="7173" max="7173" width="7.375" style="3169" customWidth="1"/>
    <col min="7174" max="7174" width="3.5" style="3169" customWidth="1"/>
    <col min="7175" max="7175" width="19.375" style="3169" customWidth="1"/>
    <col min="7176" max="7176" width="19.5" style="3169" customWidth="1"/>
    <col min="7177" max="7177" width="8.625" style="3169" customWidth="1"/>
    <col min="7178" max="7178" width="10.5" style="3169" customWidth="1"/>
    <col min="7179" max="7179" width="4.875" style="3169" customWidth="1"/>
    <col min="7180" max="7180" width="16.375" style="3169" customWidth="1"/>
    <col min="7181" max="7184" width="8.125" style="3169" customWidth="1"/>
    <col min="7185" max="7424" width="8.875" style="3169"/>
    <col min="7425" max="7425" width="6.375" style="3169" customWidth="1"/>
    <col min="7426" max="7426" width="19.375" style="3169" customWidth="1"/>
    <col min="7427" max="7427" width="7" style="3169" customWidth="1"/>
    <col min="7428" max="7428" width="3.125" style="3169" customWidth="1"/>
    <col min="7429" max="7429" width="7.375" style="3169" customWidth="1"/>
    <col min="7430" max="7430" width="3.5" style="3169" customWidth="1"/>
    <col min="7431" max="7431" width="19.375" style="3169" customWidth="1"/>
    <col min="7432" max="7432" width="19.5" style="3169" customWidth="1"/>
    <col min="7433" max="7433" width="8.625" style="3169" customWidth="1"/>
    <col min="7434" max="7434" width="10.5" style="3169" customWidth="1"/>
    <col min="7435" max="7435" width="4.875" style="3169" customWidth="1"/>
    <col min="7436" max="7436" width="16.375" style="3169" customWidth="1"/>
    <col min="7437" max="7440" width="8.125" style="3169" customWidth="1"/>
    <col min="7441" max="7680" width="8.875" style="3169"/>
    <col min="7681" max="7681" width="6.375" style="3169" customWidth="1"/>
    <col min="7682" max="7682" width="19.375" style="3169" customWidth="1"/>
    <col min="7683" max="7683" width="7" style="3169" customWidth="1"/>
    <col min="7684" max="7684" width="3.125" style="3169" customWidth="1"/>
    <col min="7685" max="7685" width="7.375" style="3169" customWidth="1"/>
    <col min="7686" max="7686" width="3.5" style="3169" customWidth="1"/>
    <col min="7687" max="7687" width="19.375" style="3169" customWidth="1"/>
    <col min="7688" max="7688" width="19.5" style="3169" customWidth="1"/>
    <col min="7689" max="7689" width="8.625" style="3169" customWidth="1"/>
    <col min="7690" max="7690" width="10.5" style="3169" customWidth="1"/>
    <col min="7691" max="7691" width="4.875" style="3169" customWidth="1"/>
    <col min="7692" max="7692" width="16.375" style="3169" customWidth="1"/>
    <col min="7693" max="7696" width="8.125" style="3169" customWidth="1"/>
    <col min="7697" max="7936" width="8.875" style="3169"/>
    <col min="7937" max="7937" width="6.375" style="3169" customWidth="1"/>
    <col min="7938" max="7938" width="19.375" style="3169" customWidth="1"/>
    <col min="7939" max="7939" width="7" style="3169" customWidth="1"/>
    <col min="7940" max="7940" width="3.125" style="3169" customWidth="1"/>
    <col min="7941" max="7941" width="7.375" style="3169" customWidth="1"/>
    <col min="7942" max="7942" width="3.5" style="3169" customWidth="1"/>
    <col min="7943" max="7943" width="19.375" style="3169" customWidth="1"/>
    <col min="7944" max="7944" width="19.5" style="3169" customWidth="1"/>
    <col min="7945" max="7945" width="8.625" style="3169" customWidth="1"/>
    <col min="7946" max="7946" width="10.5" style="3169" customWidth="1"/>
    <col min="7947" max="7947" width="4.875" style="3169" customWidth="1"/>
    <col min="7948" max="7948" width="16.375" style="3169" customWidth="1"/>
    <col min="7949" max="7952" width="8.125" style="3169" customWidth="1"/>
    <col min="7953" max="8192" width="8.875" style="3169"/>
    <col min="8193" max="8193" width="6.375" style="3169" customWidth="1"/>
    <col min="8194" max="8194" width="19.375" style="3169" customWidth="1"/>
    <col min="8195" max="8195" width="7" style="3169" customWidth="1"/>
    <col min="8196" max="8196" width="3.125" style="3169" customWidth="1"/>
    <col min="8197" max="8197" width="7.375" style="3169" customWidth="1"/>
    <col min="8198" max="8198" width="3.5" style="3169" customWidth="1"/>
    <col min="8199" max="8199" width="19.375" style="3169" customWidth="1"/>
    <col min="8200" max="8200" width="19.5" style="3169" customWidth="1"/>
    <col min="8201" max="8201" width="8.625" style="3169" customWidth="1"/>
    <col min="8202" max="8202" width="10.5" style="3169" customWidth="1"/>
    <col min="8203" max="8203" width="4.875" style="3169" customWidth="1"/>
    <col min="8204" max="8204" width="16.375" style="3169" customWidth="1"/>
    <col min="8205" max="8208" width="8.125" style="3169" customWidth="1"/>
    <col min="8209" max="8448" width="8.875" style="3169"/>
    <col min="8449" max="8449" width="6.375" style="3169" customWidth="1"/>
    <col min="8450" max="8450" width="19.375" style="3169" customWidth="1"/>
    <col min="8451" max="8451" width="7" style="3169" customWidth="1"/>
    <col min="8452" max="8452" width="3.125" style="3169" customWidth="1"/>
    <col min="8453" max="8453" width="7.375" style="3169" customWidth="1"/>
    <col min="8454" max="8454" width="3.5" style="3169" customWidth="1"/>
    <col min="8455" max="8455" width="19.375" style="3169" customWidth="1"/>
    <col min="8456" max="8456" width="19.5" style="3169" customWidth="1"/>
    <col min="8457" max="8457" width="8.625" style="3169" customWidth="1"/>
    <col min="8458" max="8458" width="10.5" style="3169" customWidth="1"/>
    <col min="8459" max="8459" width="4.875" style="3169" customWidth="1"/>
    <col min="8460" max="8460" width="16.375" style="3169" customWidth="1"/>
    <col min="8461" max="8464" width="8.125" style="3169" customWidth="1"/>
    <col min="8465" max="8704" width="8.875" style="3169"/>
    <col min="8705" max="8705" width="6.375" style="3169" customWidth="1"/>
    <col min="8706" max="8706" width="19.375" style="3169" customWidth="1"/>
    <col min="8707" max="8707" width="7" style="3169" customWidth="1"/>
    <col min="8708" max="8708" width="3.125" style="3169" customWidth="1"/>
    <col min="8709" max="8709" width="7.375" style="3169" customWidth="1"/>
    <col min="8710" max="8710" width="3.5" style="3169" customWidth="1"/>
    <col min="8711" max="8711" width="19.375" style="3169" customWidth="1"/>
    <col min="8712" max="8712" width="19.5" style="3169" customWidth="1"/>
    <col min="8713" max="8713" width="8.625" style="3169" customWidth="1"/>
    <col min="8714" max="8714" width="10.5" style="3169" customWidth="1"/>
    <col min="8715" max="8715" width="4.875" style="3169" customWidth="1"/>
    <col min="8716" max="8716" width="16.375" style="3169" customWidth="1"/>
    <col min="8717" max="8720" width="8.125" style="3169" customWidth="1"/>
    <col min="8721" max="8960" width="8.875" style="3169"/>
    <col min="8961" max="8961" width="6.375" style="3169" customWidth="1"/>
    <col min="8962" max="8962" width="19.375" style="3169" customWidth="1"/>
    <col min="8963" max="8963" width="7" style="3169" customWidth="1"/>
    <col min="8964" max="8964" width="3.125" style="3169" customWidth="1"/>
    <col min="8965" max="8965" width="7.375" style="3169" customWidth="1"/>
    <col min="8966" max="8966" width="3.5" style="3169" customWidth="1"/>
    <col min="8967" max="8967" width="19.375" style="3169" customWidth="1"/>
    <col min="8968" max="8968" width="19.5" style="3169" customWidth="1"/>
    <col min="8969" max="8969" width="8.625" style="3169" customWidth="1"/>
    <col min="8970" max="8970" width="10.5" style="3169" customWidth="1"/>
    <col min="8971" max="8971" width="4.875" style="3169" customWidth="1"/>
    <col min="8972" max="8972" width="16.375" style="3169" customWidth="1"/>
    <col min="8973" max="8976" width="8.125" style="3169" customWidth="1"/>
    <col min="8977" max="9216" width="8.875" style="3169"/>
    <col min="9217" max="9217" width="6.375" style="3169" customWidth="1"/>
    <col min="9218" max="9218" width="19.375" style="3169" customWidth="1"/>
    <col min="9219" max="9219" width="7" style="3169" customWidth="1"/>
    <col min="9220" max="9220" width="3.125" style="3169" customWidth="1"/>
    <col min="9221" max="9221" width="7.375" style="3169" customWidth="1"/>
    <col min="9222" max="9222" width="3.5" style="3169" customWidth="1"/>
    <col min="9223" max="9223" width="19.375" style="3169" customWidth="1"/>
    <col min="9224" max="9224" width="19.5" style="3169" customWidth="1"/>
    <col min="9225" max="9225" width="8.625" style="3169" customWidth="1"/>
    <col min="9226" max="9226" width="10.5" style="3169" customWidth="1"/>
    <col min="9227" max="9227" width="4.875" style="3169" customWidth="1"/>
    <col min="9228" max="9228" width="16.375" style="3169" customWidth="1"/>
    <col min="9229" max="9232" width="8.125" style="3169" customWidth="1"/>
    <col min="9233" max="9472" width="8.875" style="3169"/>
    <col min="9473" max="9473" width="6.375" style="3169" customWidth="1"/>
    <col min="9474" max="9474" width="19.375" style="3169" customWidth="1"/>
    <col min="9475" max="9475" width="7" style="3169" customWidth="1"/>
    <col min="9476" max="9476" width="3.125" style="3169" customWidth="1"/>
    <col min="9477" max="9477" width="7.375" style="3169" customWidth="1"/>
    <col min="9478" max="9478" width="3.5" style="3169" customWidth="1"/>
    <col min="9479" max="9479" width="19.375" style="3169" customWidth="1"/>
    <col min="9480" max="9480" width="19.5" style="3169" customWidth="1"/>
    <col min="9481" max="9481" width="8.625" style="3169" customWidth="1"/>
    <col min="9482" max="9482" width="10.5" style="3169" customWidth="1"/>
    <col min="9483" max="9483" width="4.875" style="3169" customWidth="1"/>
    <col min="9484" max="9484" width="16.375" style="3169" customWidth="1"/>
    <col min="9485" max="9488" width="8.125" style="3169" customWidth="1"/>
    <col min="9489" max="9728" width="8.875" style="3169"/>
    <col min="9729" max="9729" width="6.375" style="3169" customWidth="1"/>
    <col min="9730" max="9730" width="19.375" style="3169" customWidth="1"/>
    <col min="9731" max="9731" width="7" style="3169" customWidth="1"/>
    <col min="9732" max="9732" width="3.125" style="3169" customWidth="1"/>
    <col min="9733" max="9733" width="7.375" style="3169" customWidth="1"/>
    <col min="9734" max="9734" width="3.5" style="3169" customWidth="1"/>
    <col min="9735" max="9735" width="19.375" style="3169" customWidth="1"/>
    <col min="9736" max="9736" width="19.5" style="3169" customWidth="1"/>
    <col min="9737" max="9737" width="8.625" style="3169" customWidth="1"/>
    <col min="9738" max="9738" width="10.5" style="3169" customWidth="1"/>
    <col min="9739" max="9739" width="4.875" style="3169" customWidth="1"/>
    <col min="9740" max="9740" width="16.375" style="3169" customWidth="1"/>
    <col min="9741" max="9744" width="8.125" style="3169" customWidth="1"/>
    <col min="9745" max="9984" width="8.875" style="3169"/>
    <col min="9985" max="9985" width="6.375" style="3169" customWidth="1"/>
    <col min="9986" max="9986" width="19.375" style="3169" customWidth="1"/>
    <col min="9987" max="9987" width="7" style="3169" customWidth="1"/>
    <col min="9988" max="9988" width="3.125" style="3169" customWidth="1"/>
    <col min="9989" max="9989" width="7.375" style="3169" customWidth="1"/>
    <col min="9990" max="9990" width="3.5" style="3169" customWidth="1"/>
    <col min="9991" max="9991" width="19.375" style="3169" customWidth="1"/>
    <col min="9992" max="9992" width="19.5" style="3169" customWidth="1"/>
    <col min="9993" max="9993" width="8.625" style="3169" customWidth="1"/>
    <col min="9994" max="9994" width="10.5" style="3169" customWidth="1"/>
    <col min="9995" max="9995" width="4.875" style="3169" customWidth="1"/>
    <col min="9996" max="9996" width="16.375" style="3169" customWidth="1"/>
    <col min="9997" max="10000" width="8.125" style="3169" customWidth="1"/>
    <col min="10001" max="10240" width="8.875" style="3169"/>
    <col min="10241" max="10241" width="6.375" style="3169" customWidth="1"/>
    <col min="10242" max="10242" width="19.375" style="3169" customWidth="1"/>
    <col min="10243" max="10243" width="7" style="3169" customWidth="1"/>
    <col min="10244" max="10244" width="3.125" style="3169" customWidth="1"/>
    <col min="10245" max="10245" width="7.375" style="3169" customWidth="1"/>
    <col min="10246" max="10246" width="3.5" style="3169" customWidth="1"/>
    <col min="10247" max="10247" width="19.375" style="3169" customWidth="1"/>
    <col min="10248" max="10248" width="19.5" style="3169" customWidth="1"/>
    <col min="10249" max="10249" width="8.625" style="3169" customWidth="1"/>
    <col min="10250" max="10250" width="10.5" style="3169" customWidth="1"/>
    <col min="10251" max="10251" width="4.875" style="3169" customWidth="1"/>
    <col min="10252" max="10252" width="16.375" style="3169" customWidth="1"/>
    <col min="10253" max="10256" width="8.125" style="3169" customWidth="1"/>
    <col min="10257" max="10496" width="8.875" style="3169"/>
    <col min="10497" max="10497" width="6.375" style="3169" customWidth="1"/>
    <col min="10498" max="10498" width="19.375" style="3169" customWidth="1"/>
    <col min="10499" max="10499" width="7" style="3169" customWidth="1"/>
    <col min="10500" max="10500" width="3.125" style="3169" customWidth="1"/>
    <col min="10501" max="10501" width="7.375" style="3169" customWidth="1"/>
    <col min="10502" max="10502" width="3.5" style="3169" customWidth="1"/>
    <col min="10503" max="10503" width="19.375" style="3169" customWidth="1"/>
    <col min="10504" max="10504" width="19.5" style="3169" customWidth="1"/>
    <col min="10505" max="10505" width="8.625" style="3169" customWidth="1"/>
    <col min="10506" max="10506" width="10.5" style="3169" customWidth="1"/>
    <col min="10507" max="10507" width="4.875" style="3169" customWidth="1"/>
    <col min="10508" max="10508" width="16.375" style="3169" customWidth="1"/>
    <col min="10509" max="10512" width="8.125" style="3169" customWidth="1"/>
    <col min="10513" max="10752" width="8.875" style="3169"/>
    <col min="10753" max="10753" width="6.375" style="3169" customWidth="1"/>
    <col min="10754" max="10754" width="19.375" style="3169" customWidth="1"/>
    <col min="10755" max="10755" width="7" style="3169" customWidth="1"/>
    <col min="10756" max="10756" width="3.125" style="3169" customWidth="1"/>
    <col min="10757" max="10757" width="7.375" style="3169" customWidth="1"/>
    <col min="10758" max="10758" width="3.5" style="3169" customWidth="1"/>
    <col min="10759" max="10759" width="19.375" style="3169" customWidth="1"/>
    <col min="10760" max="10760" width="19.5" style="3169" customWidth="1"/>
    <col min="10761" max="10761" width="8.625" style="3169" customWidth="1"/>
    <col min="10762" max="10762" width="10.5" style="3169" customWidth="1"/>
    <col min="10763" max="10763" width="4.875" style="3169" customWidth="1"/>
    <col min="10764" max="10764" width="16.375" style="3169" customWidth="1"/>
    <col min="10765" max="10768" width="8.125" style="3169" customWidth="1"/>
    <col min="10769" max="11008" width="8.875" style="3169"/>
    <col min="11009" max="11009" width="6.375" style="3169" customWidth="1"/>
    <col min="11010" max="11010" width="19.375" style="3169" customWidth="1"/>
    <col min="11011" max="11011" width="7" style="3169" customWidth="1"/>
    <col min="11012" max="11012" width="3.125" style="3169" customWidth="1"/>
    <col min="11013" max="11013" width="7.375" style="3169" customWidth="1"/>
    <col min="11014" max="11014" width="3.5" style="3169" customWidth="1"/>
    <col min="11015" max="11015" width="19.375" style="3169" customWidth="1"/>
    <col min="11016" max="11016" width="19.5" style="3169" customWidth="1"/>
    <col min="11017" max="11017" width="8.625" style="3169" customWidth="1"/>
    <col min="11018" max="11018" width="10.5" style="3169" customWidth="1"/>
    <col min="11019" max="11019" width="4.875" style="3169" customWidth="1"/>
    <col min="11020" max="11020" width="16.375" style="3169" customWidth="1"/>
    <col min="11021" max="11024" width="8.125" style="3169" customWidth="1"/>
    <col min="11025" max="11264" width="8.875" style="3169"/>
    <col min="11265" max="11265" width="6.375" style="3169" customWidth="1"/>
    <col min="11266" max="11266" width="19.375" style="3169" customWidth="1"/>
    <col min="11267" max="11267" width="7" style="3169" customWidth="1"/>
    <col min="11268" max="11268" width="3.125" style="3169" customWidth="1"/>
    <col min="11269" max="11269" width="7.375" style="3169" customWidth="1"/>
    <col min="11270" max="11270" width="3.5" style="3169" customWidth="1"/>
    <col min="11271" max="11271" width="19.375" style="3169" customWidth="1"/>
    <col min="11272" max="11272" width="19.5" style="3169" customWidth="1"/>
    <col min="11273" max="11273" width="8.625" style="3169" customWidth="1"/>
    <col min="11274" max="11274" width="10.5" style="3169" customWidth="1"/>
    <col min="11275" max="11275" width="4.875" style="3169" customWidth="1"/>
    <col min="11276" max="11276" width="16.375" style="3169" customWidth="1"/>
    <col min="11277" max="11280" width="8.125" style="3169" customWidth="1"/>
    <col min="11281" max="11520" width="8.875" style="3169"/>
    <col min="11521" max="11521" width="6.375" style="3169" customWidth="1"/>
    <col min="11522" max="11522" width="19.375" style="3169" customWidth="1"/>
    <col min="11523" max="11523" width="7" style="3169" customWidth="1"/>
    <col min="11524" max="11524" width="3.125" style="3169" customWidth="1"/>
    <col min="11525" max="11525" width="7.375" style="3169" customWidth="1"/>
    <col min="11526" max="11526" width="3.5" style="3169" customWidth="1"/>
    <col min="11527" max="11527" width="19.375" style="3169" customWidth="1"/>
    <col min="11528" max="11528" width="19.5" style="3169" customWidth="1"/>
    <col min="11529" max="11529" width="8.625" style="3169" customWidth="1"/>
    <col min="11530" max="11530" width="10.5" style="3169" customWidth="1"/>
    <col min="11531" max="11531" width="4.875" style="3169" customWidth="1"/>
    <col min="11532" max="11532" width="16.375" style="3169" customWidth="1"/>
    <col min="11533" max="11536" width="8.125" style="3169" customWidth="1"/>
    <col min="11537" max="11776" width="8.875" style="3169"/>
    <col min="11777" max="11777" width="6.375" style="3169" customWidth="1"/>
    <col min="11778" max="11778" width="19.375" style="3169" customWidth="1"/>
    <col min="11779" max="11779" width="7" style="3169" customWidth="1"/>
    <col min="11780" max="11780" width="3.125" style="3169" customWidth="1"/>
    <col min="11781" max="11781" width="7.375" style="3169" customWidth="1"/>
    <col min="11782" max="11782" width="3.5" style="3169" customWidth="1"/>
    <col min="11783" max="11783" width="19.375" style="3169" customWidth="1"/>
    <col min="11784" max="11784" width="19.5" style="3169" customWidth="1"/>
    <col min="11785" max="11785" width="8.625" style="3169" customWidth="1"/>
    <col min="11786" max="11786" width="10.5" style="3169" customWidth="1"/>
    <col min="11787" max="11787" width="4.875" style="3169" customWidth="1"/>
    <col min="11788" max="11788" width="16.375" style="3169" customWidth="1"/>
    <col min="11789" max="11792" width="8.125" style="3169" customWidth="1"/>
    <col min="11793" max="12032" width="8.875" style="3169"/>
    <col min="12033" max="12033" width="6.375" style="3169" customWidth="1"/>
    <col min="12034" max="12034" width="19.375" style="3169" customWidth="1"/>
    <col min="12035" max="12035" width="7" style="3169" customWidth="1"/>
    <col min="12036" max="12036" width="3.125" style="3169" customWidth="1"/>
    <col min="12037" max="12037" width="7.375" style="3169" customWidth="1"/>
    <col min="12038" max="12038" width="3.5" style="3169" customWidth="1"/>
    <col min="12039" max="12039" width="19.375" style="3169" customWidth="1"/>
    <col min="12040" max="12040" width="19.5" style="3169" customWidth="1"/>
    <col min="12041" max="12041" width="8.625" style="3169" customWidth="1"/>
    <col min="12042" max="12042" width="10.5" style="3169" customWidth="1"/>
    <col min="12043" max="12043" width="4.875" style="3169" customWidth="1"/>
    <col min="12044" max="12044" width="16.375" style="3169" customWidth="1"/>
    <col min="12045" max="12048" width="8.125" style="3169" customWidth="1"/>
    <col min="12049" max="12288" width="8.875" style="3169"/>
    <col min="12289" max="12289" width="6.375" style="3169" customWidth="1"/>
    <col min="12290" max="12290" width="19.375" style="3169" customWidth="1"/>
    <col min="12291" max="12291" width="7" style="3169" customWidth="1"/>
    <col min="12292" max="12292" width="3.125" style="3169" customWidth="1"/>
    <col min="12293" max="12293" width="7.375" style="3169" customWidth="1"/>
    <col min="12294" max="12294" width="3.5" style="3169" customWidth="1"/>
    <col min="12295" max="12295" width="19.375" style="3169" customWidth="1"/>
    <col min="12296" max="12296" width="19.5" style="3169" customWidth="1"/>
    <col min="12297" max="12297" width="8.625" style="3169" customWidth="1"/>
    <col min="12298" max="12298" width="10.5" style="3169" customWidth="1"/>
    <col min="12299" max="12299" width="4.875" style="3169" customWidth="1"/>
    <col min="12300" max="12300" width="16.375" style="3169" customWidth="1"/>
    <col min="12301" max="12304" width="8.125" style="3169" customWidth="1"/>
    <col min="12305" max="12544" width="8.875" style="3169"/>
    <col min="12545" max="12545" width="6.375" style="3169" customWidth="1"/>
    <col min="12546" max="12546" width="19.375" style="3169" customWidth="1"/>
    <col min="12547" max="12547" width="7" style="3169" customWidth="1"/>
    <col min="12548" max="12548" width="3.125" style="3169" customWidth="1"/>
    <col min="12549" max="12549" width="7.375" style="3169" customWidth="1"/>
    <col min="12550" max="12550" width="3.5" style="3169" customWidth="1"/>
    <col min="12551" max="12551" width="19.375" style="3169" customWidth="1"/>
    <col min="12552" max="12552" width="19.5" style="3169" customWidth="1"/>
    <col min="12553" max="12553" width="8.625" style="3169" customWidth="1"/>
    <col min="12554" max="12554" width="10.5" style="3169" customWidth="1"/>
    <col min="12555" max="12555" width="4.875" style="3169" customWidth="1"/>
    <col min="12556" max="12556" width="16.375" style="3169" customWidth="1"/>
    <col min="12557" max="12560" width="8.125" style="3169" customWidth="1"/>
    <col min="12561" max="12800" width="8.875" style="3169"/>
    <col min="12801" max="12801" width="6.375" style="3169" customWidth="1"/>
    <col min="12802" max="12802" width="19.375" style="3169" customWidth="1"/>
    <col min="12803" max="12803" width="7" style="3169" customWidth="1"/>
    <col min="12804" max="12804" width="3.125" style="3169" customWidth="1"/>
    <col min="12805" max="12805" width="7.375" style="3169" customWidth="1"/>
    <col min="12806" max="12806" width="3.5" style="3169" customWidth="1"/>
    <col min="12807" max="12807" width="19.375" style="3169" customWidth="1"/>
    <col min="12808" max="12808" width="19.5" style="3169" customWidth="1"/>
    <col min="12809" max="12809" width="8.625" style="3169" customWidth="1"/>
    <col min="12810" max="12810" width="10.5" style="3169" customWidth="1"/>
    <col min="12811" max="12811" width="4.875" style="3169" customWidth="1"/>
    <col min="12812" max="12812" width="16.375" style="3169" customWidth="1"/>
    <col min="12813" max="12816" width="8.125" style="3169" customWidth="1"/>
    <col min="12817" max="13056" width="8.875" style="3169"/>
    <col min="13057" max="13057" width="6.375" style="3169" customWidth="1"/>
    <col min="13058" max="13058" width="19.375" style="3169" customWidth="1"/>
    <col min="13059" max="13059" width="7" style="3169" customWidth="1"/>
    <col min="13060" max="13060" width="3.125" style="3169" customWidth="1"/>
    <col min="13061" max="13061" width="7.375" style="3169" customWidth="1"/>
    <col min="13062" max="13062" width="3.5" style="3169" customWidth="1"/>
    <col min="13063" max="13063" width="19.375" style="3169" customWidth="1"/>
    <col min="13064" max="13064" width="19.5" style="3169" customWidth="1"/>
    <col min="13065" max="13065" width="8.625" style="3169" customWidth="1"/>
    <col min="13066" max="13066" width="10.5" style="3169" customWidth="1"/>
    <col min="13067" max="13067" width="4.875" style="3169" customWidth="1"/>
    <col min="13068" max="13068" width="16.375" style="3169" customWidth="1"/>
    <col min="13069" max="13072" width="8.125" style="3169" customWidth="1"/>
    <col min="13073" max="13312" width="8.875" style="3169"/>
    <col min="13313" max="13313" width="6.375" style="3169" customWidth="1"/>
    <col min="13314" max="13314" width="19.375" style="3169" customWidth="1"/>
    <col min="13315" max="13315" width="7" style="3169" customWidth="1"/>
    <col min="13316" max="13316" width="3.125" style="3169" customWidth="1"/>
    <col min="13317" max="13317" width="7.375" style="3169" customWidth="1"/>
    <col min="13318" max="13318" width="3.5" style="3169" customWidth="1"/>
    <col min="13319" max="13319" width="19.375" style="3169" customWidth="1"/>
    <col min="13320" max="13320" width="19.5" style="3169" customWidth="1"/>
    <col min="13321" max="13321" width="8.625" style="3169" customWidth="1"/>
    <col min="13322" max="13322" width="10.5" style="3169" customWidth="1"/>
    <col min="13323" max="13323" width="4.875" style="3169" customWidth="1"/>
    <col min="13324" max="13324" width="16.375" style="3169" customWidth="1"/>
    <col min="13325" max="13328" width="8.125" style="3169" customWidth="1"/>
    <col min="13329" max="13568" width="8.875" style="3169"/>
    <col min="13569" max="13569" width="6.375" style="3169" customWidth="1"/>
    <col min="13570" max="13570" width="19.375" style="3169" customWidth="1"/>
    <col min="13571" max="13571" width="7" style="3169" customWidth="1"/>
    <col min="13572" max="13572" width="3.125" style="3169" customWidth="1"/>
    <col min="13573" max="13573" width="7.375" style="3169" customWidth="1"/>
    <col min="13574" max="13574" width="3.5" style="3169" customWidth="1"/>
    <col min="13575" max="13575" width="19.375" style="3169" customWidth="1"/>
    <col min="13576" max="13576" width="19.5" style="3169" customWidth="1"/>
    <col min="13577" max="13577" width="8.625" style="3169" customWidth="1"/>
    <col min="13578" max="13578" width="10.5" style="3169" customWidth="1"/>
    <col min="13579" max="13579" width="4.875" style="3169" customWidth="1"/>
    <col min="13580" max="13580" width="16.375" style="3169" customWidth="1"/>
    <col min="13581" max="13584" width="8.125" style="3169" customWidth="1"/>
    <col min="13585" max="13824" width="8.875" style="3169"/>
    <col min="13825" max="13825" width="6.375" style="3169" customWidth="1"/>
    <col min="13826" max="13826" width="19.375" style="3169" customWidth="1"/>
    <col min="13827" max="13827" width="7" style="3169" customWidth="1"/>
    <col min="13828" max="13828" width="3.125" style="3169" customWidth="1"/>
    <col min="13829" max="13829" width="7.375" style="3169" customWidth="1"/>
    <col min="13830" max="13830" width="3.5" style="3169" customWidth="1"/>
    <col min="13831" max="13831" width="19.375" style="3169" customWidth="1"/>
    <col min="13832" max="13832" width="19.5" style="3169" customWidth="1"/>
    <col min="13833" max="13833" width="8.625" style="3169" customWidth="1"/>
    <col min="13834" max="13834" width="10.5" style="3169" customWidth="1"/>
    <col min="13835" max="13835" width="4.875" style="3169" customWidth="1"/>
    <col min="13836" max="13836" width="16.375" style="3169" customWidth="1"/>
    <col min="13837" max="13840" width="8.125" style="3169" customWidth="1"/>
    <col min="13841" max="14080" width="8.875" style="3169"/>
    <col min="14081" max="14081" width="6.375" style="3169" customWidth="1"/>
    <col min="14082" max="14082" width="19.375" style="3169" customWidth="1"/>
    <col min="14083" max="14083" width="7" style="3169" customWidth="1"/>
    <col min="14084" max="14084" width="3.125" style="3169" customWidth="1"/>
    <col min="14085" max="14085" width="7.375" style="3169" customWidth="1"/>
    <col min="14086" max="14086" width="3.5" style="3169" customWidth="1"/>
    <col min="14087" max="14087" width="19.375" style="3169" customWidth="1"/>
    <col min="14088" max="14088" width="19.5" style="3169" customWidth="1"/>
    <col min="14089" max="14089" width="8.625" style="3169" customWidth="1"/>
    <col min="14090" max="14090" width="10.5" style="3169" customWidth="1"/>
    <col min="14091" max="14091" width="4.875" style="3169" customWidth="1"/>
    <col min="14092" max="14092" width="16.375" style="3169" customWidth="1"/>
    <col min="14093" max="14096" width="8.125" style="3169" customWidth="1"/>
    <col min="14097" max="14336" width="8.875" style="3169"/>
    <col min="14337" max="14337" width="6.375" style="3169" customWidth="1"/>
    <col min="14338" max="14338" width="19.375" style="3169" customWidth="1"/>
    <col min="14339" max="14339" width="7" style="3169" customWidth="1"/>
    <col min="14340" max="14340" width="3.125" style="3169" customWidth="1"/>
    <col min="14341" max="14341" width="7.375" style="3169" customWidth="1"/>
    <col min="14342" max="14342" width="3.5" style="3169" customWidth="1"/>
    <col min="14343" max="14343" width="19.375" style="3169" customWidth="1"/>
    <col min="14344" max="14344" width="19.5" style="3169" customWidth="1"/>
    <col min="14345" max="14345" width="8.625" style="3169" customWidth="1"/>
    <col min="14346" max="14346" width="10.5" style="3169" customWidth="1"/>
    <col min="14347" max="14347" width="4.875" style="3169" customWidth="1"/>
    <col min="14348" max="14348" width="16.375" style="3169" customWidth="1"/>
    <col min="14349" max="14352" width="8.125" style="3169" customWidth="1"/>
    <col min="14353" max="14592" width="8.875" style="3169"/>
    <col min="14593" max="14593" width="6.375" style="3169" customWidth="1"/>
    <col min="14594" max="14594" width="19.375" style="3169" customWidth="1"/>
    <col min="14595" max="14595" width="7" style="3169" customWidth="1"/>
    <col min="14596" max="14596" width="3.125" style="3169" customWidth="1"/>
    <col min="14597" max="14597" width="7.375" style="3169" customWidth="1"/>
    <col min="14598" max="14598" width="3.5" style="3169" customWidth="1"/>
    <col min="14599" max="14599" width="19.375" style="3169" customWidth="1"/>
    <col min="14600" max="14600" width="19.5" style="3169" customWidth="1"/>
    <col min="14601" max="14601" width="8.625" style="3169" customWidth="1"/>
    <col min="14602" max="14602" width="10.5" style="3169" customWidth="1"/>
    <col min="14603" max="14603" width="4.875" style="3169" customWidth="1"/>
    <col min="14604" max="14604" width="16.375" style="3169" customWidth="1"/>
    <col min="14605" max="14608" width="8.125" style="3169" customWidth="1"/>
    <col min="14609" max="14848" width="8.875" style="3169"/>
    <col min="14849" max="14849" width="6.375" style="3169" customWidth="1"/>
    <col min="14850" max="14850" width="19.375" style="3169" customWidth="1"/>
    <col min="14851" max="14851" width="7" style="3169" customWidth="1"/>
    <col min="14852" max="14852" width="3.125" style="3169" customWidth="1"/>
    <col min="14853" max="14853" width="7.375" style="3169" customWidth="1"/>
    <col min="14854" max="14854" width="3.5" style="3169" customWidth="1"/>
    <col min="14855" max="14855" width="19.375" style="3169" customWidth="1"/>
    <col min="14856" max="14856" width="19.5" style="3169" customWidth="1"/>
    <col min="14857" max="14857" width="8.625" style="3169" customWidth="1"/>
    <col min="14858" max="14858" width="10.5" style="3169" customWidth="1"/>
    <col min="14859" max="14859" width="4.875" style="3169" customWidth="1"/>
    <col min="14860" max="14860" width="16.375" style="3169" customWidth="1"/>
    <col min="14861" max="14864" width="8.125" style="3169" customWidth="1"/>
    <col min="14865" max="15104" width="8.875" style="3169"/>
    <col min="15105" max="15105" width="6.375" style="3169" customWidth="1"/>
    <col min="15106" max="15106" width="19.375" style="3169" customWidth="1"/>
    <col min="15107" max="15107" width="7" style="3169" customWidth="1"/>
    <col min="15108" max="15108" width="3.125" style="3169" customWidth="1"/>
    <col min="15109" max="15109" width="7.375" style="3169" customWidth="1"/>
    <col min="15110" max="15110" width="3.5" style="3169" customWidth="1"/>
    <col min="15111" max="15111" width="19.375" style="3169" customWidth="1"/>
    <col min="15112" max="15112" width="19.5" style="3169" customWidth="1"/>
    <col min="15113" max="15113" width="8.625" style="3169" customWidth="1"/>
    <col min="15114" max="15114" width="10.5" style="3169" customWidth="1"/>
    <col min="15115" max="15115" width="4.875" style="3169" customWidth="1"/>
    <col min="15116" max="15116" width="16.375" style="3169" customWidth="1"/>
    <col min="15117" max="15120" width="8.125" style="3169" customWidth="1"/>
    <col min="15121" max="15360" width="8.875" style="3169"/>
    <col min="15361" max="15361" width="6.375" style="3169" customWidth="1"/>
    <col min="15362" max="15362" width="19.375" style="3169" customWidth="1"/>
    <col min="15363" max="15363" width="7" style="3169" customWidth="1"/>
    <col min="15364" max="15364" width="3.125" style="3169" customWidth="1"/>
    <col min="15365" max="15365" width="7.375" style="3169" customWidth="1"/>
    <col min="15366" max="15366" width="3.5" style="3169" customWidth="1"/>
    <col min="15367" max="15367" width="19.375" style="3169" customWidth="1"/>
    <col min="15368" max="15368" width="19.5" style="3169" customWidth="1"/>
    <col min="15369" max="15369" width="8.625" style="3169" customWidth="1"/>
    <col min="15370" max="15370" width="10.5" style="3169" customWidth="1"/>
    <col min="15371" max="15371" width="4.875" style="3169" customWidth="1"/>
    <col min="15372" max="15372" width="16.375" style="3169" customWidth="1"/>
    <col min="15373" max="15376" width="8.125" style="3169" customWidth="1"/>
    <col min="15377" max="15616" width="8.875" style="3169"/>
    <col min="15617" max="15617" width="6.375" style="3169" customWidth="1"/>
    <col min="15618" max="15618" width="19.375" style="3169" customWidth="1"/>
    <col min="15619" max="15619" width="7" style="3169" customWidth="1"/>
    <col min="15620" max="15620" width="3.125" style="3169" customWidth="1"/>
    <col min="15621" max="15621" width="7.375" style="3169" customWidth="1"/>
    <col min="15622" max="15622" width="3.5" style="3169" customWidth="1"/>
    <col min="15623" max="15623" width="19.375" style="3169" customWidth="1"/>
    <col min="15624" max="15624" width="19.5" style="3169" customWidth="1"/>
    <col min="15625" max="15625" width="8.625" style="3169" customWidth="1"/>
    <col min="15626" max="15626" width="10.5" style="3169" customWidth="1"/>
    <col min="15627" max="15627" width="4.875" style="3169" customWidth="1"/>
    <col min="15628" max="15628" width="16.375" style="3169" customWidth="1"/>
    <col min="15629" max="15632" width="8.125" style="3169" customWidth="1"/>
    <col min="15633" max="15872" width="8.875" style="3169"/>
    <col min="15873" max="15873" width="6.375" style="3169" customWidth="1"/>
    <col min="15874" max="15874" width="19.375" style="3169" customWidth="1"/>
    <col min="15875" max="15875" width="7" style="3169" customWidth="1"/>
    <col min="15876" max="15876" width="3.125" style="3169" customWidth="1"/>
    <col min="15877" max="15877" width="7.375" style="3169" customWidth="1"/>
    <col min="15878" max="15878" width="3.5" style="3169" customWidth="1"/>
    <col min="15879" max="15879" width="19.375" style="3169" customWidth="1"/>
    <col min="15880" max="15880" width="19.5" style="3169" customWidth="1"/>
    <col min="15881" max="15881" width="8.625" style="3169" customWidth="1"/>
    <col min="15882" max="15882" width="10.5" style="3169" customWidth="1"/>
    <col min="15883" max="15883" width="4.875" style="3169" customWidth="1"/>
    <col min="15884" max="15884" width="16.375" style="3169" customWidth="1"/>
    <col min="15885" max="15888" width="8.125" style="3169" customWidth="1"/>
    <col min="15889" max="16128" width="8.875" style="3169"/>
    <col min="16129" max="16129" width="6.375" style="3169" customWidth="1"/>
    <col min="16130" max="16130" width="19.375" style="3169" customWidth="1"/>
    <col min="16131" max="16131" width="7" style="3169" customWidth="1"/>
    <col min="16132" max="16132" width="3.125" style="3169" customWidth="1"/>
    <col min="16133" max="16133" width="7.375" style="3169" customWidth="1"/>
    <col min="16134" max="16134" width="3.5" style="3169" customWidth="1"/>
    <col min="16135" max="16135" width="19.375" style="3169" customWidth="1"/>
    <col min="16136" max="16136" width="19.5" style="3169" customWidth="1"/>
    <col min="16137" max="16137" width="8.625" style="3169" customWidth="1"/>
    <col min="16138" max="16138" width="10.5" style="3169" customWidth="1"/>
    <col min="16139" max="16139" width="4.875" style="3169" customWidth="1"/>
    <col min="16140" max="16140" width="16.375" style="3169" customWidth="1"/>
    <col min="16141" max="16144" width="8.125" style="3169" customWidth="1"/>
    <col min="16145" max="16384" width="8.875" style="3169"/>
  </cols>
  <sheetData>
    <row r="1" spans="1:16">
      <c r="A1" s="4629" t="s">
        <v>2940</v>
      </c>
      <c r="B1" s="4629"/>
      <c r="C1" s="4629"/>
      <c r="D1" s="4629"/>
      <c r="E1" s="4629"/>
      <c r="F1" s="4629"/>
      <c r="G1" s="4629"/>
      <c r="H1" s="4629"/>
      <c r="I1" s="4629"/>
      <c r="K1" s="4630" t="s">
        <v>2941</v>
      </c>
      <c r="L1" s="3175" t="s">
        <v>2942</v>
      </c>
      <c r="M1" s="3176">
        <v>0</v>
      </c>
      <c r="N1" s="3177">
        <v>2016</v>
      </c>
      <c r="O1" s="3177"/>
    </row>
    <row r="2" spans="1:16" ht="15.75" customHeight="1">
      <c r="A2" s="3178" t="s">
        <v>565</v>
      </c>
      <c r="B2" s="3179" t="s">
        <v>2943</v>
      </c>
      <c r="C2" s="4597" t="s">
        <v>2944</v>
      </c>
      <c r="D2" s="4598"/>
      <c r="E2" s="4598"/>
      <c r="F2" s="4599"/>
      <c r="G2" s="3180" t="s">
        <v>2945</v>
      </c>
      <c r="H2" s="4600" t="s">
        <v>965</v>
      </c>
      <c r="I2" s="4600"/>
      <c r="K2" s="4630"/>
      <c r="L2" s="3175" t="s">
        <v>2946</v>
      </c>
      <c r="M2" s="3181">
        <f>N1-N2</f>
        <v>14</v>
      </c>
      <c r="N2" s="3182">
        <v>2002</v>
      </c>
      <c r="O2" s="3182"/>
    </row>
    <row r="3" spans="1:16">
      <c r="A3" s="3180" t="s">
        <v>2947</v>
      </c>
      <c r="B3" s="3183" t="s">
        <v>2948</v>
      </c>
      <c r="C3" s="4597">
        <f ca="1">成本法!B2-收益法!J61</f>
        <v>8671185</v>
      </c>
      <c r="D3" s="4598"/>
      <c r="E3" s="4598"/>
      <c r="F3" s="4599"/>
      <c r="G3" s="3180" t="s">
        <v>2949</v>
      </c>
      <c r="H3" s="3183" t="s">
        <v>2950</v>
      </c>
      <c r="I3" s="3184">
        <f>'数据-取费表'!B5</f>
        <v>1088.48</v>
      </c>
      <c r="K3" s="4630"/>
      <c r="L3" s="3175" t="s">
        <v>2951</v>
      </c>
      <c r="M3" s="3185" t="s">
        <v>2952</v>
      </c>
      <c r="N3" s="3182"/>
      <c r="O3" s="3182"/>
    </row>
    <row r="4" spans="1:16">
      <c r="A4" s="4600" t="s">
        <v>2953</v>
      </c>
      <c r="B4" s="4604" t="s">
        <v>2954</v>
      </c>
      <c r="C4" s="4631">
        <f ca="1">ROUND(C3*(I4-I6)/(1-((1+I6)/(1+I4))^I5),0)</f>
        <v>460899</v>
      </c>
      <c r="D4" s="4632"/>
      <c r="E4" s="4632"/>
      <c r="F4" s="4633"/>
      <c r="G4" s="4600" t="s">
        <v>2955</v>
      </c>
      <c r="H4" s="3186" t="s">
        <v>2956</v>
      </c>
      <c r="I4" s="3187">
        <v>5.5E-2</v>
      </c>
      <c r="K4" s="4630"/>
      <c r="L4" s="3175" t="s">
        <v>966</v>
      </c>
      <c r="M4" s="3188">
        <f>ROUND(1-(1-M1)*M2/M3,2)</f>
        <v>0.77</v>
      </c>
      <c r="N4" s="3182"/>
      <c r="O4" s="3182"/>
    </row>
    <row r="5" spans="1:16" s="3192" customFormat="1" ht="18" customHeight="1">
      <c r="A5" s="4600"/>
      <c r="B5" s="4604"/>
      <c r="C5" s="4634"/>
      <c r="D5" s="4635"/>
      <c r="E5" s="4635"/>
      <c r="F5" s="4636"/>
      <c r="G5" s="4600"/>
      <c r="H5" s="3183" t="s">
        <v>2957</v>
      </c>
      <c r="I5" s="3189">
        <f>'数据-取费表'!B13</f>
        <v>26.5</v>
      </c>
      <c r="J5" s="3190"/>
      <c r="K5" s="4630"/>
      <c r="L5" s="3175" t="s">
        <v>2958</v>
      </c>
      <c r="M5" s="3191">
        <v>0.5</v>
      </c>
      <c r="N5" s="3182"/>
      <c r="O5" s="3182"/>
    </row>
    <row r="6" spans="1:16" s="3192" customFormat="1" ht="18" customHeight="1">
      <c r="A6" s="4600"/>
      <c r="B6" s="4604"/>
      <c r="C6" s="4637"/>
      <c r="D6" s="4638"/>
      <c r="E6" s="4638"/>
      <c r="F6" s="4639"/>
      <c r="G6" s="4600"/>
      <c r="H6" s="3183" t="s">
        <v>2959</v>
      </c>
      <c r="I6" s="3187">
        <v>0.03</v>
      </c>
      <c r="J6" s="3193"/>
      <c r="K6" s="4640" t="s">
        <v>2960</v>
      </c>
      <c r="L6" s="3194" t="s">
        <v>2961</v>
      </c>
      <c r="M6" s="3195" t="s">
        <v>2962</v>
      </c>
      <c r="N6" s="3195" t="s">
        <v>2963</v>
      </c>
      <c r="O6" s="3195" t="s">
        <v>2964</v>
      </c>
      <c r="P6" s="3195" t="s">
        <v>2965</v>
      </c>
    </row>
    <row r="7" spans="1:16" s="3192" customFormat="1" ht="18" customHeight="1">
      <c r="A7" s="3180" t="s">
        <v>2966</v>
      </c>
      <c r="B7" s="3183" t="s">
        <v>2967</v>
      </c>
      <c r="C7" s="4616">
        <f ca="1">成本法!C51</f>
        <v>5297953</v>
      </c>
      <c r="D7" s="4617"/>
      <c r="E7" s="4617"/>
      <c r="F7" s="4618"/>
      <c r="G7" s="3180" t="s">
        <v>2968</v>
      </c>
      <c r="H7" s="3183" t="s">
        <v>2969</v>
      </c>
      <c r="I7" s="3196">
        <f>'数据-取费表'!E20</f>
        <v>0.77</v>
      </c>
      <c r="K7" s="4640"/>
      <c r="L7" s="3194" t="s">
        <v>2970</v>
      </c>
      <c r="M7" s="3195">
        <v>100</v>
      </c>
      <c r="N7" s="3195" t="s">
        <v>2971</v>
      </c>
      <c r="O7" s="3195">
        <v>90</v>
      </c>
      <c r="P7" s="3197">
        <v>0.3</v>
      </c>
    </row>
    <row r="8" spans="1:16" s="3192" customFormat="1" ht="18" hidden="1" customHeight="1">
      <c r="A8" s="3178" t="s">
        <v>2972</v>
      </c>
      <c r="B8" s="3183" t="s">
        <v>2973</v>
      </c>
      <c r="C8" s="4616">
        <f>ROUND(I8*I3,0)</f>
        <v>5986640</v>
      </c>
      <c r="D8" s="4617"/>
      <c r="E8" s="4617"/>
      <c r="F8" s="4618"/>
      <c r="G8" s="3180" t="s">
        <v>2974</v>
      </c>
      <c r="H8" s="3183" t="s">
        <v>2975</v>
      </c>
      <c r="I8" s="3180">
        <f>'数据-取费表（市场）'!L6</f>
        <v>5500</v>
      </c>
      <c r="J8" s="3198">
        <f>D35</f>
        <v>4.4000000000000004</v>
      </c>
      <c r="K8" s="4640"/>
      <c r="L8" s="3194" t="s">
        <v>2976</v>
      </c>
      <c r="M8" s="3195">
        <v>100</v>
      </c>
      <c r="N8" s="3195" t="s">
        <v>2971</v>
      </c>
      <c r="O8" s="3195">
        <v>90</v>
      </c>
      <c r="P8" s="3197">
        <v>0.5</v>
      </c>
    </row>
    <row r="9" spans="1:16" s="3192" customFormat="1" ht="18" hidden="1" customHeight="1">
      <c r="A9" s="3178" t="s">
        <v>2977</v>
      </c>
      <c r="B9" s="3183" t="s">
        <v>2978</v>
      </c>
      <c r="C9" s="4616">
        <f>ROUND(C8*H9,0)</f>
        <v>299332</v>
      </c>
      <c r="D9" s="4617"/>
      <c r="E9" s="4617"/>
      <c r="F9" s="4618"/>
      <c r="G9" s="3180" t="s">
        <v>2979</v>
      </c>
      <c r="H9" s="4626">
        <f>'数据-取费表（市场）'!B33</f>
        <v>0.05</v>
      </c>
      <c r="I9" s="4626"/>
      <c r="J9" s="3198">
        <f ca="1">D36</f>
        <v>3.91</v>
      </c>
      <c r="K9" s="4640"/>
      <c r="L9" s="3194" t="s">
        <v>2980</v>
      </c>
      <c r="M9" s="3195">
        <v>100</v>
      </c>
      <c r="N9" s="3195" t="s">
        <v>2971</v>
      </c>
      <c r="O9" s="3195">
        <v>90</v>
      </c>
      <c r="P9" s="3197">
        <f>1-P7-P8</f>
        <v>0.19999999999999996</v>
      </c>
    </row>
    <row r="10" spans="1:16" s="3192" customFormat="1" ht="18" hidden="1" customHeight="1">
      <c r="A10" s="3178" t="s">
        <v>2981</v>
      </c>
      <c r="B10" s="3183" t="s">
        <v>2982</v>
      </c>
      <c r="C10" s="4616">
        <f>ROUND(C8*H10,0)</f>
        <v>0</v>
      </c>
      <c r="D10" s="4617"/>
      <c r="E10" s="4617"/>
      <c r="F10" s="4618"/>
      <c r="G10" s="3180" t="s">
        <v>2979</v>
      </c>
      <c r="H10" s="4626">
        <f>'[1]数据-取费表'!B34</f>
        <v>0</v>
      </c>
      <c r="I10" s="4626"/>
      <c r="J10" s="3198">
        <f ca="1">D37</f>
        <v>4.25</v>
      </c>
      <c r="K10" s="4640"/>
      <c r="L10" s="3199" t="s">
        <v>2958</v>
      </c>
      <c r="M10" s="3200">
        <f>1-M5</f>
        <v>0.5</v>
      </c>
      <c r="N10" s="3195" t="s">
        <v>966</v>
      </c>
      <c r="O10" s="3201">
        <f>ROUND((O7*P7+O8*P8+O9*P9)/100,2)</f>
        <v>0.9</v>
      </c>
      <c r="P10" s="3202"/>
    </row>
    <row r="11" spans="1:16" s="3192" customFormat="1" ht="29.25" hidden="1" customHeight="1">
      <c r="A11" s="3178" t="s">
        <v>2983</v>
      </c>
      <c r="B11" s="3183" t="s">
        <v>2984</v>
      </c>
      <c r="C11" s="4616">
        <f>ROUND(I11*I3,0)</f>
        <v>326544</v>
      </c>
      <c r="D11" s="4617"/>
      <c r="E11" s="4617"/>
      <c r="F11" s="4618"/>
      <c r="G11" s="3180" t="s">
        <v>2985</v>
      </c>
      <c r="H11" s="3183" t="s">
        <v>2986</v>
      </c>
      <c r="I11" s="3180">
        <f>'数据-取费表（市场）'!B35</f>
        <v>300</v>
      </c>
      <c r="J11" s="3190"/>
      <c r="K11" s="3171"/>
      <c r="L11" s="3171"/>
    </row>
    <row r="12" spans="1:16" s="3192" customFormat="1" ht="18" hidden="1" customHeight="1">
      <c r="A12" s="3178" t="s">
        <v>2987</v>
      </c>
      <c r="B12" s="3183" t="s">
        <v>2988</v>
      </c>
      <c r="C12" s="4616">
        <f>ROUND(C8*H12,0)</f>
        <v>89800</v>
      </c>
      <c r="D12" s="4617"/>
      <c r="E12" s="4617"/>
      <c r="F12" s="4618"/>
      <c r="G12" s="3180" t="s">
        <v>2979</v>
      </c>
      <c r="H12" s="4626">
        <f>'数据-取费表（市场）'!B36</f>
        <v>1.4999999999999999E-2</v>
      </c>
      <c r="I12" s="4626"/>
      <c r="J12" s="3203" t="s">
        <v>2989</v>
      </c>
      <c r="L12" s="3204"/>
    </row>
    <row r="13" spans="1:16" s="3192" customFormat="1" ht="18" hidden="1" customHeight="1">
      <c r="A13" s="3178" t="s">
        <v>1019</v>
      </c>
      <c r="B13" s="3183" t="s">
        <v>2990</v>
      </c>
      <c r="C13" s="4616">
        <f>SUM(C8:F12)</f>
        <v>6702316</v>
      </c>
      <c r="D13" s="4617"/>
      <c r="E13" s="4617"/>
      <c r="F13" s="4618"/>
      <c r="G13" s="4600" t="s">
        <v>2991</v>
      </c>
      <c r="H13" s="4600"/>
      <c r="I13" s="4600"/>
      <c r="J13" s="3203" t="s">
        <v>2992</v>
      </c>
      <c r="L13" s="3204"/>
      <c r="N13" s="3192">
        <v>2011</v>
      </c>
    </row>
    <row r="14" spans="1:16" s="3192" customFormat="1" ht="18" hidden="1" customHeight="1">
      <c r="A14" s="3178" t="s">
        <v>2993</v>
      </c>
      <c r="B14" s="3183" t="s">
        <v>2994</v>
      </c>
      <c r="C14" s="4616">
        <f>ROUND(C13*H14,0)</f>
        <v>201069</v>
      </c>
      <c r="D14" s="4617"/>
      <c r="E14" s="4617"/>
      <c r="F14" s="4618"/>
      <c r="G14" s="3180" t="s">
        <v>2995</v>
      </c>
      <c r="H14" s="4626">
        <f>'数据-取费表（市场）'!B37</f>
        <v>0.03</v>
      </c>
      <c r="I14" s="4626"/>
      <c r="J14" s="3190"/>
      <c r="L14" s="3204"/>
    </row>
    <row r="15" spans="1:16" s="3192" customFormat="1" ht="18" hidden="1" customHeight="1">
      <c r="A15" s="3178" t="s">
        <v>14</v>
      </c>
      <c r="B15" s="3183" t="s">
        <v>2996</v>
      </c>
      <c r="C15" s="4622">
        <f>H15</f>
        <v>0.05</v>
      </c>
      <c r="D15" s="4623"/>
      <c r="E15" s="4624" t="str">
        <f>E18</f>
        <v>V</v>
      </c>
      <c r="F15" s="4625"/>
      <c r="G15" s="3180" t="s">
        <v>2997</v>
      </c>
      <c r="H15" s="4626">
        <f>'数据-取费表（市场）'!B38</f>
        <v>0.05</v>
      </c>
      <c r="I15" s="4626"/>
      <c r="J15" s="3205"/>
      <c r="K15" s="3206"/>
    </row>
    <row r="16" spans="1:16" s="3192" customFormat="1" ht="18" hidden="1" customHeight="1">
      <c r="A16" s="3207" t="s">
        <v>22</v>
      </c>
      <c r="B16" s="3208" t="s">
        <v>2998</v>
      </c>
      <c r="C16" s="3760">
        <f>C17</f>
        <v>327911</v>
      </c>
      <c r="D16" s="3761" t="s">
        <v>2999</v>
      </c>
      <c r="E16" s="3762">
        <f>C18</f>
        <v>2.3750000000000004E-3</v>
      </c>
      <c r="F16" s="3763" t="str">
        <f>E18</f>
        <v>V</v>
      </c>
      <c r="G16" s="4597" t="s">
        <v>3000</v>
      </c>
      <c r="H16" s="4598"/>
      <c r="I16" s="4599"/>
      <c r="J16" s="3190"/>
      <c r="K16" s="3171"/>
    </row>
    <row r="17" spans="1:19" s="3192" customFormat="1" ht="18" hidden="1" customHeight="1">
      <c r="A17" s="3178" t="s">
        <v>3001</v>
      </c>
      <c r="B17" s="3183" t="s">
        <v>3002</v>
      </c>
      <c r="C17" s="4616">
        <f>ROUND((C13+C14)*I18*(I17/2),0)</f>
        <v>327911</v>
      </c>
      <c r="D17" s="4617"/>
      <c r="E17" s="4617"/>
      <c r="F17" s="4618"/>
      <c r="G17" s="3209" t="s">
        <v>3003</v>
      </c>
      <c r="H17" s="3183" t="s">
        <v>3004</v>
      </c>
      <c r="I17" s="3180">
        <f>'数据-取费表（市场）'!B20</f>
        <v>2</v>
      </c>
      <c r="J17" s="3203" t="s">
        <v>3005</v>
      </c>
      <c r="K17" s="3171"/>
      <c r="L17" s="3171"/>
    </row>
    <row r="18" spans="1:19" s="3192" customFormat="1" ht="18" hidden="1" customHeight="1">
      <c r="A18" s="3178" t="s">
        <v>3006</v>
      </c>
      <c r="B18" s="3183" t="s">
        <v>3007</v>
      </c>
      <c r="C18" s="4627">
        <f>H15*I18*I17/2</f>
        <v>2.3750000000000004E-3</v>
      </c>
      <c r="D18" s="4628"/>
      <c r="E18" s="4624" t="s">
        <v>3008</v>
      </c>
      <c r="F18" s="4625"/>
      <c r="G18" s="3209" t="s">
        <v>3009</v>
      </c>
      <c r="H18" s="3183" t="s">
        <v>3010</v>
      </c>
      <c r="I18" s="3211">
        <f>'数据-取费表（市场）'!B40</f>
        <v>4.7500000000000001E-2</v>
      </c>
      <c r="J18" s="3203" t="s">
        <v>3011</v>
      </c>
      <c r="K18" s="3171"/>
      <c r="L18" s="3171"/>
    </row>
    <row r="19" spans="1:19" s="3192" customFormat="1" ht="27" hidden="1" customHeight="1">
      <c r="A19" s="3178" t="s">
        <v>23</v>
      </c>
      <c r="B19" s="3183" t="s">
        <v>3012</v>
      </c>
      <c r="C19" s="3760">
        <f>C20</f>
        <v>1035508</v>
      </c>
      <c r="D19" s="3761" t="s">
        <v>2999</v>
      </c>
      <c r="E19" s="3761">
        <f>C21</f>
        <v>7.4999999999999997E-3</v>
      </c>
      <c r="F19" s="3763" t="str">
        <f>E21</f>
        <v>V</v>
      </c>
      <c r="G19" s="4597" t="s">
        <v>3013</v>
      </c>
      <c r="H19" s="4598"/>
      <c r="I19" s="4599"/>
      <c r="J19" s="3190"/>
      <c r="K19" s="3171"/>
      <c r="L19" s="3171"/>
    </row>
    <row r="20" spans="1:19" s="3192" customFormat="1" ht="26.25" hidden="1" customHeight="1">
      <c r="A20" s="3178" t="s">
        <v>3014</v>
      </c>
      <c r="B20" s="3183" t="s">
        <v>3015</v>
      </c>
      <c r="C20" s="4616">
        <f>ROUND((C13+C14)*I20,0)</f>
        <v>1035508</v>
      </c>
      <c r="D20" s="4617"/>
      <c r="E20" s="4617"/>
      <c r="F20" s="4618"/>
      <c r="G20" s="3180" t="s">
        <v>3016</v>
      </c>
      <c r="H20" s="4619" t="s">
        <v>3017</v>
      </c>
      <c r="I20" s="4621">
        <f>'数据-取费表（市场）'!Q6</f>
        <v>0.15</v>
      </c>
      <c r="J20" s="3203" t="s">
        <v>3018</v>
      </c>
      <c r="K20" s="3171"/>
      <c r="L20" s="3171"/>
    </row>
    <row r="21" spans="1:19" s="3192" customFormat="1" ht="27" hidden="1" customHeight="1">
      <c r="A21" s="3178" t="s">
        <v>3014</v>
      </c>
      <c r="B21" s="3183" t="s">
        <v>3019</v>
      </c>
      <c r="C21" s="4622">
        <f>H15*I20</f>
        <v>7.4999999999999997E-3</v>
      </c>
      <c r="D21" s="4623"/>
      <c r="E21" s="4624" t="s">
        <v>3008</v>
      </c>
      <c r="F21" s="4625"/>
      <c r="G21" s="3180" t="s">
        <v>3020</v>
      </c>
      <c r="H21" s="4620"/>
      <c r="I21" s="4621"/>
      <c r="J21" s="3190"/>
      <c r="K21" s="3171"/>
      <c r="L21" s="3171"/>
    </row>
    <row r="22" spans="1:19" s="3192" customFormat="1" ht="18" hidden="1" customHeight="1">
      <c r="A22" s="3178" t="s">
        <v>24</v>
      </c>
      <c r="B22" s="3183" t="s">
        <v>3021</v>
      </c>
      <c r="C22" s="4622">
        <f>ROUND(H22/1.05,4)</f>
        <v>5.33E-2</v>
      </c>
      <c r="D22" s="4623"/>
      <c r="E22" s="4624" t="s">
        <v>3008</v>
      </c>
      <c r="F22" s="4625"/>
      <c r="G22" s="3180" t="s">
        <v>3022</v>
      </c>
      <c r="H22" s="4626">
        <v>5.6000000000000001E-2</v>
      </c>
      <c r="I22" s="4626"/>
      <c r="J22" s="3212"/>
      <c r="K22" s="3171"/>
      <c r="L22" s="3171"/>
    </row>
    <row r="23" spans="1:19" s="3192" customFormat="1" ht="18" customHeight="1">
      <c r="A23" s="3178" t="s">
        <v>3023</v>
      </c>
      <c r="B23" s="3183" t="s">
        <v>3024</v>
      </c>
      <c r="C23" s="4616">
        <f ca="1">成本法!C49</f>
        <v>6880459</v>
      </c>
      <c r="D23" s="4617"/>
      <c r="E23" s="4617"/>
      <c r="F23" s="4618"/>
      <c r="G23" s="4597" t="s">
        <v>3025</v>
      </c>
      <c r="H23" s="4598"/>
      <c r="I23" s="4599"/>
      <c r="J23" s="3212"/>
      <c r="K23" s="3171"/>
      <c r="L23" s="3171"/>
    </row>
    <row r="24" spans="1:19" s="3192" customFormat="1" ht="18" customHeight="1">
      <c r="A24" s="3178" t="s">
        <v>3026</v>
      </c>
      <c r="B24" s="3183" t="s">
        <v>3027</v>
      </c>
      <c r="C24" s="3213">
        <f ca="1">C26+C27</f>
        <v>836251</v>
      </c>
      <c r="D24" s="3214" t="s">
        <v>3028</v>
      </c>
      <c r="E24" s="4613">
        <f>H25+H28</f>
        <v>7.5999999999999998E-2</v>
      </c>
      <c r="F24" s="4614"/>
      <c r="G24" s="4600" t="s">
        <v>3029</v>
      </c>
      <c r="H24" s="4600"/>
      <c r="I24" s="4600"/>
      <c r="J24" s="3212"/>
      <c r="K24" s="3171"/>
      <c r="L24" s="3504">
        <f>I3</f>
        <v>1088.48</v>
      </c>
      <c r="M24" s="3192" t="s">
        <v>3450</v>
      </c>
      <c r="N24" s="3192" t="s">
        <v>3451</v>
      </c>
      <c r="O24" s="3192" t="s">
        <v>3452</v>
      </c>
      <c r="P24" s="3192" t="s">
        <v>3453</v>
      </c>
    </row>
    <row r="25" spans="1:19" s="3192" customFormat="1" ht="18" customHeight="1">
      <c r="A25" s="3178" t="s">
        <v>1019</v>
      </c>
      <c r="B25" s="3183" t="s">
        <v>3030</v>
      </c>
      <c r="C25" s="4611" t="s">
        <v>3031</v>
      </c>
      <c r="D25" s="4612"/>
      <c r="E25" s="4613">
        <f>H25</f>
        <v>5.6000000000000001E-2</v>
      </c>
      <c r="F25" s="4614"/>
      <c r="G25" s="3180" t="s">
        <v>3032</v>
      </c>
      <c r="H25" s="4596">
        <v>5.6000000000000001E-2</v>
      </c>
      <c r="I25" s="4596"/>
      <c r="J25" s="3205"/>
      <c r="K25" s="3171"/>
      <c r="L25" s="3766" t="s">
        <v>3588</v>
      </c>
      <c r="M25" s="3505">
        <f ca="1">D37</f>
        <v>4.25</v>
      </c>
      <c r="N25" s="3506">
        <v>0.02</v>
      </c>
      <c r="O25" s="3733">
        <f>L35-S26</f>
        <v>336</v>
      </c>
      <c r="P25" s="3748">
        <f t="shared" ref="P25:P30" ca="1" si="0">ROUND(M25*$L$24*O25,0)</f>
        <v>1554349</v>
      </c>
      <c r="Q25" s="3723" t="s">
        <v>3515</v>
      </c>
      <c r="R25" s="3724" t="s">
        <v>3514</v>
      </c>
      <c r="S25" s="3192" t="s">
        <v>3526</v>
      </c>
    </row>
    <row r="26" spans="1:19" s="3192" customFormat="1" ht="18" customHeight="1">
      <c r="A26" s="3178" t="s">
        <v>2993</v>
      </c>
      <c r="B26" s="3183" t="s">
        <v>1010</v>
      </c>
      <c r="C26" s="4597">
        <f ca="1">ROUND(C23*H26,0)</f>
        <v>825655</v>
      </c>
      <c r="D26" s="4598"/>
      <c r="E26" s="4598"/>
      <c r="F26" s="4599"/>
      <c r="G26" s="3180" t="s">
        <v>3033</v>
      </c>
      <c r="H26" s="4596">
        <v>0.12</v>
      </c>
      <c r="I26" s="4596"/>
      <c r="J26" s="3205"/>
      <c r="K26" s="3171"/>
      <c r="L26" s="3766" t="s">
        <v>3589</v>
      </c>
      <c r="M26" s="3748">
        <f t="shared" ref="M26:M31" ca="1" si="1">ROUND(M25*(1+N25),2)</f>
        <v>4.34</v>
      </c>
      <c r="N26" s="3506">
        <v>0.02</v>
      </c>
      <c r="O26" s="3733">
        <f>M35-S26</f>
        <v>335</v>
      </c>
      <c r="P26" s="3748">
        <f t="shared" ca="1" si="0"/>
        <v>1582541</v>
      </c>
      <c r="Q26" s="3723">
        <f>写字楼!J41</f>
        <v>8.6392314310295731E-2</v>
      </c>
      <c r="R26" s="3723">
        <f>写字楼!AD40</f>
        <v>1.786453303903977E-2</v>
      </c>
      <c r="S26" s="3735">
        <v>30</v>
      </c>
    </row>
    <row r="27" spans="1:19" s="3192" customFormat="1" ht="18" customHeight="1">
      <c r="A27" s="3178" t="s">
        <v>14</v>
      </c>
      <c r="B27" s="3183" t="s">
        <v>3034</v>
      </c>
      <c r="C27" s="4597">
        <f ca="1">ROUND(C7*H27,0)</f>
        <v>10596</v>
      </c>
      <c r="D27" s="4598"/>
      <c r="E27" s="4598"/>
      <c r="F27" s="4599"/>
      <c r="G27" s="3180" t="s">
        <v>3035</v>
      </c>
      <c r="H27" s="4615">
        <v>2E-3</v>
      </c>
      <c r="I27" s="4615"/>
      <c r="J27" s="3190"/>
      <c r="K27" s="3171"/>
      <c r="L27" s="3766" t="s">
        <v>3590</v>
      </c>
      <c r="M27" s="3748">
        <f t="shared" ca="1" si="1"/>
        <v>4.43</v>
      </c>
      <c r="N27" s="3506">
        <v>0</v>
      </c>
      <c r="O27" s="3733">
        <f>N35-S26</f>
        <v>335</v>
      </c>
      <c r="P27" s="3748">
        <f t="shared" ca="1" si="0"/>
        <v>1615359</v>
      </c>
      <c r="Q27" s="3723">
        <f>写字楼!J45</f>
        <v>6.1037418333003211E-2</v>
      </c>
      <c r="R27" s="3723">
        <f>写字楼!AD44</f>
        <v>4.0658670461475907E-2</v>
      </c>
    </row>
    <row r="28" spans="1:19" s="3192" customFormat="1" ht="18" customHeight="1">
      <c r="A28" s="3178" t="s">
        <v>22</v>
      </c>
      <c r="B28" s="3183" t="s">
        <v>3036</v>
      </c>
      <c r="C28" s="4611" t="s">
        <v>3031</v>
      </c>
      <c r="D28" s="4612"/>
      <c r="E28" s="4613">
        <f>H28</f>
        <v>0.02</v>
      </c>
      <c r="F28" s="4614"/>
      <c r="G28" s="3180" t="s">
        <v>3037</v>
      </c>
      <c r="H28" s="4596">
        <v>0.02</v>
      </c>
      <c r="I28" s="4596"/>
      <c r="J28" s="3215"/>
      <c r="K28" s="3171"/>
      <c r="L28" s="3767" t="s">
        <v>3591</v>
      </c>
      <c r="M28" s="3748">
        <f t="shared" ca="1" si="1"/>
        <v>4.43</v>
      </c>
      <c r="N28" s="3506">
        <v>-0.02</v>
      </c>
      <c r="O28" s="3733">
        <f>O35-S26</f>
        <v>335</v>
      </c>
      <c r="P28" s="3748">
        <f t="shared" ca="1" si="0"/>
        <v>1615359</v>
      </c>
      <c r="Q28" s="3723">
        <f>写字楼!J49</f>
        <v>-3.265351818334484E-3</v>
      </c>
      <c r="R28" s="3723">
        <f>写字楼!AD48</f>
        <v>-3.5423585335677597E-2</v>
      </c>
    </row>
    <row r="29" spans="1:19" s="3192" customFormat="1" ht="18" customHeight="1">
      <c r="A29" s="3180" t="s">
        <v>3038</v>
      </c>
      <c r="B29" s="3183" t="s">
        <v>3039</v>
      </c>
      <c r="C29" s="4597">
        <f ca="1">G33</f>
        <v>1398597</v>
      </c>
      <c r="D29" s="4598"/>
      <c r="E29" s="4598"/>
      <c r="F29" s="4599"/>
      <c r="G29" s="4600" t="s">
        <v>3040</v>
      </c>
      <c r="H29" s="4600"/>
      <c r="I29" s="4600"/>
      <c r="J29" s="3216" t="s">
        <v>3041</v>
      </c>
      <c r="K29" s="3171"/>
      <c r="L29" s="3767" t="s">
        <v>3592</v>
      </c>
      <c r="M29" s="3748">
        <f t="shared" ca="1" si="1"/>
        <v>4.34</v>
      </c>
      <c r="N29" s="3507">
        <v>-0.03</v>
      </c>
      <c r="O29" s="3734">
        <f>P35-S26</f>
        <v>336</v>
      </c>
      <c r="P29" s="3748">
        <f t="shared" ca="1" si="0"/>
        <v>1587265</v>
      </c>
      <c r="Q29" s="3725">
        <f>写字楼!J53</f>
        <v>-4.0666691627042117E-2</v>
      </c>
      <c r="R29" s="3725">
        <f>写字楼!AD52</f>
        <v>-7.6486869641531063E-2</v>
      </c>
      <c r="S29" s="3169"/>
    </row>
    <row r="30" spans="1:19" s="3192" customFormat="1" ht="21" customHeight="1">
      <c r="A30" s="4600" t="s">
        <v>3042</v>
      </c>
      <c r="B30" s="4604" t="s">
        <v>3043</v>
      </c>
      <c r="C30" s="4605">
        <f ca="1">ROUND(C29/I30/I31/I3,2)</f>
        <v>3.91</v>
      </c>
      <c r="D30" s="4606"/>
      <c r="E30" s="4606"/>
      <c r="F30" s="4607"/>
      <c r="G30" s="4600" t="s">
        <v>3044</v>
      </c>
      <c r="H30" s="3183" t="s">
        <v>3045</v>
      </c>
      <c r="I30" s="3180">
        <v>365</v>
      </c>
      <c r="J30" s="3217"/>
      <c r="K30" s="3171"/>
      <c r="L30" s="3767" t="s">
        <v>3593</v>
      </c>
      <c r="M30" s="3748">
        <f t="shared" ca="1" si="1"/>
        <v>4.21</v>
      </c>
      <c r="N30" s="3507">
        <f>N29</f>
        <v>-0.03</v>
      </c>
      <c r="O30" s="3734">
        <f>Q35-S26</f>
        <v>335</v>
      </c>
      <c r="P30" s="3748">
        <f t="shared" ca="1" si="0"/>
        <v>1535138</v>
      </c>
      <c r="Q30" s="3725">
        <f>写字楼!J57</f>
        <v>4.9174889584161089E-3</v>
      </c>
      <c r="R30" s="3725">
        <f>写字楼!AD56</f>
        <v>-1.4546783625731061E-2</v>
      </c>
      <c r="S30" s="3169"/>
    </row>
    <row r="31" spans="1:19" s="3192" customFormat="1" ht="18" customHeight="1">
      <c r="A31" s="4600"/>
      <c r="B31" s="4604"/>
      <c r="C31" s="4608"/>
      <c r="D31" s="4609"/>
      <c r="E31" s="4609"/>
      <c r="F31" s="4610"/>
      <c r="G31" s="4600"/>
      <c r="H31" s="3183" t="s">
        <v>3046</v>
      </c>
      <c r="I31" s="3726">
        <v>0.9</v>
      </c>
      <c r="J31" s="3218"/>
      <c r="K31" s="3171"/>
      <c r="L31" s="3767" t="s">
        <v>3594</v>
      </c>
      <c r="M31" s="3748">
        <f t="shared" ca="1" si="1"/>
        <v>4.08</v>
      </c>
      <c r="N31" s="3747" t="s">
        <v>3595</v>
      </c>
      <c r="O31" s="3734">
        <f>R35-S26</f>
        <v>335</v>
      </c>
      <c r="P31" s="3768">
        <f ca="1">SUM(P25:P30)</f>
        <v>9490011</v>
      </c>
      <c r="Q31" s="3749"/>
      <c r="R31" s="3749"/>
      <c r="S31" s="3169"/>
    </row>
    <row r="32" spans="1:19" s="3192" customFormat="1" ht="18" customHeight="1">
      <c r="A32" s="3169"/>
      <c r="B32" s="3219"/>
      <c r="C32" s="3169"/>
      <c r="D32" s="3169"/>
      <c r="E32" s="3169"/>
      <c r="F32" s="3169"/>
      <c r="G32" s="3168">
        <f ca="1">ROUND((C4+C24)/(1-E24),0)</f>
        <v>1403842</v>
      </c>
      <c r="H32" s="3169"/>
      <c r="I32" s="3169"/>
      <c r="J32" s="3190"/>
      <c r="K32" s="3171"/>
    </row>
    <row r="33" spans="1:18" s="3192" customFormat="1" ht="18" customHeight="1">
      <c r="A33" s="3169"/>
      <c r="B33" s="4602" t="s">
        <v>3047</v>
      </c>
      <c r="C33" s="4602"/>
      <c r="D33" s="4602"/>
      <c r="E33" s="4602"/>
      <c r="F33" s="4602"/>
      <c r="G33" s="3737">
        <f ca="1">ROUND(G32/(1+3/12*1.5%),0)</f>
        <v>1398597</v>
      </c>
      <c r="H33" s="3221">
        <f>758110/365/459.68/90%</f>
        <v>5.0204337767097318</v>
      </c>
      <c r="I33" s="3169"/>
      <c r="J33" s="3190"/>
      <c r="K33" s="3171"/>
      <c r="L33" s="3764">
        <v>42402</v>
      </c>
      <c r="M33" s="3764">
        <v>42768</v>
      </c>
      <c r="N33" s="3764">
        <v>43133</v>
      </c>
      <c r="O33" s="3764">
        <v>43498</v>
      </c>
      <c r="P33" s="3764">
        <v>43863</v>
      </c>
      <c r="Q33" s="3764">
        <v>44229</v>
      </c>
      <c r="R33" s="3764">
        <v>44594</v>
      </c>
    </row>
    <row r="34" spans="1:18" s="3192" customFormat="1" ht="18" customHeight="1">
      <c r="A34" s="3169"/>
      <c r="B34" s="3222" t="s">
        <v>3048</v>
      </c>
      <c r="C34" s="3222" t="s">
        <v>2965</v>
      </c>
      <c r="D34" s="4603" t="s">
        <v>3049</v>
      </c>
      <c r="E34" s="4603"/>
      <c r="F34" s="4603"/>
      <c r="G34" s="3220"/>
      <c r="H34" s="3221">
        <f>16072258*(4.5%-3%)/(1-((1+3%)/(1+4.5%))^35.87)</f>
        <v>595778.7525199044</v>
      </c>
      <c r="I34" s="3169"/>
      <c r="J34" s="3212"/>
      <c r="K34" s="3169"/>
      <c r="L34" s="3764">
        <v>42767</v>
      </c>
      <c r="M34" s="3764">
        <v>43132</v>
      </c>
      <c r="N34" s="3764">
        <v>43497</v>
      </c>
      <c r="O34" s="3764">
        <v>43862</v>
      </c>
      <c r="P34" s="3764">
        <v>44228</v>
      </c>
      <c r="Q34" s="3764">
        <v>44593</v>
      </c>
      <c r="R34" s="3764">
        <v>44958</v>
      </c>
    </row>
    <row r="35" spans="1:18">
      <c r="B35" s="3222" t="s">
        <v>3050</v>
      </c>
      <c r="C35" s="3223">
        <v>0.7</v>
      </c>
      <c r="D35" s="4601">
        <f>'2016.2.2-2017.12-31比较法-1层办公'!C49</f>
        <v>4.4000000000000004</v>
      </c>
      <c r="E35" s="4601"/>
      <c r="F35" s="4601"/>
      <c r="G35" s="3220">
        <f ca="1">D36/D35</f>
        <v>0.88863636363636356</v>
      </c>
      <c r="H35" s="3221"/>
      <c r="K35" s="3169"/>
      <c r="L35" s="3765">
        <f>L34-L33+1</f>
        <v>366</v>
      </c>
      <c r="M35" s="3765">
        <f>M34-M33+1</f>
        <v>365</v>
      </c>
      <c r="N35" s="3765">
        <f t="shared" ref="N35:O35" si="2">N34-N33+1</f>
        <v>365</v>
      </c>
      <c r="O35" s="3765">
        <f t="shared" si="2"/>
        <v>365</v>
      </c>
      <c r="P35" s="3765">
        <f>P34-P33+1</f>
        <v>366</v>
      </c>
      <c r="Q35" s="3765">
        <f>Q34-Q33+1</f>
        <v>365</v>
      </c>
      <c r="R35" s="3765">
        <f>R34-R33+1</f>
        <v>365</v>
      </c>
    </row>
    <row r="36" spans="1:18" ht="20.100000000000001" customHeight="1">
      <c r="B36" s="3222" t="s">
        <v>2928</v>
      </c>
      <c r="C36" s="3223">
        <f>1-C35</f>
        <v>0.30000000000000004</v>
      </c>
      <c r="D36" s="4601">
        <f ca="1">C30</f>
        <v>3.91</v>
      </c>
      <c r="E36" s="4601"/>
      <c r="F36" s="4601"/>
      <c r="G36" s="3220"/>
      <c r="H36" s="3221">
        <f>604332+63777</f>
        <v>668109</v>
      </c>
      <c r="I36" s="3169">
        <f>767941/365/459.68/90%</f>
        <v>5.0855376329559672</v>
      </c>
      <c r="J36" s="3169"/>
      <c r="K36" s="3169"/>
    </row>
    <row r="37" spans="1:18" ht="22.5" customHeight="1">
      <c r="B37" s="4603" t="s">
        <v>3051</v>
      </c>
      <c r="C37" s="4603"/>
      <c r="D37" s="4601">
        <f ca="1">ROUND(C35*D35+C36*D36,2)</f>
        <v>4.25</v>
      </c>
      <c r="E37" s="4601"/>
      <c r="F37" s="4601"/>
      <c r="G37" s="3220">
        <f ca="1">ROUND(D37*I3/10000,2)</f>
        <v>0.46</v>
      </c>
      <c r="H37" s="3221">
        <f>H36/0.87</f>
        <v>767941.37931034481</v>
      </c>
      <c r="J37" s="3169"/>
      <c r="K37" s="3169"/>
    </row>
    <row r="38" spans="1:18" ht="22.5" hidden="1" customHeight="1">
      <c r="B38" s="3222" t="s">
        <v>3052</v>
      </c>
      <c r="C38" s="3222">
        <f ca="1">ROUND(D37*0.9,2)</f>
        <v>3.83</v>
      </c>
      <c r="D38" s="3224" t="s">
        <v>3053</v>
      </c>
      <c r="E38" s="4601">
        <f ca="1">ROUND(D37*1.1,2)</f>
        <v>4.68</v>
      </c>
      <c r="F38" s="4601"/>
      <c r="G38" s="3220" t="s">
        <v>3054</v>
      </c>
      <c r="H38" s="3225">
        <f>714231/365/459.68/90%</f>
        <v>4.7298537636664451</v>
      </c>
      <c r="J38" s="3169"/>
      <c r="K38" s="3169"/>
      <c r="L38" s="3170">
        <f>3*1.5%/12</f>
        <v>3.7499999999999999E-3</v>
      </c>
    </row>
    <row r="39" spans="1:18" ht="18" hidden="1" customHeight="1">
      <c r="B39" s="3222" t="s">
        <v>3055</v>
      </c>
      <c r="C39" s="3222">
        <f ca="1">ROUND(C38+H39,2)</f>
        <v>3.88</v>
      </c>
      <c r="D39" s="3224" t="s">
        <v>3053</v>
      </c>
      <c r="E39" s="4601">
        <f ca="1">ROUND(E38+H39,2)</f>
        <v>4.7300000000000004</v>
      </c>
      <c r="F39" s="4601"/>
      <c r="G39" s="3226" t="s">
        <v>3056</v>
      </c>
      <c r="H39" s="3226">
        <v>0.05</v>
      </c>
      <c r="I39" s="3169">
        <f>716909/1.038</f>
        <v>690663.77649325621</v>
      </c>
      <c r="J39" s="3169"/>
      <c r="K39" s="3169"/>
      <c r="L39" s="3169">
        <f ca="1">G32/(1+L38)</f>
        <v>1398597.2602739728</v>
      </c>
    </row>
    <row r="40" spans="1:18" ht="18" customHeight="1">
      <c r="B40" s="3227"/>
      <c r="C40" s="3228"/>
      <c r="D40" s="3221"/>
      <c r="E40" s="3221"/>
      <c r="F40" s="3221"/>
      <c r="G40" s="3220"/>
      <c r="H40" s="3221"/>
      <c r="I40" s="3169">
        <f>3/12*1.5%</f>
        <v>3.7499999999999999E-3</v>
      </c>
      <c r="J40" s="3169"/>
    </row>
    <row r="41" spans="1:18" ht="18" customHeight="1">
      <c r="B41" s="3220"/>
      <c r="C41" s="3221"/>
      <c r="D41" s="3221"/>
      <c r="E41" s="3220"/>
      <c r="F41" s="3221"/>
      <c r="G41" s="3220"/>
      <c r="H41" s="3220"/>
      <c r="J41" s="3169"/>
    </row>
    <row r="42" spans="1:18" ht="29.25" customHeight="1"/>
    <row r="45" spans="1:18">
      <c r="H45" s="3229"/>
    </row>
  </sheetData>
  <mergeCells count="67">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E24:F24"/>
    <mergeCell ref="G24:I24"/>
    <mergeCell ref="G19:I19"/>
    <mergeCell ref="C20:F20"/>
    <mergeCell ref="H20:H21"/>
    <mergeCell ref="I20:I21"/>
    <mergeCell ref="C21:D21"/>
    <mergeCell ref="E21:F21"/>
    <mergeCell ref="C22:D22"/>
    <mergeCell ref="E22:F22"/>
    <mergeCell ref="H22:I22"/>
    <mergeCell ref="C23:F23"/>
    <mergeCell ref="G23:I23"/>
    <mergeCell ref="H25:I25"/>
    <mergeCell ref="C26:F26"/>
    <mergeCell ref="H26:I26"/>
    <mergeCell ref="C27:F27"/>
    <mergeCell ref="H27:I27"/>
    <mergeCell ref="A30:A31"/>
    <mergeCell ref="B30:B31"/>
    <mergeCell ref="C30:F31"/>
    <mergeCell ref="G30:G31"/>
    <mergeCell ref="C25:D25"/>
    <mergeCell ref="E25:F25"/>
    <mergeCell ref="C28:D28"/>
    <mergeCell ref="E28:F28"/>
    <mergeCell ref="H28:I28"/>
    <mergeCell ref="C29:F29"/>
    <mergeCell ref="G29:I29"/>
    <mergeCell ref="E38:F38"/>
    <mergeCell ref="E39:F39"/>
    <mergeCell ref="B33:F33"/>
    <mergeCell ref="D34:F34"/>
    <mergeCell ref="D35:F35"/>
    <mergeCell ref="D36:F36"/>
    <mergeCell ref="B37:C37"/>
    <mergeCell ref="D37:F37"/>
  </mergeCells>
  <phoneticPr fontId="147" type="noConversion"/>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00000"/>
  </sheetPr>
  <dimension ref="A1:Q41"/>
  <sheetViews>
    <sheetView topLeftCell="A14" zoomScaleNormal="100" workbookViewId="0">
      <selection activeCell="O22" sqref="O22"/>
    </sheetView>
  </sheetViews>
  <sheetFormatPr defaultColWidth="9" defaultRowHeight="12.75"/>
  <cols>
    <col min="1" max="1" width="10.625" style="3889" customWidth="1"/>
    <col min="2" max="2" width="10.375" style="3889" customWidth="1"/>
    <col min="3" max="3" width="7.625" style="3889" customWidth="1"/>
    <col min="4" max="4" width="9.625" style="4204" customWidth="1"/>
    <col min="5" max="5" width="13.5" style="3889" customWidth="1"/>
    <col min="6" max="7" width="8.5" style="3889" customWidth="1"/>
    <col min="8" max="8" width="14" style="3889" hidden="1" customWidth="1"/>
    <col min="9" max="9" width="13.5" style="3889" hidden="1" customWidth="1"/>
    <col min="10" max="10" width="8" style="3889" hidden="1" customWidth="1"/>
    <col min="11" max="11" width="6" style="3889" hidden="1" customWidth="1"/>
    <col min="12" max="12" width="12.625" style="3889" customWidth="1"/>
    <col min="13" max="13" width="11.125" style="3889" customWidth="1"/>
    <col min="14" max="14" width="9.625" style="3889" customWidth="1"/>
    <col min="15" max="15" width="21" style="3889" customWidth="1"/>
    <col min="16" max="16384" width="9" style="3889"/>
  </cols>
  <sheetData>
    <row r="1" spans="1:17" hidden="1">
      <c r="A1" s="3854">
        <f>收益法倒推!I3</f>
        <v>1088.48</v>
      </c>
      <c r="B1" s="3851" t="s">
        <v>3437</v>
      </c>
      <c r="C1" s="3851" t="s">
        <v>3438</v>
      </c>
      <c r="D1" s="3851"/>
      <c r="E1" s="3851" t="s">
        <v>3452</v>
      </c>
      <c r="F1" s="3851" t="s">
        <v>3453</v>
      </c>
      <c r="G1" s="3851"/>
      <c r="H1" s="3851"/>
      <c r="I1" s="3851"/>
    </row>
    <row r="2" spans="1:17" ht="25.5" hidden="1">
      <c r="A2" s="3845" t="s">
        <v>3588</v>
      </c>
      <c r="B2" s="3846">
        <f>'2016.2.2-2017.12-31比较法-1层办公'!C49</f>
        <v>4.4000000000000004</v>
      </c>
      <c r="C2" s="3847">
        <v>0.02</v>
      </c>
      <c r="D2" s="3847"/>
      <c r="E2" s="3848">
        <f>A13-$I$3</f>
        <v>366</v>
      </c>
      <c r="F2" s="3849">
        <f t="shared" ref="F2:F7" si="0">ROUND(B2*$A$1*E2,0)</f>
        <v>1752888</v>
      </c>
      <c r="G2" s="3851" t="s">
        <v>3514</v>
      </c>
      <c r="H2" s="4108"/>
      <c r="I2" s="3851" t="s">
        <v>3526</v>
      </c>
    </row>
    <row r="3" spans="1:17" hidden="1">
      <c r="A3" s="3845" t="s">
        <v>3589</v>
      </c>
      <c r="B3" s="3849" t="e">
        <f>#REF!</f>
        <v>#REF!</v>
      </c>
      <c r="C3" s="3847">
        <v>0.02</v>
      </c>
      <c r="D3" s="3847"/>
      <c r="E3" s="3848">
        <f>B13-I3</f>
        <v>365</v>
      </c>
      <c r="F3" s="3849" t="e">
        <f t="shared" si="0"/>
        <v>#REF!</v>
      </c>
      <c r="G3" s="3850">
        <f>写字楼!AD40</f>
        <v>1.786453303903977E-2</v>
      </c>
      <c r="H3" s="4108"/>
      <c r="I3" s="4134">
        <v>0</v>
      </c>
    </row>
    <row r="4" spans="1:17" hidden="1">
      <c r="A4" s="3845" t="s">
        <v>3590</v>
      </c>
      <c r="B4" s="3849" t="e">
        <f>ROUND(B3*(1+C3),2)</f>
        <v>#REF!</v>
      </c>
      <c r="C4" s="3847">
        <v>0</v>
      </c>
      <c r="D4" s="3847"/>
      <c r="E4" s="3848">
        <f>C13-$I$3</f>
        <v>365</v>
      </c>
      <c r="F4" s="3849" t="e">
        <f t="shared" si="0"/>
        <v>#REF!</v>
      </c>
      <c r="G4" s="3850">
        <f>写字楼!AD44</f>
        <v>4.0658670461475907E-2</v>
      </c>
      <c r="H4" s="4108"/>
      <c r="I4" s="3851"/>
    </row>
    <row r="5" spans="1:17" ht="25.5" hidden="1">
      <c r="A5" s="3852" t="s">
        <v>3591</v>
      </c>
      <c r="B5" s="3849" t="e">
        <f>ROUND(B4*(1+C4),2)</f>
        <v>#REF!</v>
      </c>
      <c r="C5" s="3847">
        <v>-0.02</v>
      </c>
      <c r="D5" s="3847"/>
      <c r="E5" s="3848">
        <f>E13-I5</f>
        <v>365</v>
      </c>
      <c r="F5" s="3849" t="e">
        <f t="shared" si="0"/>
        <v>#REF!</v>
      </c>
      <c r="G5" s="3850">
        <f>写字楼!AD48</f>
        <v>-3.5423585335677597E-2</v>
      </c>
      <c r="H5" s="4108"/>
      <c r="I5" s="3851"/>
    </row>
    <row r="6" spans="1:17" ht="25.5" hidden="1">
      <c r="A6" s="3852" t="s">
        <v>3592</v>
      </c>
      <c r="B6" s="3849" t="e">
        <f>ROUND(B5*(1+C5),2)</f>
        <v>#REF!</v>
      </c>
      <c r="C6" s="3199">
        <v>-0.03</v>
      </c>
      <c r="D6" s="3199"/>
      <c r="E6" s="3848">
        <f>F13-$I$3</f>
        <v>366</v>
      </c>
      <c r="F6" s="3849" t="e">
        <f t="shared" si="0"/>
        <v>#REF!</v>
      </c>
      <c r="G6" s="3853">
        <f>写字楼!AD52</f>
        <v>-7.6486869641531063E-2</v>
      </c>
      <c r="H6" s="4108"/>
      <c r="I6" s="4108"/>
    </row>
    <row r="7" spans="1:17" ht="25.5" hidden="1">
      <c r="A7" s="3852" t="s">
        <v>3593</v>
      </c>
      <c r="B7" s="3849" t="e">
        <f>ROUND(B6*(1+C6),2)</f>
        <v>#REF!</v>
      </c>
      <c r="C7" s="3199">
        <f>C5</f>
        <v>-0.02</v>
      </c>
      <c r="D7" s="3199"/>
      <c r="E7" s="3848">
        <f>G13-I3</f>
        <v>365</v>
      </c>
      <c r="F7" s="3849" t="e">
        <f t="shared" si="0"/>
        <v>#REF!</v>
      </c>
      <c r="G7" s="3853">
        <f>写字楼!AD56</f>
        <v>-1.4546783625731061E-2</v>
      </c>
      <c r="H7" s="4108"/>
      <c r="I7" s="4108"/>
    </row>
    <row r="8" spans="1:17" ht="25.5" hidden="1">
      <c r="A8" s="3852" t="s">
        <v>3594</v>
      </c>
      <c r="B8" s="3849" t="e">
        <f>ROUND(B7*(1+C7),2)</f>
        <v>#REF!</v>
      </c>
      <c r="C8" s="3195" t="s">
        <v>3415</v>
      </c>
      <c r="D8" s="3195"/>
      <c r="E8" s="3848">
        <f>H13-$I$3</f>
        <v>365</v>
      </c>
      <c r="F8" s="3855" t="e">
        <f>SUM(F2:F7)</f>
        <v>#REF!</v>
      </c>
      <c r="G8" s="3853">
        <f>写字楼!AD60</f>
        <v>-2.8410355314887586E-2</v>
      </c>
      <c r="H8" s="4108"/>
      <c r="I8" s="4108"/>
    </row>
    <row r="9" spans="1:17" hidden="1">
      <c r="A9" s="4108"/>
      <c r="B9" s="4108"/>
      <c r="C9" s="4108"/>
      <c r="D9" s="4207"/>
      <c r="E9" s="4108"/>
      <c r="F9" s="4108"/>
      <c r="G9" s="4108"/>
      <c r="H9" s="4108"/>
      <c r="I9" s="4108"/>
    </row>
    <row r="10" spans="1:17" hidden="1">
      <c r="A10" s="4108"/>
      <c r="B10" s="4108"/>
      <c r="C10" s="4108"/>
      <c r="D10" s="4207"/>
      <c r="E10" s="4108"/>
      <c r="F10" s="4108"/>
      <c r="G10" s="4108"/>
      <c r="H10" s="4108"/>
      <c r="I10" s="4108"/>
    </row>
    <row r="11" spans="1:17" hidden="1">
      <c r="A11" s="4132">
        <v>42402</v>
      </c>
      <c r="B11" s="4132">
        <v>42768</v>
      </c>
      <c r="C11" s="4132">
        <v>43133</v>
      </c>
      <c r="D11" s="4132"/>
      <c r="E11" s="4132">
        <v>43498</v>
      </c>
      <c r="F11" s="4132">
        <v>43863</v>
      </c>
      <c r="G11" s="4132">
        <v>44229</v>
      </c>
      <c r="H11" s="4132">
        <v>44594</v>
      </c>
      <c r="I11" s="4135"/>
    </row>
    <row r="12" spans="1:17" hidden="1">
      <c r="A12" s="4132">
        <v>42767</v>
      </c>
      <c r="B12" s="4132">
        <v>43132</v>
      </c>
      <c r="C12" s="4132">
        <v>43497</v>
      </c>
      <c r="D12" s="4132"/>
      <c r="E12" s="4132">
        <v>43862</v>
      </c>
      <c r="F12" s="4132">
        <v>44228</v>
      </c>
      <c r="G12" s="4132">
        <v>44593</v>
      </c>
      <c r="H12" s="4132">
        <v>44958</v>
      </c>
      <c r="I12" s="4108"/>
    </row>
    <row r="13" spans="1:17" hidden="1">
      <c r="A13" s="4133">
        <f t="shared" ref="A13:H13" si="1">A12-A11+1</f>
        <v>366</v>
      </c>
      <c r="B13" s="4133">
        <f t="shared" si="1"/>
        <v>365</v>
      </c>
      <c r="C13" s="4133">
        <f t="shared" si="1"/>
        <v>365</v>
      </c>
      <c r="D13" s="4133"/>
      <c r="E13" s="4133">
        <f t="shared" si="1"/>
        <v>365</v>
      </c>
      <c r="F13" s="4133">
        <f t="shared" si="1"/>
        <v>366</v>
      </c>
      <c r="G13" s="4133">
        <f t="shared" si="1"/>
        <v>365</v>
      </c>
      <c r="H13" s="4133">
        <f t="shared" si="1"/>
        <v>365</v>
      </c>
      <c r="I13" s="4108"/>
    </row>
    <row r="14" spans="1:17" ht="19.5" customHeight="1">
      <c r="A14" s="4641" t="s">
        <v>5001</v>
      </c>
      <c r="B14" s="4642"/>
      <c r="C14" s="4642"/>
      <c r="D14" s="4642"/>
      <c r="E14" s="4642"/>
      <c r="F14" s="4642"/>
      <c r="G14" s="4642"/>
      <c r="H14" s="4642"/>
      <c r="I14" s="4642"/>
      <c r="J14" s="4642"/>
      <c r="K14" s="4642"/>
      <c r="L14" s="4642"/>
      <c r="M14" s="4642"/>
      <c r="O14" s="4643" t="s">
        <v>5037</v>
      </c>
      <c r="P14" s="4643"/>
      <c r="Q14" s="3889" t="s">
        <v>5040</v>
      </c>
    </row>
    <row r="15" spans="1:17" ht="15.75" customHeight="1">
      <c r="A15" s="4646" t="s">
        <v>5004</v>
      </c>
      <c r="B15" s="4646"/>
      <c r="C15" s="4136" t="s">
        <v>5041</v>
      </c>
      <c r="D15" s="4206" t="s">
        <v>5042</v>
      </c>
      <c r="E15" s="4136" t="s">
        <v>5005</v>
      </c>
      <c r="F15" s="4136" t="s">
        <v>5003</v>
      </c>
      <c r="G15" s="4136" t="s">
        <v>5006</v>
      </c>
      <c r="H15" s="4136" t="s">
        <v>5010</v>
      </c>
      <c r="I15" s="4136" t="s">
        <v>5011</v>
      </c>
      <c r="L15" s="4176" t="s">
        <v>5035</v>
      </c>
      <c r="M15" s="4176" t="s">
        <v>5036</v>
      </c>
      <c r="O15" s="3889" t="s">
        <v>5038</v>
      </c>
      <c r="P15" s="3889">
        <v>1.8629</v>
      </c>
    </row>
    <row r="16" spans="1:17">
      <c r="A16" s="4139">
        <v>42402</v>
      </c>
      <c r="B16" s="4139">
        <v>42735</v>
      </c>
      <c r="C16" s="4140">
        <f>ROUND((B16-A16+1)/365,2)</f>
        <v>0.92</v>
      </c>
      <c r="D16" s="4205">
        <f>B16-A16+1</f>
        <v>334</v>
      </c>
      <c r="E16" s="4141">
        <f>ROUND(E27/P16*P15,2)</f>
        <v>6.83</v>
      </c>
      <c r="F16" s="4140" t="s">
        <v>5007</v>
      </c>
      <c r="G16" s="4644">
        <f>面积表!E4+面积表!E5</f>
        <v>1394.67</v>
      </c>
      <c r="H16" s="4140">
        <f>ROUND(E16*C16*G16/10000,4)</f>
        <v>0.87639999999999996</v>
      </c>
      <c r="I16" s="4140">
        <f>ROUND(C16*1.2*$G$16/10000,4)</f>
        <v>0.154</v>
      </c>
      <c r="J16" s="3889">
        <v>6.8</v>
      </c>
      <c r="L16" s="4141">
        <f>E16+1.2</f>
        <v>8.0299999999999994</v>
      </c>
      <c r="M16" s="4141">
        <f>ROUND(L16*$G$16*D16/10000,4)</f>
        <v>374.05329999999998</v>
      </c>
      <c r="O16" s="3889" t="s">
        <v>5039</v>
      </c>
      <c r="P16" s="3889">
        <v>1.3371999999999999</v>
      </c>
    </row>
    <row r="17" spans="1:16">
      <c r="A17" s="4139">
        <v>42736</v>
      </c>
      <c r="B17" s="4139">
        <v>43100</v>
      </c>
      <c r="C17" s="4201">
        <f t="shared" ref="C17:C23" si="2">ROUND((B17-A17+1)/365,2)</f>
        <v>1</v>
      </c>
      <c r="D17" s="4205">
        <f t="shared" ref="D17:D23" si="3">B17-A17+1</f>
        <v>365</v>
      </c>
      <c r="E17" s="4140">
        <f>ROUND((E16*(1-5.6%)+E16*5.6%/1.05)*(1+F17),2)</f>
        <v>6.81</v>
      </c>
      <c r="F17" s="4147">
        <v>0</v>
      </c>
      <c r="G17" s="4644"/>
      <c r="H17" s="4140">
        <f>ROUND(E17*C17*G16/10000,4)</f>
        <v>0.94979999999999998</v>
      </c>
      <c r="I17" s="4140">
        <f t="shared" ref="I17:I23" si="4">ROUND(C17*1.2*$G$16/10000,4)</f>
        <v>0.16739999999999999</v>
      </c>
      <c r="L17" s="4141">
        <f>E17+1.2</f>
        <v>8.01</v>
      </c>
      <c r="M17" s="4141">
        <f t="shared" ref="M17:M23" si="5">ROUND(L17*$G$16*D17/10000,4)</f>
        <v>407.7527</v>
      </c>
      <c r="P17" s="3889">
        <f>P16/P15</f>
        <v>0.71780557195770034</v>
      </c>
    </row>
    <row r="18" spans="1:16">
      <c r="A18" s="4137">
        <v>43101</v>
      </c>
      <c r="B18" s="4137">
        <v>43465</v>
      </c>
      <c r="C18" s="4202">
        <f t="shared" si="2"/>
        <v>1</v>
      </c>
      <c r="D18" s="4205">
        <f t="shared" si="3"/>
        <v>365</v>
      </c>
      <c r="E18" s="4142">
        <f>'2018.1.1-2023-4-17比较法-1层办公'!C49</f>
        <v>9.24</v>
      </c>
      <c r="F18" s="4138" t="s">
        <v>5007</v>
      </c>
      <c r="G18" s="4645">
        <f>G16</f>
        <v>1394.67</v>
      </c>
      <c r="H18" s="4138">
        <f>ROUND(E18*C18*$G$16/10000,4)</f>
        <v>1.2887</v>
      </c>
      <c r="I18" s="4138">
        <f t="shared" si="4"/>
        <v>0.16739999999999999</v>
      </c>
      <c r="L18" s="4142">
        <f>E18+1.2</f>
        <v>10.44</v>
      </c>
      <c r="M18" s="4141">
        <f t="shared" si="5"/>
        <v>531.45299999999997</v>
      </c>
      <c r="N18" s="3889">
        <f>(L18-L16)/L16</f>
        <v>0.30012453300124536</v>
      </c>
    </row>
    <row r="19" spans="1:16">
      <c r="A19" s="4137">
        <v>43466</v>
      </c>
      <c r="B19" s="4137">
        <v>43830</v>
      </c>
      <c r="C19" s="4202">
        <f t="shared" si="2"/>
        <v>1</v>
      </c>
      <c r="D19" s="4205">
        <f t="shared" si="3"/>
        <v>365</v>
      </c>
      <c r="E19" s="4138">
        <f>ROUND(E18*(1+F19),2)</f>
        <v>9.6999999999999993</v>
      </c>
      <c r="F19" s="4143">
        <v>0.05</v>
      </c>
      <c r="G19" s="4645"/>
      <c r="H19" s="4138">
        <f t="shared" ref="H19:H23" si="6">ROUND(E19*C19*$G$16/10000,4)</f>
        <v>1.3528</v>
      </c>
      <c r="I19" s="4138">
        <f t="shared" si="4"/>
        <v>0.16739999999999999</v>
      </c>
      <c r="L19" s="4175">
        <f t="shared" ref="L19:L23" si="7">E19+1.2</f>
        <v>10.899999999999999</v>
      </c>
      <c r="M19" s="4141">
        <f t="shared" si="5"/>
        <v>554.86950000000002</v>
      </c>
    </row>
    <row r="20" spans="1:16">
      <c r="A20" s="4137">
        <v>43831</v>
      </c>
      <c r="B20" s="4137">
        <v>44196</v>
      </c>
      <c r="C20" s="4202">
        <f t="shared" si="2"/>
        <v>1</v>
      </c>
      <c r="D20" s="4223">
        <f t="shared" si="3"/>
        <v>366</v>
      </c>
      <c r="E20" s="4138">
        <f t="shared" ref="E20:E23" si="8">ROUND(E19*(1+F20),2)</f>
        <v>10.19</v>
      </c>
      <c r="F20" s="4143">
        <f>F19</f>
        <v>0.05</v>
      </c>
      <c r="G20" s="4645"/>
      <c r="H20" s="4138">
        <f t="shared" si="6"/>
        <v>1.4212</v>
      </c>
      <c r="I20" s="4138">
        <f t="shared" si="4"/>
        <v>0.16739999999999999</v>
      </c>
      <c r="L20" s="4175">
        <f t="shared" si="7"/>
        <v>11.389999999999999</v>
      </c>
      <c r="M20" s="4141">
        <f t="shared" si="5"/>
        <v>581.40170000000001</v>
      </c>
    </row>
    <row r="21" spans="1:16">
      <c r="A21" s="4137">
        <v>44197</v>
      </c>
      <c r="B21" s="4137">
        <v>44561</v>
      </c>
      <c r="C21" s="4202">
        <f t="shared" si="2"/>
        <v>1</v>
      </c>
      <c r="D21" s="4205">
        <f t="shared" si="3"/>
        <v>365</v>
      </c>
      <c r="E21" s="4138">
        <f t="shared" si="8"/>
        <v>10.7</v>
      </c>
      <c r="F21" s="4143">
        <f>F19</f>
        <v>0.05</v>
      </c>
      <c r="G21" s="4645"/>
      <c r="H21" s="4138">
        <f t="shared" si="6"/>
        <v>1.4923</v>
      </c>
      <c r="I21" s="4138">
        <f t="shared" si="4"/>
        <v>0.16739999999999999</v>
      </c>
      <c r="L21" s="4175">
        <f t="shared" si="7"/>
        <v>11.899999999999999</v>
      </c>
      <c r="M21" s="4141">
        <f t="shared" si="5"/>
        <v>605.7749</v>
      </c>
    </row>
    <row r="22" spans="1:16">
      <c r="A22" s="4137">
        <v>44562</v>
      </c>
      <c r="B22" s="4137">
        <v>44926</v>
      </c>
      <c r="C22" s="4202">
        <f t="shared" si="2"/>
        <v>1</v>
      </c>
      <c r="D22" s="4205">
        <f t="shared" si="3"/>
        <v>365</v>
      </c>
      <c r="E22" s="4138">
        <f t="shared" si="8"/>
        <v>11.24</v>
      </c>
      <c r="F22" s="4143">
        <f>F19</f>
        <v>0.05</v>
      </c>
      <c r="G22" s="4645"/>
      <c r="H22" s="4138">
        <f t="shared" si="6"/>
        <v>1.5676000000000001</v>
      </c>
      <c r="I22" s="4138">
        <f t="shared" si="4"/>
        <v>0.16739999999999999</v>
      </c>
      <c r="L22" s="4175">
        <f t="shared" si="7"/>
        <v>12.44</v>
      </c>
      <c r="M22" s="4141">
        <f t="shared" si="5"/>
        <v>633.26390000000004</v>
      </c>
    </row>
    <row r="23" spans="1:16">
      <c r="A23" s="4137">
        <v>44927</v>
      </c>
      <c r="B23" s="4137">
        <v>45033</v>
      </c>
      <c r="C23" s="4202">
        <f t="shared" si="2"/>
        <v>0.28999999999999998</v>
      </c>
      <c r="D23" s="4205">
        <f t="shared" si="3"/>
        <v>107</v>
      </c>
      <c r="E23" s="4138">
        <f t="shared" si="8"/>
        <v>11.8</v>
      </c>
      <c r="F23" s="4143">
        <f>F19</f>
        <v>0.05</v>
      </c>
      <c r="G23" s="4645"/>
      <c r="H23" s="4138">
        <f t="shared" si="6"/>
        <v>0.4773</v>
      </c>
      <c r="I23" s="4138">
        <f t="shared" si="4"/>
        <v>4.8500000000000001E-2</v>
      </c>
      <c r="L23" s="4175">
        <f t="shared" si="7"/>
        <v>13</v>
      </c>
      <c r="M23" s="4141">
        <f t="shared" si="5"/>
        <v>193.99860000000001</v>
      </c>
    </row>
    <row r="24" spans="1:16">
      <c r="A24" s="4109" t="s">
        <v>5012</v>
      </c>
      <c r="B24" s="4109"/>
      <c r="C24" s="4109">
        <f>SUM(C16:C23)</f>
        <v>7.21</v>
      </c>
      <c r="D24" s="4208">
        <f>SUM(D16:D23)</f>
        <v>2632</v>
      </c>
      <c r="E24" s="4109"/>
      <c r="F24" s="4109"/>
      <c r="G24" s="4109"/>
      <c r="H24" s="4109">
        <f>SUM(H16:H23)</f>
        <v>9.4260999999999999</v>
      </c>
      <c r="I24" s="4109">
        <f>SUM(I16:I23)</f>
        <v>1.2068999999999999</v>
      </c>
      <c r="J24" s="3889">
        <f>H24+I24</f>
        <v>10.632999999999999</v>
      </c>
      <c r="K24" s="3889">
        <f>ROUND(J24*10000/G16/C24,2)</f>
        <v>10.57</v>
      </c>
      <c r="L24" s="4177"/>
      <c r="M24" s="4177">
        <f>SUM(M16:M23)</f>
        <v>3882.5675999999999</v>
      </c>
      <c r="N24" s="3889">
        <v>3880.9097999999999</v>
      </c>
      <c r="O24" s="3889">
        <f>C24*365</f>
        <v>2631.65</v>
      </c>
    </row>
    <row r="25" spans="1:16" ht="19.5" customHeight="1">
      <c r="A25" s="4641" t="s">
        <v>5002</v>
      </c>
      <c r="B25" s="4642"/>
      <c r="C25" s="4642"/>
      <c r="D25" s="4642"/>
      <c r="E25" s="4642"/>
      <c r="F25" s="4642"/>
      <c r="G25" s="4642"/>
      <c r="H25" s="4642"/>
      <c r="I25" s="4642"/>
      <c r="J25" s="4642"/>
      <c r="K25" s="4642"/>
      <c r="L25" s="4642"/>
      <c r="M25" s="4642"/>
    </row>
    <row r="26" spans="1:16" ht="16.5" customHeight="1">
      <c r="A26" s="4646" t="s">
        <v>5004</v>
      </c>
      <c r="B26" s="4646"/>
      <c r="C26" s="4136" t="str">
        <f>C15</f>
        <v>年</v>
      </c>
      <c r="D26" s="4206"/>
      <c r="E26" s="4136" t="s">
        <v>5005</v>
      </c>
      <c r="F26" s="4136" t="s">
        <v>5003</v>
      </c>
      <c r="G26" s="4136" t="s">
        <v>5006</v>
      </c>
      <c r="H26" s="4136" t="s">
        <v>5010</v>
      </c>
      <c r="I26" s="4136" t="s">
        <v>5011</v>
      </c>
      <c r="L26" s="4176" t="s">
        <v>5035</v>
      </c>
      <c r="M26" s="4176" t="s">
        <v>5036</v>
      </c>
    </row>
    <row r="27" spans="1:16">
      <c r="A27" s="4139">
        <v>42402</v>
      </c>
      <c r="B27" s="4139">
        <v>42735</v>
      </c>
      <c r="C27" s="4140">
        <f>ROUND((B27-A27+1)/365,2)</f>
        <v>0.92</v>
      </c>
      <c r="D27" s="4205">
        <f>B27-A27+1</f>
        <v>334</v>
      </c>
      <c r="E27" s="4141">
        <f>'2016.2.2-2017.12.31比较法-2层办公'!C50</f>
        <v>4.9000000000000004</v>
      </c>
      <c r="F27" s="4140" t="s">
        <v>5007</v>
      </c>
      <c r="G27" s="4644">
        <f>面积表!E6+面积表!E7</f>
        <v>1402.83</v>
      </c>
      <c r="H27" s="4140">
        <f>ROUND(E27*C27*$G$27/10000,4)</f>
        <v>0.63239999999999996</v>
      </c>
      <c r="I27" s="4140">
        <f>ROUND(C27*1.2*$G$27/10000,4)</f>
        <v>0.15490000000000001</v>
      </c>
      <c r="J27" s="3889">
        <v>4.8</v>
      </c>
      <c r="L27" s="4141">
        <f>E27+1.2</f>
        <v>6.1000000000000005</v>
      </c>
      <c r="M27" s="4141">
        <f>ROUND(L27*$G$27*D27/10000,4)</f>
        <v>285.81259999999997</v>
      </c>
    </row>
    <row r="28" spans="1:16">
      <c r="A28" s="4139">
        <v>42736</v>
      </c>
      <c r="B28" s="4139">
        <v>43100</v>
      </c>
      <c r="C28" s="4201">
        <f t="shared" ref="C28:C32" si="9">ROUND((B28-A28+1)/365,2)</f>
        <v>1</v>
      </c>
      <c r="D28" s="4205">
        <f t="shared" ref="D28:D32" si="10">B28-A28+1</f>
        <v>365</v>
      </c>
      <c r="E28" s="4140">
        <f>ROUND((E27*(1-5.6%)+E27*5.6%/1.05)*(1+F28),2)</f>
        <v>4.8899999999999997</v>
      </c>
      <c r="F28" s="4147">
        <v>0</v>
      </c>
      <c r="G28" s="4644"/>
      <c r="H28" s="4140">
        <f t="shared" ref="H28:H32" si="11">ROUND(E28*C28*$G$27/10000,4)</f>
        <v>0.68600000000000005</v>
      </c>
      <c r="I28" s="4140">
        <f t="shared" ref="I28:I32" si="12">ROUND(C28*1.2*$G$27/10000,4)</f>
        <v>0.16830000000000001</v>
      </c>
      <c r="L28" s="4141">
        <f>E28+1.2</f>
        <v>6.09</v>
      </c>
      <c r="M28" s="4141">
        <f t="shared" ref="M28:M32" si="13">ROUND(L28*$G$27*D28/10000,4)</f>
        <v>311.82810000000001</v>
      </c>
    </row>
    <row r="29" spans="1:16">
      <c r="A29" s="4137">
        <v>43101</v>
      </c>
      <c r="B29" s="4137">
        <v>43465</v>
      </c>
      <c r="C29" s="4202">
        <f t="shared" si="9"/>
        <v>1</v>
      </c>
      <c r="D29" s="4205">
        <f t="shared" si="10"/>
        <v>365</v>
      </c>
      <c r="E29" s="4142">
        <f>'2018.1.1-2021.11.7比较法-2层办公'!C50</f>
        <v>5.45</v>
      </c>
      <c r="F29" s="4138" t="s">
        <v>5007</v>
      </c>
      <c r="G29" s="4645">
        <f>G27</f>
        <v>1402.83</v>
      </c>
      <c r="H29" s="4138">
        <f t="shared" si="11"/>
        <v>0.76449999999999996</v>
      </c>
      <c r="I29" s="4138">
        <f t="shared" si="12"/>
        <v>0.16830000000000001</v>
      </c>
      <c r="L29" s="4142">
        <f>E29+1.2</f>
        <v>6.65</v>
      </c>
      <c r="M29" s="4141">
        <f t="shared" si="13"/>
        <v>340.50189999999998</v>
      </c>
      <c r="N29" s="3889">
        <f>(L29-L27)/L27</f>
        <v>9.016393442622947E-2</v>
      </c>
    </row>
    <row r="30" spans="1:16">
      <c r="A30" s="4137">
        <v>43466</v>
      </c>
      <c r="B30" s="4137">
        <v>43830</v>
      </c>
      <c r="C30" s="4202">
        <f t="shared" si="9"/>
        <v>1</v>
      </c>
      <c r="D30" s="4205">
        <f t="shared" si="10"/>
        <v>365</v>
      </c>
      <c r="E30" s="4138">
        <f>ROUND(E29*(1+F30),2)</f>
        <v>5.61</v>
      </c>
      <c r="F30" s="4143">
        <v>0.03</v>
      </c>
      <c r="G30" s="4645"/>
      <c r="H30" s="4138">
        <f t="shared" si="11"/>
        <v>0.78700000000000003</v>
      </c>
      <c r="I30" s="4138">
        <f t="shared" si="12"/>
        <v>0.16830000000000001</v>
      </c>
      <c r="L30" s="4175">
        <f t="shared" ref="L30:L32" si="14">E30+1.2</f>
        <v>6.8100000000000005</v>
      </c>
      <c r="M30" s="4141">
        <f t="shared" si="13"/>
        <v>348.69439999999997</v>
      </c>
    </row>
    <row r="31" spans="1:16">
      <c r="A31" s="4137">
        <v>43831</v>
      </c>
      <c r="B31" s="4137">
        <v>44196</v>
      </c>
      <c r="C31" s="4202">
        <f t="shared" si="9"/>
        <v>1</v>
      </c>
      <c r="D31" s="4205">
        <f t="shared" si="10"/>
        <v>366</v>
      </c>
      <c r="E31" s="4138">
        <f t="shared" ref="E31:E32" si="15">ROUND(E30*(1+F31),2)</f>
        <v>5.78</v>
      </c>
      <c r="F31" s="4143">
        <f>F30</f>
        <v>0.03</v>
      </c>
      <c r="G31" s="4645"/>
      <c r="H31" s="4138">
        <f t="shared" si="11"/>
        <v>0.81079999999999997</v>
      </c>
      <c r="I31" s="4138">
        <f t="shared" si="12"/>
        <v>0.16830000000000001</v>
      </c>
      <c r="L31" s="4175">
        <f t="shared" si="14"/>
        <v>6.98</v>
      </c>
      <c r="M31" s="4141">
        <f t="shared" si="13"/>
        <v>358.37819999999999</v>
      </c>
    </row>
    <row r="32" spans="1:16">
      <c r="A32" s="4137">
        <v>44197</v>
      </c>
      <c r="B32" s="4137">
        <v>44507</v>
      </c>
      <c r="C32" s="4202">
        <f t="shared" si="9"/>
        <v>0.85</v>
      </c>
      <c r="D32" s="4205">
        <f t="shared" si="10"/>
        <v>311</v>
      </c>
      <c r="E32" s="4138">
        <f t="shared" si="15"/>
        <v>5.95</v>
      </c>
      <c r="F32" s="4143">
        <f>F30</f>
        <v>0.03</v>
      </c>
      <c r="G32" s="4645"/>
      <c r="H32" s="4138">
        <f t="shared" si="11"/>
        <v>0.70950000000000002</v>
      </c>
      <c r="I32" s="4138">
        <f t="shared" si="12"/>
        <v>0.1431</v>
      </c>
      <c r="L32" s="4175">
        <f t="shared" si="14"/>
        <v>7.15</v>
      </c>
      <c r="M32" s="4141">
        <f t="shared" si="13"/>
        <v>311.94029999999998</v>
      </c>
    </row>
    <row r="33" spans="1:15">
      <c r="A33" s="4110" t="s">
        <v>5012</v>
      </c>
      <c r="B33" s="4110"/>
      <c r="C33" s="4109">
        <f>SUM(C27:C32)</f>
        <v>5.77</v>
      </c>
      <c r="D33" s="4208"/>
      <c r="E33" s="4109"/>
      <c r="F33" s="4109"/>
      <c r="G33" s="4109"/>
      <c r="H33" s="4109">
        <f>SUM(H27:H32)</f>
        <v>4.3902000000000001</v>
      </c>
      <c r="I33" s="4109">
        <f>SUM(I27:I32)</f>
        <v>0.97120000000000006</v>
      </c>
      <c r="J33" s="3889">
        <f>H33+I33</f>
        <v>5.3613999999999997</v>
      </c>
      <c r="K33" s="3889">
        <f>ROUND(J33*10000/C33/G27,2)</f>
        <v>6.62</v>
      </c>
      <c r="L33" s="4177"/>
      <c r="M33" s="4203">
        <f>SUM(M27:M32)</f>
        <v>1957.1555000000001</v>
      </c>
      <c r="N33" s="3889">
        <v>1956.9643000000001</v>
      </c>
      <c r="O33" s="3889">
        <f>C33*365</f>
        <v>2106.0499999999997</v>
      </c>
    </row>
    <row r="34" spans="1:15">
      <c r="A34" s="4110" t="s">
        <v>5013</v>
      </c>
      <c r="B34" s="4110"/>
      <c r="C34" s="4109"/>
      <c r="D34" s="4208"/>
      <c r="E34" s="4109"/>
      <c r="F34" s="4109"/>
      <c r="G34" s="4109"/>
      <c r="H34" s="4109">
        <f>H24+H33</f>
        <v>13.8163</v>
      </c>
      <c r="I34" s="4109">
        <f>I24+I33</f>
        <v>2.1780999999999997</v>
      </c>
      <c r="J34" s="3889">
        <f>J24+J33</f>
        <v>15.994399999999999</v>
      </c>
      <c r="L34" s="4195"/>
      <c r="M34" s="4195">
        <f>M24+M33</f>
        <v>5839.7231000000002</v>
      </c>
      <c r="N34" s="3889">
        <f>N24+N33</f>
        <v>5837.8741</v>
      </c>
      <c r="O34" s="3889">
        <f>M34-N34</f>
        <v>1.8490000000001601</v>
      </c>
    </row>
    <row r="38" spans="1:15">
      <c r="E38" s="4643" t="s">
        <v>5028</v>
      </c>
      <c r="F38" s="4643"/>
      <c r="G38" s="4643" t="s">
        <v>5024</v>
      </c>
      <c r="H38" s="4643"/>
    </row>
    <row r="39" spans="1:15">
      <c r="E39" s="3889" t="s">
        <v>5025</v>
      </c>
      <c r="F39" s="3889" t="s">
        <v>5026</v>
      </c>
      <c r="G39" s="3889" t="s">
        <v>5025</v>
      </c>
      <c r="H39" s="3889" t="s">
        <v>5026</v>
      </c>
    </row>
    <row r="40" spans="1:15">
      <c r="C40" s="3889">
        <v>2016</v>
      </c>
      <c r="E40" s="3889">
        <f>合同租金汇总!I3-1.2</f>
        <v>3.3</v>
      </c>
      <c r="F40" s="3889" t="s">
        <v>5027</v>
      </c>
      <c r="G40" s="3889">
        <f>'2016租金台账'!J38-0.5</f>
        <v>5</v>
      </c>
      <c r="H40" s="3889">
        <f>'2016租金台账'!J48-0.5</f>
        <v>5.3</v>
      </c>
    </row>
    <row r="41" spans="1:15">
      <c r="C41" s="3889">
        <v>2018</v>
      </c>
      <c r="E41" s="3889">
        <f>合同租金汇总!I9-1.2</f>
        <v>7.3</v>
      </c>
      <c r="F41" s="3889" t="s">
        <v>5027</v>
      </c>
      <c r="G41" s="3889">
        <f>佳龙提供租约!E4-1.2</f>
        <v>7.3</v>
      </c>
      <c r="H41" s="3889">
        <f>佳龙提供租约!E15-1.2</f>
        <v>4.8</v>
      </c>
    </row>
  </sheetData>
  <mergeCells count="11">
    <mergeCell ref="A14:M14"/>
    <mergeCell ref="A25:M25"/>
    <mergeCell ref="O14:P14"/>
    <mergeCell ref="E38:F38"/>
    <mergeCell ref="G38:H38"/>
    <mergeCell ref="G27:G28"/>
    <mergeCell ref="G29:G32"/>
    <mergeCell ref="A15:B15"/>
    <mergeCell ref="A26:B26"/>
    <mergeCell ref="G16:G17"/>
    <mergeCell ref="G18:G23"/>
  </mergeCells>
  <phoneticPr fontId="147" type="noConversion"/>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144"/>
  <sheetViews>
    <sheetView topLeftCell="A44" workbookViewId="0">
      <selection activeCell="F43" sqref="F43:G43"/>
    </sheetView>
  </sheetViews>
  <sheetFormatPr defaultColWidth="8.875" defaultRowHeight="14.25"/>
  <cols>
    <col min="1" max="1" width="4.625" style="3770" customWidth="1"/>
    <col min="2" max="2" width="24.5" style="3770" customWidth="1"/>
    <col min="3" max="3" width="6.875" style="3770" customWidth="1"/>
    <col min="4" max="4" width="19.375" style="3770" customWidth="1"/>
    <col min="5" max="5" width="8.875" style="3770"/>
    <col min="6" max="6" width="11.625" style="3770" customWidth="1"/>
    <col min="7" max="7" width="11.125" style="3770" customWidth="1"/>
    <col min="8" max="8" width="8.375" style="3770" customWidth="1"/>
    <col min="9" max="9" width="19.125" style="3770" customWidth="1"/>
    <col min="10" max="10" width="6.125" style="3770" customWidth="1"/>
    <col min="11" max="11" width="15.625" style="3770" customWidth="1"/>
    <col min="12" max="12" width="15.5" style="3770" customWidth="1"/>
    <col min="13" max="13" width="12.125" style="3770" customWidth="1"/>
    <col min="14" max="14" width="19.5" style="3770" customWidth="1"/>
    <col min="15" max="15" width="13.875" style="3770" customWidth="1"/>
    <col min="16" max="256" width="8.875" style="3770"/>
    <col min="257" max="257" width="4.625" style="3770" customWidth="1"/>
    <col min="258" max="258" width="30.125" style="3770" customWidth="1"/>
    <col min="259" max="259" width="6.875" style="3770" customWidth="1"/>
    <col min="260" max="260" width="19.375" style="3770" customWidth="1"/>
    <col min="261" max="261" width="8.875" style="3770"/>
    <col min="262" max="262" width="11.625" style="3770" customWidth="1"/>
    <col min="263" max="263" width="11.125" style="3770" customWidth="1"/>
    <col min="264" max="264" width="8.375" style="3770" customWidth="1"/>
    <col min="265" max="265" width="19.125" style="3770" customWidth="1"/>
    <col min="266" max="266" width="6.125" style="3770" customWidth="1"/>
    <col min="267" max="267" width="15.625" style="3770" customWidth="1"/>
    <col min="268" max="268" width="15.5" style="3770" customWidth="1"/>
    <col min="269" max="269" width="12.125" style="3770" customWidth="1"/>
    <col min="270" max="270" width="19.5" style="3770" customWidth="1"/>
    <col min="271" max="271" width="13.875" style="3770" customWidth="1"/>
    <col min="272" max="512" width="8.875" style="3770"/>
    <col min="513" max="513" width="4.625" style="3770" customWidth="1"/>
    <col min="514" max="514" width="30.125" style="3770" customWidth="1"/>
    <col min="515" max="515" width="6.875" style="3770" customWidth="1"/>
    <col min="516" max="516" width="19.375" style="3770" customWidth="1"/>
    <col min="517" max="517" width="8.875" style="3770"/>
    <col min="518" max="518" width="11.625" style="3770" customWidth="1"/>
    <col min="519" max="519" width="11.125" style="3770" customWidth="1"/>
    <col min="520" max="520" width="8.375" style="3770" customWidth="1"/>
    <col min="521" max="521" width="19.125" style="3770" customWidth="1"/>
    <col min="522" max="522" width="6.125" style="3770" customWidth="1"/>
    <col min="523" max="523" width="15.625" style="3770" customWidth="1"/>
    <col min="524" max="524" width="15.5" style="3770" customWidth="1"/>
    <col min="525" max="525" width="12.125" style="3770" customWidth="1"/>
    <col min="526" max="526" width="19.5" style="3770" customWidth="1"/>
    <col min="527" max="527" width="13.875" style="3770" customWidth="1"/>
    <col min="528" max="768" width="8.875" style="3770"/>
    <col min="769" max="769" width="4.625" style="3770" customWidth="1"/>
    <col min="770" max="770" width="30.125" style="3770" customWidth="1"/>
    <col min="771" max="771" width="6.875" style="3770" customWidth="1"/>
    <col min="772" max="772" width="19.375" style="3770" customWidth="1"/>
    <col min="773" max="773" width="8.875" style="3770"/>
    <col min="774" max="774" width="11.625" style="3770" customWidth="1"/>
    <col min="775" max="775" width="11.125" style="3770" customWidth="1"/>
    <col min="776" max="776" width="8.375" style="3770" customWidth="1"/>
    <col min="777" max="777" width="19.125" style="3770" customWidth="1"/>
    <col min="778" max="778" width="6.125" style="3770" customWidth="1"/>
    <col min="779" max="779" width="15.625" style="3770" customWidth="1"/>
    <col min="780" max="780" width="15.5" style="3770" customWidth="1"/>
    <col min="781" max="781" width="12.125" style="3770" customWidth="1"/>
    <col min="782" max="782" width="19.5" style="3770" customWidth="1"/>
    <col min="783" max="783" width="13.875" style="3770" customWidth="1"/>
    <col min="784" max="1024" width="8.875" style="3770"/>
    <col min="1025" max="1025" width="4.625" style="3770" customWidth="1"/>
    <col min="1026" max="1026" width="30.125" style="3770" customWidth="1"/>
    <col min="1027" max="1027" width="6.875" style="3770" customWidth="1"/>
    <col min="1028" max="1028" width="19.375" style="3770" customWidth="1"/>
    <col min="1029" max="1029" width="8.875" style="3770"/>
    <col min="1030" max="1030" width="11.625" style="3770" customWidth="1"/>
    <col min="1031" max="1031" width="11.125" style="3770" customWidth="1"/>
    <col min="1032" max="1032" width="8.375" style="3770" customWidth="1"/>
    <col min="1033" max="1033" width="19.125" style="3770" customWidth="1"/>
    <col min="1034" max="1034" width="6.125" style="3770" customWidth="1"/>
    <col min="1035" max="1035" width="15.625" style="3770" customWidth="1"/>
    <col min="1036" max="1036" width="15.5" style="3770" customWidth="1"/>
    <col min="1037" max="1037" width="12.125" style="3770" customWidth="1"/>
    <col min="1038" max="1038" width="19.5" style="3770" customWidth="1"/>
    <col min="1039" max="1039" width="13.875" style="3770" customWidth="1"/>
    <col min="1040" max="1280" width="8.875" style="3770"/>
    <col min="1281" max="1281" width="4.625" style="3770" customWidth="1"/>
    <col min="1282" max="1282" width="30.125" style="3770" customWidth="1"/>
    <col min="1283" max="1283" width="6.875" style="3770" customWidth="1"/>
    <col min="1284" max="1284" width="19.375" style="3770" customWidth="1"/>
    <col min="1285" max="1285" width="8.875" style="3770"/>
    <col min="1286" max="1286" width="11.625" style="3770" customWidth="1"/>
    <col min="1287" max="1287" width="11.125" style="3770" customWidth="1"/>
    <col min="1288" max="1288" width="8.375" style="3770" customWidth="1"/>
    <col min="1289" max="1289" width="19.125" style="3770" customWidth="1"/>
    <col min="1290" max="1290" width="6.125" style="3770" customWidth="1"/>
    <col min="1291" max="1291" width="15.625" style="3770" customWidth="1"/>
    <col min="1292" max="1292" width="15.5" style="3770" customWidth="1"/>
    <col min="1293" max="1293" width="12.125" style="3770" customWidth="1"/>
    <col min="1294" max="1294" width="19.5" style="3770" customWidth="1"/>
    <col min="1295" max="1295" width="13.875" style="3770" customWidth="1"/>
    <col min="1296" max="1536" width="8.875" style="3770"/>
    <col min="1537" max="1537" width="4.625" style="3770" customWidth="1"/>
    <col min="1538" max="1538" width="30.125" style="3770" customWidth="1"/>
    <col min="1539" max="1539" width="6.875" style="3770" customWidth="1"/>
    <col min="1540" max="1540" width="19.375" style="3770" customWidth="1"/>
    <col min="1541" max="1541" width="8.875" style="3770"/>
    <col min="1542" max="1542" width="11.625" style="3770" customWidth="1"/>
    <col min="1543" max="1543" width="11.125" style="3770" customWidth="1"/>
    <col min="1544" max="1544" width="8.375" style="3770" customWidth="1"/>
    <col min="1545" max="1545" width="19.125" style="3770" customWidth="1"/>
    <col min="1546" max="1546" width="6.125" style="3770" customWidth="1"/>
    <col min="1547" max="1547" width="15.625" style="3770" customWidth="1"/>
    <col min="1548" max="1548" width="15.5" style="3770" customWidth="1"/>
    <col min="1549" max="1549" width="12.125" style="3770" customWidth="1"/>
    <col min="1550" max="1550" width="19.5" style="3770" customWidth="1"/>
    <col min="1551" max="1551" width="13.875" style="3770" customWidth="1"/>
    <col min="1552" max="1792" width="8.875" style="3770"/>
    <col min="1793" max="1793" width="4.625" style="3770" customWidth="1"/>
    <col min="1794" max="1794" width="30.125" style="3770" customWidth="1"/>
    <col min="1795" max="1795" width="6.875" style="3770" customWidth="1"/>
    <col min="1796" max="1796" width="19.375" style="3770" customWidth="1"/>
    <col min="1797" max="1797" width="8.875" style="3770"/>
    <col min="1798" max="1798" width="11.625" style="3770" customWidth="1"/>
    <col min="1799" max="1799" width="11.125" style="3770" customWidth="1"/>
    <col min="1800" max="1800" width="8.375" style="3770" customWidth="1"/>
    <col min="1801" max="1801" width="19.125" style="3770" customWidth="1"/>
    <col min="1802" max="1802" width="6.125" style="3770" customWidth="1"/>
    <col min="1803" max="1803" width="15.625" style="3770" customWidth="1"/>
    <col min="1804" max="1804" width="15.5" style="3770" customWidth="1"/>
    <col min="1805" max="1805" width="12.125" style="3770" customWidth="1"/>
    <col min="1806" max="1806" width="19.5" style="3770" customWidth="1"/>
    <col min="1807" max="1807" width="13.875" style="3770" customWidth="1"/>
    <col min="1808" max="2048" width="8.875" style="3770"/>
    <col min="2049" max="2049" width="4.625" style="3770" customWidth="1"/>
    <col min="2050" max="2050" width="30.125" style="3770" customWidth="1"/>
    <col min="2051" max="2051" width="6.875" style="3770" customWidth="1"/>
    <col min="2052" max="2052" width="19.375" style="3770" customWidth="1"/>
    <col min="2053" max="2053" width="8.875" style="3770"/>
    <col min="2054" max="2054" width="11.625" style="3770" customWidth="1"/>
    <col min="2055" max="2055" width="11.125" style="3770" customWidth="1"/>
    <col min="2056" max="2056" width="8.375" style="3770" customWidth="1"/>
    <col min="2057" max="2057" width="19.125" style="3770" customWidth="1"/>
    <col min="2058" max="2058" width="6.125" style="3770" customWidth="1"/>
    <col min="2059" max="2059" width="15.625" style="3770" customWidth="1"/>
    <col min="2060" max="2060" width="15.5" style="3770" customWidth="1"/>
    <col min="2061" max="2061" width="12.125" style="3770" customWidth="1"/>
    <col min="2062" max="2062" width="19.5" style="3770" customWidth="1"/>
    <col min="2063" max="2063" width="13.875" style="3770" customWidth="1"/>
    <col min="2064" max="2304" width="8.875" style="3770"/>
    <col min="2305" max="2305" width="4.625" style="3770" customWidth="1"/>
    <col min="2306" max="2306" width="30.125" style="3770" customWidth="1"/>
    <col min="2307" max="2307" width="6.875" style="3770" customWidth="1"/>
    <col min="2308" max="2308" width="19.375" style="3770" customWidth="1"/>
    <col min="2309" max="2309" width="8.875" style="3770"/>
    <col min="2310" max="2310" width="11.625" style="3770" customWidth="1"/>
    <col min="2311" max="2311" width="11.125" style="3770" customWidth="1"/>
    <col min="2312" max="2312" width="8.375" style="3770" customWidth="1"/>
    <col min="2313" max="2313" width="19.125" style="3770" customWidth="1"/>
    <col min="2314" max="2314" width="6.125" style="3770" customWidth="1"/>
    <col min="2315" max="2315" width="15.625" style="3770" customWidth="1"/>
    <col min="2316" max="2316" width="15.5" style="3770" customWidth="1"/>
    <col min="2317" max="2317" width="12.125" style="3770" customWidth="1"/>
    <col min="2318" max="2318" width="19.5" style="3770" customWidth="1"/>
    <col min="2319" max="2319" width="13.875" style="3770" customWidth="1"/>
    <col min="2320" max="2560" width="8.875" style="3770"/>
    <col min="2561" max="2561" width="4.625" style="3770" customWidth="1"/>
    <col min="2562" max="2562" width="30.125" style="3770" customWidth="1"/>
    <col min="2563" max="2563" width="6.875" style="3770" customWidth="1"/>
    <col min="2564" max="2564" width="19.375" style="3770" customWidth="1"/>
    <col min="2565" max="2565" width="8.875" style="3770"/>
    <col min="2566" max="2566" width="11.625" style="3770" customWidth="1"/>
    <col min="2567" max="2567" width="11.125" style="3770" customWidth="1"/>
    <col min="2568" max="2568" width="8.375" style="3770" customWidth="1"/>
    <col min="2569" max="2569" width="19.125" style="3770" customWidth="1"/>
    <col min="2570" max="2570" width="6.125" style="3770" customWidth="1"/>
    <col min="2571" max="2571" width="15.625" style="3770" customWidth="1"/>
    <col min="2572" max="2572" width="15.5" style="3770" customWidth="1"/>
    <col min="2573" max="2573" width="12.125" style="3770" customWidth="1"/>
    <col min="2574" max="2574" width="19.5" style="3770" customWidth="1"/>
    <col min="2575" max="2575" width="13.875" style="3770" customWidth="1"/>
    <col min="2576" max="2816" width="8.875" style="3770"/>
    <col min="2817" max="2817" width="4.625" style="3770" customWidth="1"/>
    <col min="2818" max="2818" width="30.125" style="3770" customWidth="1"/>
    <col min="2819" max="2819" width="6.875" style="3770" customWidth="1"/>
    <col min="2820" max="2820" width="19.375" style="3770" customWidth="1"/>
    <col min="2821" max="2821" width="8.875" style="3770"/>
    <col min="2822" max="2822" width="11.625" style="3770" customWidth="1"/>
    <col min="2823" max="2823" width="11.125" style="3770" customWidth="1"/>
    <col min="2824" max="2824" width="8.375" style="3770" customWidth="1"/>
    <col min="2825" max="2825" width="19.125" style="3770" customWidth="1"/>
    <col min="2826" max="2826" width="6.125" style="3770" customWidth="1"/>
    <col min="2827" max="2827" width="15.625" style="3770" customWidth="1"/>
    <col min="2828" max="2828" width="15.5" style="3770" customWidth="1"/>
    <col min="2829" max="2829" width="12.125" style="3770" customWidth="1"/>
    <col min="2830" max="2830" width="19.5" style="3770" customWidth="1"/>
    <col min="2831" max="2831" width="13.875" style="3770" customWidth="1"/>
    <col min="2832" max="3072" width="8.875" style="3770"/>
    <col min="3073" max="3073" width="4.625" style="3770" customWidth="1"/>
    <col min="3074" max="3074" width="30.125" style="3770" customWidth="1"/>
    <col min="3075" max="3075" width="6.875" style="3770" customWidth="1"/>
    <col min="3076" max="3076" width="19.375" style="3770" customWidth="1"/>
    <col min="3077" max="3077" width="8.875" style="3770"/>
    <col min="3078" max="3078" width="11.625" style="3770" customWidth="1"/>
    <col min="3079" max="3079" width="11.125" style="3770" customWidth="1"/>
    <col min="3080" max="3080" width="8.375" style="3770" customWidth="1"/>
    <col min="3081" max="3081" width="19.125" style="3770" customWidth="1"/>
    <col min="3082" max="3082" width="6.125" style="3770" customWidth="1"/>
    <col min="3083" max="3083" width="15.625" style="3770" customWidth="1"/>
    <col min="3084" max="3084" width="15.5" style="3770" customWidth="1"/>
    <col min="3085" max="3085" width="12.125" style="3770" customWidth="1"/>
    <col min="3086" max="3086" width="19.5" style="3770" customWidth="1"/>
    <col min="3087" max="3087" width="13.875" style="3770" customWidth="1"/>
    <col min="3088" max="3328" width="8.875" style="3770"/>
    <col min="3329" max="3329" width="4.625" style="3770" customWidth="1"/>
    <col min="3330" max="3330" width="30.125" style="3770" customWidth="1"/>
    <col min="3331" max="3331" width="6.875" style="3770" customWidth="1"/>
    <col min="3332" max="3332" width="19.375" style="3770" customWidth="1"/>
    <col min="3333" max="3333" width="8.875" style="3770"/>
    <col min="3334" max="3334" width="11.625" style="3770" customWidth="1"/>
    <col min="3335" max="3335" width="11.125" style="3770" customWidth="1"/>
    <col min="3336" max="3336" width="8.375" style="3770" customWidth="1"/>
    <col min="3337" max="3337" width="19.125" style="3770" customWidth="1"/>
    <col min="3338" max="3338" width="6.125" style="3770" customWidth="1"/>
    <col min="3339" max="3339" width="15.625" style="3770" customWidth="1"/>
    <col min="3340" max="3340" width="15.5" style="3770" customWidth="1"/>
    <col min="3341" max="3341" width="12.125" style="3770" customWidth="1"/>
    <col min="3342" max="3342" width="19.5" style="3770" customWidth="1"/>
    <col min="3343" max="3343" width="13.875" style="3770" customWidth="1"/>
    <col min="3344" max="3584" width="8.875" style="3770"/>
    <col min="3585" max="3585" width="4.625" style="3770" customWidth="1"/>
    <col min="3586" max="3586" width="30.125" style="3770" customWidth="1"/>
    <col min="3587" max="3587" width="6.875" style="3770" customWidth="1"/>
    <col min="3588" max="3588" width="19.375" style="3770" customWidth="1"/>
    <col min="3589" max="3589" width="8.875" style="3770"/>
    <col min="3590" max="3590" width="11.625" style="3770" customWidth="1"/>
    <col min="3591" max="3591" width="11.125" style="3770" customWidth="1"/>
    <col min="3592" max="3592" width="8.375" style="3770" customWidth="1"/>
    <col min="3593" max="3593" width="19.125" style="3770" customWidth="1"/>
    <col min="3594" max="3594" width="6.125" style="3770" customWidth="1"/>
    <col min="3595" max="3595" width="15.625" style="3770" customWidth="1"/>
    <col min="3596" max="3596" width="15.5" style="3770" customWidth="1"/>
    <col min="3597" max="3597" width="12.125" style="3770" customWidth="1"/>
    <col min="3598" max="3598" width="19.5" style="3770" customWidth="1"/>
    <col min="3599" max="3599" width="13.875" style="3770" customWidth="1"/>
    <col min="3600" max="3840" width="8.875" style="3770"/>
    <col min="3841" max="3841" width="4.625" style="3770" customWidth="1"/>
    <col min="3842" max="3842" width="30.125" style="3770" customWidth="1"/>
    <col min="3843" max="3843" width="6.875" style="3770" customWidth="1"/>
    <col min="3844" max="3844" width="19.375" style="3770" customWidth="1"/>
    <col min="3845" max="3845" width="8.875" style="3770"/>
    <col min="3846" max="3846" width="11.625" style="3770" customWidth="1"/>
    <col min="3847" max="3847" width="11.125" style="3770" customWidth="1"/>
    <col min="3848" max="3848" width="8.375" style="3770" customWidth="1"/>
    <col min="3849" max="3849" width="19.125" style="3770" customWidth="1"/>
    <col min="3850" max="3850" width="6.125" style="3770" customWidth="1"/>
    <col min="3851" max="3851" width="15.625" style="3770" customWidth="1"/>
    <col min="3852" max="3852" width="15.5" style="3770" customWidth="1"/>
    <col min="3853" max="3853" width="12.125" style="3770" customWidth="1"/>
    <col min="3854" max="3854" width="19.5" style="3770" customWidth="1"/>
    <col min="3855" max="3855" width="13.875" style="3770" customWidth="1"/>
    <col min="3856" max="4096" width="8.875" style="3770"/>
    <col min="4097" max="4097" width="4.625" style="3770" customWidth="1"/>
    <col min="4098" max="4098" width="30.125" style="3770" customWidth="1"/>
    <col min="4099" max="4099" width="6.875" style="3770" customWidth="1"/>
    <col min="4100" max="4100" width="19.375" style="3770" customWidth="1"/>
    <col min="4101" max="4101" width="8.875" style="3770"/>
    <col min="4102" max="4102" width="11.625" style="3770" customWidth="1"/>
    <col min="4103" max="4103" width="11.125" style="3770" customWidth="1"/>
    <col min="4104" max="4104" width="8.375" style="3770" customWidth="1"/>
    <col min="4105" max="4105" width="19.125" style="3770" customWidth="1"/>
    <col min="4106" max="4106" width="6.125" style="3770" customWidth="1"/>
    <col min="4107" max="4107" width="15.625" style="3770" customWidth="1"/>
    <col min="4108" max="4108" width="15.5" style="3770" customWidth="1"/>
    <col min="4109" max="4109" width="12.125" style="3770" customWidth="1"/>
    <col min="4110" max="4110" width="19.5" style="3770" customWidth="1"/>
    <col min="4111" max="4111" width="13.875" style="3770" customWidth="1"/>
    <col min="4112" max="4352" width="8.875" style="3770"/>
    <col min="4353" max="4353" width="4.625" style="3770" customWidth="1"/>
    <col min="4354" max="4354" width="30.125" style="3770" customWidth="1"/>
    <col min="4355" max="4355" width="6.875" style="3770" customWidth="1"/>
    <col min="4356" max="4356" width="19.375" style="3770" customWidth="1"/>
    <col min="4357" max="4357" width="8.875" style="3770"/>
    <col min="4358" max="4358" width="11.625" style="3770" customWidth="1"/>
    <col min="4359" max="4359" width="11.125" style="3770" customWidth="1"/>
    <col min="4360" max="4360" width="8.375" style="3770" customWidth="1"/>
    <col min="4361" max="4361" width="19.125" style="3770" customWidth="1"/>
    <col min="4362" max="4362" width="6.125" style="3770" customWidth="1"/>
    <col min="4363" max="4363" width="15.625" style="3770" customWidth="1"/>
    <col min="4364" max="4364" width="15.5" style="3770" customWidth="1"/>
    <col min="4365" max="4365" width="12.125" style="3770" customWidth="1"/>
    <col min="4366" max="4366" width="19.5" style="3770" customWidth="1"/>
    <col min="4367" max="4367" width="13.875" style="3770" customWidth="1"/>
    <col min="4368" max="4608" width="8.875" style="3770"/>
    <col min="4609" max="4609" width="4.625" style="3770" customWidth="1"/>
    <col min="4610" max="4610" width="30.125" style="3770" customWidth="1"/>
    <col min="4611" max="4611" width="6.875" style="3770" customWidth="1"/>
    <col min="4612" max="4612" width="19.375" style="3770" customWidth="1"/>
    <col min="4613" max="4613" width="8.875" style="3770"/>
    <col min="4614" max="4614" width="11.625" style="3770" customWidth="1"/>
    <col min="4615" max="4615" width="11.125" style="3770" customWidth="1"/>
    <col min="4616" max="4616" width="8.375" style="3770" customWidth="1"/>
    <col min="4617" max="4617" width="19.125" style="3770" customWidth="1"/>
    <col min="4618" max="4618" width="6.125" style="3770" customWidth="1"/>
    <col min="4619" max="4619" width="15.625" style="3770" customWidth="1"/>
    <col min="4620" max="4620" width="15.5" style="3770" customWidth="1"/>
    <col min="4621" max="4621" width="12.125" style="3770" customWidth="1"/>
    <col min="4622" max="4622" width="19.5" style="3770" customWidth="1"/>
    <col min="4623" max="4623" width="13.875" style="3770" customWidth="1"/>
    <col min="4624" max="4864" width="8.875" style="3770"/>
    <col min="4865" max="4865" width="4.625" style="3770" customWidth="1"/>
    <col min="4866" max="4866" width="30.125" style="3770" customWidth="1"/>
    <col min="4867" max="4867" width="6.875" style="3770" customWidth="1"/>
    <col min="4868" max="4868" width="19.375" style="3770" customWidth="1"/>
    <col min="4869" max="4869" width="8.875" style="3770"/>
    <col min="4870" max="4870" width="11.625" style="3770" customWidth="1"/>
    <col min="4871" max="4871" width="11.125" style="3770" customWidth="1"/>
    <col min="4872" max="4872" width="8.375" style="3770" customWidth="1"/>
    <col min="4873" max="4873" width="19.125" style="3770" customWidth="1"/>
    <col min="4874" max="4874" width="6.125" style="3770" customWidth="1"/>
    <col min="4875" max="4875" width="15.625" style="3770" customWidth="1"/>
    <col min="4876" max="4876" width="15.5" style="3770" customWidth="1"/>
    <col min="4877" max="4877" width="12.125" style="3770" customWidth="1"/>
    <col min="4878" max="4878" width="19.5" style="3770" customWidth="1"/>
    <col min="4879" max="4879" width="13.875" style="3770" customWidth="1"/>
    <col min="4880" max="5120" width="8.875" style="3770"/>
    <col min="5121" max="5121" width="4.625" style="3770" customWidth="1"/>
    <col min="5122" max="5122" width="30.125" style="3770" customWidth="1"/>
    <col min="5123" max="5123" width="6.875" style="3770" customWidth="1"/>
    <col min="5124" max="5124" width="19.375" style="3770" customWidth="1"/>
    <col min="5125" max="5125" width="8.875" style="3770"/>
    <col min="5126" max="5126" width="11.625" style="3770" customWidth="1"/>
    <col min="5127" max="5127" width="11.125" style="3770" customWidth="1"/>
    <col min="5128" max="5128" width="8.375" style="3770" customWidth="1"/>
    <col min="5129" max="5129" width="19.125" style="3770" customWidth="1"/>
    <col min="5130" max="5130" width="6.125" style="3770" customWidth="1"/>
    <col min="5131" max="5131" width="15.625" style="3770" customWidth="1"/>
    <col min="5132" max="5132" width="15.5" style="3770" customWidth="1"/>
    <col min="5133" max="5133" width="12.125" style="3770" customWidth="1"/>
    <col min="5134" max="5134" width="19.5" style="3770" customWidth="1"/>
    <col min="5135" max="5135" width="13.875" style="3770" customWidth="1"/>
    <col min="5136" max="5376" width="8.875" style="3770"/>
    <col min="5377" max="5377" width="4.625" style="3770" customWidth="1"/>
    <col min="5378" max="5378" width="30.125" style="3770" customWidth="1"/>
    <col min="5379" max="5379" width="6.875" style="3770" customWidth="1"/>
    <col min="5380" max="5380" width="19.375" style="3770" customWidth="1"/>
    <col min="5381" max="5381" width="8.875" style="3770"/>
    <col min="5382" max="5382" width="11.625" style="3770" customWidth="1"/>
    <col min="5383" max="5383" width="11.125" style="3770" customWidth="1"/>
    <col min="5384" max="5384" width="8.375" style="3770" customWidth="1"/>
    <col min="5385" max="5385" width="19.125" style="3770" customWidth="1"/>
    <col min="5386" max="5386" width="6.125" style="3770" customWidth="1"/>
    <col min="5387" max="5387" width="15.625" style="3770" customWidth="1"/>
    <col min="5388" max="5388" width="15.5" style="3770" customWidth="1"/>
    <col min="5389" max="5389" width="12.125" style="3770" customWidth="1"/>
    <col min="5390" max="5390" width="19.5" style="3770" customWidth="1"/>
    <col min="5391" max="5391" width="13.875" style="3770" customWidth="1"/>
    <col min="5392" max="5632" width="8.875" style="3770"/>
    <col min="5633" max="5633" width="4.625" style="3770" customWidth="1"/>
    <col min="5634" max="5634" width="30.125" style="3770" customWidth="1"/>
    <col min="5635" max="5635" width="6.875" style="3770" customWidth="1"/>
    <col min="5636" max="5636" width="19.375" style="3770" customWidth="1"/>
    <col min="5637" max="5637" width="8.875" style="3770"/>
    <col min="5638" max="5638" width="11.625" style="3770" customWidth="1"/>
    <col min="5639" max="5639" width="11.125" style="3770" customWidth="1"/>
    <col min="5640" max="5640" width="8.375" style="3770" customWidth="1"/>
    <col min="5641" max="5641" width="19.125" style="3770" customWidth="1"/>
    <col min="5642" max="5642" width="6.125" style="3770" customWidth="1"/>
    <col min="5643" max="5643" width="15.625" style="3770" customWidth="1"/>
    <col min="5644" max="5644" width="15.5" style="3770" customWidth="1"/>
    <col min="5645" max="5645" width="12.125" style="3770" customWidth="1"/>
    <col min="5646" max="5646" width="19.5" style="3770" customWidth="1"/>
    <col min="5647" max="5647" width="13.875" style="3770" customWidth="1"/>
    <col min="5648" max="5888" width="8.875" style="3770"/>
    <col min="5889" max="5889" width="4.625" style="3770" customWidth="1"/>
    <col min="5890" max="5890" width="30.125" style="3770" customWidth="1"/>
    <col min="5891" max="5891" width="6.875" style="3770" customWidth="1"/>
    <col min="5892" max="5892" width="19.375" style="3770" customWidth="1"/>
    <col min="5893" max="5893" width="8.875" style="3770"/>
    <col min="5894" max="5894" width="11.625" style="3770" customWidth="1"/>
    <col min="5895" max="5895" width="11.125" style="3770" customWidth="1"/>
    <col min="5896" max="5896" width="8.375" style="3770" customWidth="1"/>
    <col min="5897" max="5897" width="19.125" style="3770" customWidth="1"/>
    <col min="5898" max="5898" width="6.125" style="3770" customWidth="1"/>
    <col min="5899" max="5899" width="15.625" style="3770" customWidth="1"/>
    <col min="5900" max="5900" width="15.5" style="3770" customWidth="1"/>
    <col min="5901" max="5901" width="12.125" style="3770" customWidth="1"/>
    <col min="5902" max="5902" width="19.5" style="3770" customWidth="1"/>
    <col min="5903" max="5903" width="13.875" style="3770" customWidth="1"/>
    <col min="5904" max="6144" width="8.875" style="3770"/>
    <col min="6145" max="6145" width="4.625" style="3770" customWidth="1"/>
    <col min="6146" max="6146" width="30.125" style="3770" customWidth="1"/>
    <col min="6147" max="6147" width="6.875" style="3770" customWidth="1"/>
    <col min="6148" max="6148" width="19.375" style="3770" customWidth="1"/>
    <col min="6149" max="6149" width="8.875" style="3770"/>
    <col min="6150" max="6150" width="11.625" style="3770" customWidth="1"/>
    <col min="6151" max="6151" width="11.125" style="3770" customWidth="1"/>
    <col min="6152" max="6152" width="8.375" style="3770" customWidth="1"/>
    <col min="6153" max="6153" width="19.125" style="3770" customWidth="1"/>
    <col min="6154" max="6154" width="6.125" style="3770" customWidth="1"/>
    <col min="6155" max="6155" width="15.625" style="3770" customWidth="1"/>
    <col min="6156" max="6156" width="15.5" style="3770" customWidth="1"/>
    <col min="6157" max="6157" width="12.125" style="3770" customWidth="1"/>
    <col min="6158" max="6158" width="19.5" style="3770" customWidth="1"/>
    <col min="6159" max="6159" width="13.875" style="3770" customWidth="1"/>
    <col min="6160" max="6400" width="8.875" style="3770"/>
    <col min="6401" max="6401" width="4.625" style="3770" customWidth="1"/>
    <col min="6402" max="6402" width="30.125" style="3770" customWidth="1"/>
    <col min="6403" max="6403" width="6.875" style="3770" customWidth="1"/>
    <col min="6404" max="6404" width="19.375" style="3770" customWidth="1"/>
    <col min="6405" max="6405" width="8.875" style="3770"/>
    <col min="6406" max="6406" width="11.625" style="3770" customWidth="1"/>
    <col min="6407" max="6407" width="11.125" style="3770" customWidth="1"/>
    <col min="6408" max="6408" width="8.375" style="3770" customWidth="1"/>
    <col min="6409" max="6409" width="19.125" style="3770" customWidth="1"/>
    <col min="6410" max="6410" width="6.125" style="3770" customWidth="1"/>
    <col min="6411" max="6411" width="15.625" style="3770" customWidth="1"/>
    <col min="6412" max="6412" width="15.5" style="3770" customWidth="1"/>
    <col min="6413" max="6413" width="12.125" style="3770" customWidth="1"/>
    <col min="6414" max="6414" width="19.5" style="3770" customWidth="1"/>
    <col min="6415" max="6415" width="13.875" style="3770" customWidth="1"/>
    <col min="6416" max="6656" width="8.875" style="3770"/>
    <col min="6657" max="6657" width="4.625" style="3770" customWidth="1"/>
    <col min="6658" max="6658" width="30.125" style="3770" customWidth="1"/>
    <col min="6659" max="6659" width="6.875" style="3770" customWidth="1"/>
    <col min="6660" max="6660" width="19.375" style="3770" customWidth="1"/>
    <col min="6661" max="6661" width="8.875" style="3770"/>
    <col min="6662" max="6662" width="11.625" style="3770" customWidth="1"/>
    <col min="6663" max="6663" width="11.125" style="3770" customWidth="1"/>
    <col min="6664" max="6664" width="8.375" style="3770" customWidth="1"/>
    <col min="6665" max="6665" width="19.125" style="3770" customWidth="1"/>
    <col min="6666" max="6666" width="6.125" style="3770" customWidth="1"/>
    <col min="6667" max="6667" width="15.625" style="3770" customWidth="1"/>
    <col min="6668" max="6668" width="15.5" style="3770" customWidth="1"/>
    <col min="6669" max="6669" width="12.125" style="3770" customWidth="1"/>
    <col min="6670" max="6670" width="19.5" style="3770" customWidth="1"/>
    <col min="6671" max="6671" width="13.875" style="3770" customWidth="1"/>
    <col min="6672" max="6912" width="8.875" style="3770"/>
    <col min="6913" max="6913" width="4.625" style="3770" customWidth="1"/>
    <col min="6914" max="6914" width="30.125" style="3770" customWidth="1"/>
    <col min="6915" max="6915" width="6.875" style="3770" customWidth="1"/>
    <col min="6916" max="6916" width="19.375" style="3770" customWidth="1"/>
    <col min="6917" max="6917" width="8.875" style="3770"/>
    <col min="6918" max="6918" width="11.625" style="3770" customWidth="1"/>
    <col min="6919" max="6919" width="11.125" style="3770" customWidth="1"/>
    <col min="6920" max="6920" width="8.375" style="3770" customWidth="1"/>
    <col min="6921" max="6921" width="19.125" style="3770" customWidth="1"/>
    <col min="6922" max="6922" width="6.125" style="3770" customWidth="1"/>
    <col min="6923" max="6923" width="15.625" style="3770" customWidth="1"/>
    <col min="6924" max="6924" width="15.5" style="3770" customWidth="1"/>
    <col min="6925" max="6925" width="12.125" style="3770" customWidth="1"/>
    <col min="6926" max="6926" width="19.5" style="3770" customWidth="1"/>
    <col min="6927" max="6927" width="13.875" style="3770" customWidth="1"/>
    <col min="6928" max="7168" width="8.875" style="3770"/>
    <col min="7169" max="7169" width="4.625" style="3770" customWidth="1"/>
    <col min="7170" max="7170" width="30.125" style="3770" customWidth="1"/>
    <col min="7171" max="7171" width="6.875" style="3770" customWidth="1"/>
    <col min="7172" max="7172" width="19.375" style="3770" customWidth="1"/>
    <col min="7173" max="7173" width="8.875" style="3770"/>
    <col min="7174" max="7174" width="11.625" style="3770" customWidth="1"/>
    <col min="7175" max="7175" width="11.125" style="3770" customWidth="1"/>
    <col min="7176" max="7176" width="8.375" style="3770" customWidth="1"/>
    <col min="7177" max="7177" width="19.125" style="3770" customWidth="1"/>
    <col min="7178" max="7178" width="6.125" style="3770" customWidth="1"/>
    <col min="7179" max="7179" width="15.625" style="3770" customWidth="1"/>
    <col min="7180" max="7180" width="15.5" style="3770" customWidth="1"/>
    <col min="7181" max="7181" width="12.125" style="3770" customWidth="1"/>
    <col min="7182" max="7182" width="19.5" style="3770" customWidth="1"/>
    <col min="7183" max="7183" width="13.875" style="3770" customWidth="1"/>
    <col min="7184" max="7424" width="8.875" style="3770"/>
    <col min="7425" max="7425" width="4.625" style="3770" customWidth="1"/>
    <col min="7426" max="7426" width="30.125" style="3770" customWidth="1"/>
    <col min="7427" max="7427" width="6.875" style="3770" customWidth="1"/>
    <col min="7428" max="7428" width="19.375" style="3770" customWidth="1"/>
    <col min="7429" max="7429" width="8.875" style="3770"/>
    <col min="7430" max="7430" width="11.625" style="3770" customWidth="1"/>
    <col min="7431" max="7431" width="11.125" style="3770" customWidth="1"/>
    <col min="7432" max="7432" width="8.375" style="3770" customWidth="1"/>
    <col min="7433" max="7433" width="19.125" style="3770" customWidth="1"/>
    <col min="7434" max="7434" width="6.125" style="3770" customWidth="1"/>
    <col min="7435" max="7435" width="15.625" style="3770" customWidth="1"/>
    <col min="7436" max="7436" width="15.5" style="3770" customWidth="1"/>
    <col min="7437" max="7437" width="12.125" style="3770" customWidth="1"/>
    <col min="7438" max="7438" width="19.5" style="3770" customWidth="1"/>
    <col min="7439" max="7439" width="13.875" style="3770" customWidth="1"/>
    <col min="7440" max="7680" width="8.875" style="3770"/>
    <col min="7681" max="7681" width="4.625" style="3770" customWidth="1"/>
    <col min="7682" max="7682" width="30.125" style="3770" customWidth="1"/>
    <col min="7683" max="7683" width="6.875" style="3770" customWidth="1"/>
    <col min="7684" max="7684" width="19.375" style="3770" customWidth="1"/>
    <col min="7685" max="7685" width="8.875" style="3770"/>
    <col min="7686" max="7686" width="11.625" style="3770" customWidth="1"/>
    <col min="7687" max="7687" width="11.125" style="3770" customWidth="1"/>
    <col min="7688" max="7688" width="8.375" style="3770" customWidth="1"/>
    <col min="7689" max="7689" width="19.125" style="3770" customWidth="1"/>
    <col min="7690" max="7690" width="6.125" style="3770" customWidth="1"/>
    <col min="7691" max="7691" width="15.625" style="3770" customWidth="1"/>
    <col min="7692" max="7692" width="15.5" style="3770" customWidth="1"/>
    <col min="7693" max="7693" width="12.125" style="3770" customWidth="1"/>
    <col min="7694" max="7694" width="19.5" style="3770" customWidth="1"/>
    <col min="7695" max="7695" width="13.875" style="3770" customWidth="1"/>
    <col min="7696" max="7936" width="8.875" style="3770"/>
    <col min="7937" max="7937" width="4.625" style="3770" customWidth="1"/>
    <col min="7938" max="7938" width="30.125" style="3770" customWidth="1"/>
    <col min="7939" max="7939" width="6.875" style="3770" customWidth="1"/>
    <col min="7940" max="7940" width="19.375" style="3770" customWidth="1"/>
    <col min="7941" max="7941" width="8.875" style="3770"/>
    <col min="7942" max="7942" width="11.625" style="3770" customWidth="1"/>
    <col min="7943" max="7943" width="11.125" style="3770" customWidth="1"/>
    <col min="7944" max="7944" width="8.375" style="3770" customWidth="1"/>
    <col min="7945" max="7945" width="19.125" style="3770" customWidth="1"/>
    <col min="7946" max="7946" width="6.125" style="3770" customWidth="1"/>
    <col min="7947" max="7947" width="15.625" style="3770" customWidth="1"/>
    <col min="7948" max="7948" width="15.5" style="3770" customWidth="1"/>
    <col min="7949" max="7949" width="12.125" style="3770" customWidth="1"/>
    <col min="7950" max="7950" width="19.5" style="3770" customWidth="1"/>
    <col min="7951" max="7951" width="13.875" style="3770" customWidth="1"/>
    <col min="7952" max="8192" width="8.875" style="3770"/>
    <col min="8193" max="8193" width="4.625" style="3770" customWidth="1"/>
    <col min="8194" max="8194" width="30.125" style="3770" customWidth="1"/>
    <col min="8195" max="8195" width="6.875" style="3770" customWidth="1"/>
    <col min="8196" max="8196" width="19.375" style="3770" customWidth="1"/>
    <col min="8197" max="8197" width="8.875" style="3770"/>
    <col min="8198" max="8198" width="11.625" style="3770" customWidth="1"/>
    <col min="8199" max="8199" width="11.125" style="3770" customWidth="1"/>
    <col min="8200" max="8200" width="8.375" style="3770" customWidth="1"/>
    <col min="8201" max="8201" width="19.125" style="3770" customWidth="1"/>
    <col min="8202" max="8202" width="6.125" style="3770" customWidth="1"/>
    <col min="8203" max="8203" width="15.625" style="3770" customWidth="1"/>
    <col min="8204" max="8204" width="15.5" style="3770" customWidth="1"/>
    <col min="8205" max="8205" width="12.125" style="3770" customWidth="1"/>
    <col min="8206" max="8206" width="19.5" style="3770" customWidth="1"/>
    <col min="8207" max="8207" width="13.875" style="3770" customWidth="1"/>
    <col min="8208" max="8448" width="8.875" style="3770"/>
    <col min="8449" max="8449" width="4.625" style="3770" customWidth="1"/>
    <col min="8450" max="8450" width="30.125" style="3770" customWidth="1"/>
    <col min="8451" max="8451" width="6.875" style="3770" customWidth="1"/>
    <col min="8452" max="8452" width="19.375" style="3770" customWidth="1"/>
    <col min="8453" max="8453" width="8.875" style="3770"/>
    <col min="8454" max="8454" width="11.625" style="3770" customWidth="1"/>
    <col min="8455" max="8455" width="11.125" style="3770" customWidth="1"/>
    <col min="8456" max="8456" width="8.375" style="3770" customWidth="1"/>
    <col min="8457" max="8457" width="19.125" style="3770" customWidth="1"/>
    <col min="8458" max="8458" width="6.125" style="3770" customWidth="1"/>
    <col min="8459" max="8459" width="15.625" style="3770" customWidth="1"/>
    <col min="8460" max="8460" width="15.5" style="3770" customWidth="1"/>
    <col min="8461" max="8461" width="12.125" style="3770" customWidth="1"/>
    <col min="8462" max="8462" width="19.5" style="3770" customWidth="1"/>
    <col min="8463" max="8463" width="13.875" style="3770" customWidth="1"/>
    <col min="8464" max="8704" width="8.875" style="3770"/>
    <col min="8705" max="8705" width="4.625" style="3770" customWidth="1"/>
    <col min="8706" max="8706" width="30.125" style="3770" customWidth="1"/>
    <col min="8707" max="8707" width="6.875" style="3770" customWidth="1"/>
    <col min="8708" max="8708" width="19.375" style="3770" customWidth="1"/>
    <col min="8709" max="8709" width="8.875" style="3770"/>
    <col min="8710" max="8710" width="11.625" style="3770" customWidth="1"/>
    <col min="8711" max="8711" width="11.125" style="3770" customWidth="1"/>
    <col min="8712" max="8712" width="8.375" style="3770" customWidth="1"/>
    <col min="8713" max="8713" width="19.125" style="3770" customWidth="1"/>
    <col min="8714" max="8714" width="6.125" style="3770" customWidth="1"/>
    <col min="8715" max="8715" width="15.625" style="3770" customWidth="1"/>
    <col min="8716" max="8716" width="15.5" style="3770" customWidth="1"/>
    <col min="8717" max="8717" width="12.125" style="3770" customWidth="1"/>
    <col min="8718" max="8718" width="19.5" style="3770" customWidth="1"/>
    <col min="8719" max="8719" width="13.875" style="3770" customWidth="1"/>
    <col min="8720" max="8960" width="8.875" style="3770"/>
    <col min="8961" max="8961" width="4.625" style="3770" customWidth="1"/>
    <col min="8962" max="8962" width="30.125" style="3770" customWidth="1"/>
    <col min="8963" max="8963" width="6.875" style="3770" customWidth="1"/>
    <col min="8964" max="8964" width="19.375" style="3770" customWidth="1"/>
    <col min="8965" max="8965" width="8.875" style="3770"/>
    <col min="8966" max="8966" width="11.625" style="3770" customWidth="1"/>
    <col min="8967" max="8967" width="11.125" style="3770" customWidth="1"/>
    <col min="8968" max="8968" width="8.375" style="3770" customWidth="1"/>
    <col min="8969" max="8969" width="19.125" style="3770" customWidth="1"/>
    <col min="8970" max="8970" width="6.125" style="3770" customWidth="1"/>
    <col min="8971" max="8971" width="15.625" style="3770" customWidth="1"/>
    <col min="8972" max="8972" width="15.5" style="3770" customWidth="1"/>
    <col min="8973" max="8973" width="12.125" style="3770" customWidth="1"/>
    <col min="8974" max="8974" width="19.5" style="3770" customWidth="1"/>
    <col min="8975" max="8975" width="13.875" style="3770" customWidth="1"/>
    <col min="8976" max="9216" width="8.875" style="3770"/>
    <col min="9217" max="9217" width="4.625" style="3770" customWidth="1"/>
    <col min="9218" max="9218" width="30.125" style="3770" customWidth="1"/>
    <col min="9219" max="9219" width="6.875" style="3770" customWidth="1"/>
    <col min="9220" max="9220" width="19.375" style="3770" customWidth="1"/>
    <col min="9221" max="9221" width="8.875" style="3770"/>
    <col min="9222" max="9222" width="11.625" style="3770" customWidth="1"/>
    <col min="9223" max="9223" width="11.125" style="3770" customWidth="1"/>
    <col min="9224" max="9224" width="8.375" style="3770" customWidth="1"/>
    <col min="9225" max="9225" width="19.125" style="3770" customWidth="1"/>
    <col min="9226" max="9226" width="6.125" style="3770" customWidth="1"/>
    <col min="9227" max="9227" width="15.625" style="3770" customWidth="1"/>
    <col min="9228" max="9228" width="15.5" style="3770" customWidth="1"/>
    <col min="9229" max="9229" width="12.125" style="3770" customWidth="1"/>
    <col min="9230" max="9230" width="19.5" style="3770" customWidth="1"/>
    <col min="9231" max="9231" width="13.875" style="3770" customWidth="1"/>
    <col min="9232" max="9472" width="8.875" style="3770"/>
    <col min="9473" max="9473" width="4.625" style="3770" customWidth="1"/>
    <col min="9474" max="9474" width="30.125" style="3770" customWidth="1"/>
    <col min="9475" max="9475" width="6.875" style="3770" customWidth="1"/>
    <col min="9476" max="9476" width="19.375" style="3770" customWidth="1"/>
    <col min="9477" max="9477" width="8.875" style="3770"/>
    <col min="9478" max="9478" width="11.625" style="3770" customWidth="1"/>
    <col min="9479" max="9479" width="11.125" style="3770" customWidth="1"/>
    <col min="9480" max="9480" width="8.375" style="3770" customWidth="1"/>
    <col min="9481" max="9481" width="19.125" style="3770" customWidth="1"/>
    <col min="9482" max="9482" width="6.125" style="3770" customWidth="1"/>
    <col min="9483" max="9483" width="15.625" style="3770" customWidth="1"/>
    <col min="9484" max="9484" width="15.5" style="3770" customWidth="1"/>
    <col min="9485" max="9485" width="12.125" style="3770" customWidth="1"/>
    <col min="9486" max="9486" width="19.5" style="3770" customWidth="1"/>
    <col min="9487" max="9487" width="13.875" style="3770" customWidth="1"/>
    <col min="9488" max="9728" width="8.875" style="3770"/>
    <col min="9729" max="9729" width="4.625" style="3770" customWidth="1"/>
    <col min="9730" max="9730" width="30.125" style="3770" customWidth="1"/>
    <col min="9731" max="9731" width="6.875" style="3770" customWidth="1"/>
    <col min="9732" max="9732" width="19.375" style="3770" customWidth="1"/>
    <col min="9733" max="9733" width="8.875" style="3770"/>
    <col min="9734" max="9734" width="11.625" style="3770" customWidth="1"/>
    <col min="9735" max="9735" width="11.125" style="3770" customWidth="1"/>
    <col min="9736" max="9736" width="8.375" style="3770" customWidth="1"/>
    <col min="9737" max="9737" width="19.125" style="3770" customWidth="1"/>
    <col min="9738" max="9738" width="6.125" style="3770" customWidth="1"/>
    <col min="9739" max="9739" width="15.625" style="3770" customWidth="1"/>
    <col min="9740" max="9740" width="15.5" style="3770" customWidth="1"/>
    <col min="9741" max="9741" width="12.125" style="3770" customWidth="1"/>
    <col min="9742" max="9742" width="19.5" style="3770" customWidth="1"/>
    <col min="9743" max="9743" width="13.875" style="3770" customWidth="1"/>
    <col min="9744" max="9984" width="8.875" style="3770"/>
    <col min="9985" max="9985" width="4.625" style="3770" customWidth="1"/>
    <col min="9986" max="9986" width="30.125" style="3770" customWidth="1"/>
    <col min="9987" max="9987" width="6.875" style="3770" customWidth="1"/>
    <col min="9988" max="9988" width="19.375" style="3770" customWidth="1"/>
    <col min="9989" max="9989" width="8.875" style="3770"/>
    <col min="9990" max="9990" width="11.625" style="3770" customWidth="1"/>
    <col min="9991" max="9991" width="11.125" style="3770" customWidth="1"/>
    <col min="9992" max="9992" width="8.375" style="3770" customWidth="1"/>
    <col min="9993" max="9993" width="19.125" style="3770" customWidth="1"/>
    <col min="9994" max="9994" width="6.125" style="3770" customWidth="1"/>
    <col min="9995" max="9995" width="15.625" style="3770" customWidth="1"/>
    <col min="9996" max="9996" width="15.5" style="3770" customWidth="1"/>
    <col min="9997" max="9997" width="12.125" style="3770" customWidth="1"/>
    <col min="9998" max="9998" width="19.5" style="3770" customWidth="1"/>
    <col min="9999" max="9999" width="13.875" style="3770" customWidth="1"/>
    <col min="10000" max="10240" width="8.875" style="3770"/>
    <col min="10241" max="10241" width="4.625" style="3770" customWidth="1"/>
    <col min="10242" max="10242" width="30.125" style="3770" customWidth="1"/>
    <col min="10243" max="10243" width="6.875" style="3770" customWidth="1"/>
    <col min="10244" max="10244" width="19.375" style="3770" customWidth="1"/>
    <col min="10245" max="10245" width="8.875" style="3770"/>
    <col min="10246" max="10246" width="11.625" style="3770" customWidth="1"/>
    <col min="10247" max="10247" width="11.125" style="3770" customWidth="1"/>
    <col min="10248" max="10248" width="8.375" style="3770" customWidth="1"/>
    <col min="10249" max="10249" width="19.125" style="3770" customWidth="1"/>
    <col min="10250" max="10250" width="6.125" style="3770" customWidth="1"/>
    <col min="10251" max="10251" width="15.625" style="3770" customWidth="1"/>
    <col min="10252" max="10252" width="15.5" style="3770" customWidth="1"/>
    <col min="10253" max="10253" width="12.125" style="3770" customWidth="1"/>
    <col min="10254" max="10254" width="19.5" style="3770" customWidth="1"/>
    <col min="10255" max="10255" width="13.875" style="3770" customWidth="1"/>
    <col min="10256" max="10496" width="8.875" style="3770"/>
    <col min="10497" max="10497" width="4.625" style="3770" customWidth="1"/>
    <col min="10498" max="10498" width="30.125" style="3770" customWidth="1"/>
    <col min="10499" max="10499" width="6.875" style="3770" customWidth="1"/>
    <col min="10500" max="10500" width="19.375" style="3770" customWidth="1"/>
    <col min="10501" max="10501" width="8.875" style="3770"/>
    <col min="10502" max="10502" width="11.625" style="3770" customWidth="1"/>
    <col min="10503" max="10503" width="11.125" style="3770" customWidth="1"/>
    <col min="10504" max="10504" width="8.375" style="3770" customWidth="1"/>
    <col min="10505" max="10505" width="19.125" style="3770" customWidth="1"/>
    <col min="10506" max="10506" width="6.125" style="3770" customWidth="1"/>
    <col min="10507" max="10507" width="15.625" style="3770" customWidth="1"/>
    <col min="10508" max="10508" width="15.5" style="3770" customWidth="1"/>
    <col min="10509" max="10509" width="12.125" style="3770" customWidth="1"/>
    <col min="10510" max="10510" width="19.5" style="3770" customWidth="1"/>
    <col min="10511" max="10511" width="13.875" style="3770" customWidth="1"/>
    <col min="10512" max="10752" width="8.875" style="3770"/>
    <col min="10753" max="10753" width="4.625" style="3770" customWidth="1"/>
    <col min="10754" max="10754" width="30.125" style="3770" customWidth="1"/>
    <col min="10755" max="10755" width="6.875" style="3770" customWidth="1"/>
    <col min="10756" max="10756" width="19.375" style="3770" customWidth="1"/>
    <col min="10757" max="10757" width="8.875" style="3770"/>
    <col min="10758" max="10758" width="11.625" style="3770" customWidth="1"/>
    <col min="10759" max="10759" width="11.125" style="3770" customWidth="1"/>
    <col min="10760" max="10760" width="8.375" style="3770" customWidth="1"/>
    <col min="10761" max="10761" width="19.125" style="3770" customWidth="1"/>
    <col min="10762" max="10762" width="6.125" style="3770" customWidth="1"/>
    <col min="10763" max="10763" width="15.625" style="3770" customWidth="1"/>
    <col min="10764" max="10764" width="15.5" style="3770" customWidth="1"/>
    <col min="10765" max="10765" width="12.125" style="3770" customWidth="1"/>
    <col min="10766" max="10766" width="19.5" style="3770" customWidth="1"/>
    <col min="10767" max="10767" width="13.875" style="3770" customWidth="1"/>
    <col min="10768" max="11008" width="8.875" style="3770"/>
    <col min="11009" max="11009" width="4.625" style="3770" customWidth="1"/>
    <col min="11010" max="11010" width="30.125" style="3770" customWidth="1"/>
    <col min="11011" max="11011" width="6.875" style="3770" customWidth="1"/>
    <col min="11012" max="11012" width="19.375" style="3770" customWidth="1"/>
    <col min="11013" max="11013" width="8.875" style="3770"/>
    <col min="11014" max="11014" width="11.625" style="3770" customWidth="1"/>
    <col min="11015" max="11015" width="11.125" style="3770" customWidth="1"/>
    <col min="11016" max="11016" width="8.375" style="3770" customWidth="1"/>
    <col min="11017" max="11017" width="19.125" style="3770" customWidth="1"/>
    <col min="11018" max="11018" width="6.125" style="3770" customWidth="1"/>
    <col min="11019" max="11019" width="15.625" style="3770" customWidth="1"/>
    <col min="11020" max="11020" width="15.5" style="3770" customWidth="1"/>
    <col min="11021" max="11021" width="12.125" style="3770" customWidth="1"/>
    <col min="11022" max="11022" width="19.5" style="3770" customWidth="1"/>
    <col min="11023" max="11023" width="13.875" style="3770" customWidth="1"/>
    <col min="11024" max="11264" width="8.875" style="3770"/>
    <col min="11265" max="11265" width="4.625" style="3770" customWidth="1"/>
    <col min="11266" max="11266" width="30.125" style="3770" customWidth="1"/>
    <col min="11267" max="11267" width="6.875" style="3770" customWidth="1"/>
    <col min="11268" max="11268" width="19.375" style="3770" customWidth="1"/>
    <col min="11269" max="11269" width="8.875" style="3770"/>
    <col min="11270" max="11270" width="11.625" style="3770" customWidth="1"/>
    <col min="11271" max="11271" width="11.125" style="3770" customWidth="1"/>
    <col min="11272" max="11272" width="8.375" style="3770" customWidth="1"/>
    <col min="11273" max="11273" width="19.125" style="3770" customWidth="1"/>
    <col min="11274" max="11274" width="6.125" style="3770" customWidth="1"/>
    <col min="11275" max="11275" width="15.625" style="3770" customWidth="1"/>
    <col min="11276" max="11276" width="15.5" style="3770" customWidth="1"/>
    <col min="11277" max="11277" width="12.125" style="3770" customWidth="1"/>
    <col min="11278" max="11278" width="19.5" style="3770" customWidth="1"/>
    <col min="11279" max="11279" width="13.875" style="3770" customWidth="1"/>
    <col min="11280" max="11520" width="8.875" style="3770"/>
    <col min="11521" max="11521" width="4.625" style="3770" customWidth="1"/>
    <col min="11522" max="11522" width="30.125" style="3770" customWidth="1"/>
    <col min="11523" max="11523" width="6.875" style="3770" customWidth="1"/>
    <col min="11524" max="11524" width="19.375" style="3770" customWidth="1"/>
    <col min="11525" max="11525" width="8.875" style="3770"/>
    <col min="11526" max="11526" width="11.625" style="3770" customWidth="1"/>
    <col min="11527" max="11527" width="11.125" style="3770" customWidth="1"/>
    <col min="11528" max="11528" width="8.375" style="3770" customWidth="1"/>
    <col min="11529" max="11529" width="19.125" style="3770" customWidth="1"/>
    <col min="11530" max="11530" width="6.125" style="3770" customWidth="1"/>
    <col min="11531" max="11531" width="15.625" style="3770" customWidth="1"/>
    <col min="11532" max="11532" width="15.5" style="3770" customWidth="1"/>
    <col min="11533" max="11533" width="12.125" style="3770" customWidth="1"/>
    <col min="11534" max="11534" width="19.5" style="3770" customWidth="1"/>
    <col min="11535" max="11535" width="13.875" style="3770" customWidth="1"/>
    <col min="11536" max="11776" width="8.875" style="3770"/>
    <col min="11777" max="11777" width="4.625" style="3770" customWidth="1"/>
    <col min="11778" max="11778" width="30.125" style="3770" customWidth="1"/>
    <col min="11779" max="11779" width="6.875" style="3770" customWidth="1"/>
    <col min="11780" max="11780" width="19.375" style="3770" customWidth="1"/>
    <col min="11781" max="11781" width="8.875" style="3770"/>
    <col min="11782" max="11782" width="11.625" style="3770" customWidth="1"/>
    <col min="11783" max="11783" width="11.125" style="3770" customWidth="1"/>
    <col min="11784" max="11784" width="8.375" style="3770" customWidth="1"/>
    <col min="11785" max="11785" width="19.125" style="3770" customWidth="1"/>
    <col min="11786" max="11786" width="6.125" style="3770" customWidth="1"/>
    <col min="11787" max="11787" width="15.625" style="3770" customWidth="1"/>
    <col min="11788" max="11788" width="15.5" style="3770" customWidth="1"/>
    <col min="11789" max="11789" width="12.125" style="3770" customWidth="1"/>
    <col min="11790" max="11790" width="19.5" style="3770" customWidth="1"/>
    <col min="11791" max="11791" width="13.875" style="3770" customWidth="1"/>
    <col min="11792" max="12032" width="8.875" style="3770"/>
    <col min="12033" max="12033" width="4.625" style="3770" customWidth="1"/>
    <col min="12034" max="12034" width="30.125" style="3770" customWidth="1"/>
    <col min="12035" max="12035" width="6.875" style="3770" customWidth="1"/>
    <col min="12036" max="12036" width="19.375" style="3770" customWidth="1"/>
    <col min="12037" max="12037" width="8.875" style="3770"/>
    <col min="12038" max="12038" width="11.625" style="3770" customWidth="1"/>
    <col min="12039" max="12039" width="11.125" style="3770" customWidth="1"/>
    <col min="12040" max="12040" width="8.375" style="3770" customWidth="1"/>
    <col min="12041" max="12041" width="19.125" style="3770" customWidth="1"/>
    <col min="12042" max="12042" width="6.125" style="3770" customWidth="1"/>
    <col min="12043" max="12043" width="15.625" style="3770" customWidth="1"/>
    <col min="12044" max="12044" width="15.5" style="3770" customWidth="1"/>
    <col min="12045" max="12045" width="12.125" style="3770" customWidth="1"/>
    <col min="12046" max="12046" width="19.5" style="3770" customWidth="1"/>
    <col min="12047" max="12047" width="13.875" style="3770" customWidth="1"/>
    <col min="12048" max="12288" width="8.875" style="3770"/>
    <col min="12289" max="12289" width="4.625" style="3770" customWidth="1"/>
    <col min="12290" max="12290" width="30.125" style="3770" customWidth="1"/>
    <col min="12291" max="12291" width="6.875" style="3770" customWidth="1"/>
    <col min="12292" max="12292" width="19.375" style="3770" customWidth="1"/>
    <col min="12293" max="12293" width="8.875" style="3770"/>
    <col min="12294" max="12294" width="11.625" style="3770" customWidth="1"/>
    <col min="12295" max="12295" width="11.125" style="3770" customWidth="1"/>
    <col min="12296" max="12296" width="8.375" style="3770" customWidth="1"/>
    <col min="12297" max="12297" width="19.125" style="3770" customWidth="1"/>
    <col min="12298" max="12298" width="6.125" style="3770" customWidth="1"/>
    <col min="12299" max="12299" width="15.625" style="3770" customWidth="1"/>
    <col min="12300" max="12300" width="15.5" style="3770" customWidth="1"/>
    <col min="12301" max="12301" width="12.125" style="3770" customWidth="1"/>
    <col min="12302" max="12302" width="19.5" style="3770" customWidth="1"/>
    <col min="12303" max="12303" width="13.875" style="3770" customWidth="1"/>
    <col min="12304" max="12544" width="8.875" style="3770"/>
    <col min="12545" max="12545" width="4.625" style="3770" customWidth="1"/>
    <col min="12546" max="12546" width="30.125" style="3770" customWidth="1"/>
    <col min="12547" max="12547" width="6.875" style="3770" customWidth="1"/>
    <col min="12548" max="12548" width="19.375" style="3770" customWidth="1"/>
    <col min="12549" max="12549" width="8.875" style="3770"/>
    <col min="12550" max="12550" width="11.625" style="3770" customWidth="1"/>
    <col min="12551" max="12551" width="11.125" style="3770" customWidth="1"/>
    <col min="12552" max="12552" width="8.375" style="3770" customWidth="1"/>
    <col min="12553" max="12553" width="19.125" style="3770" customWidth="1"/>
    <col min="12554" max="12554" width="6.125" style="3770" customWidth="1"/>
    <col min="12555" max="12555" width="15.625" style="3770" customWidth="1"/>
    <col min="12556" max="12556" width="15.5" style="3770" customWidth="1"/>
    <col min="12557" max="12557" width="12.125" style="3770" customWidth="1"/>
    <col min="12558" max="12558" width="19.5" style="3770" customWidth="1"/>
    <col min="12559" max="12559" width="13.875" style="3770" customWidth="1"/>
    <col min="12560" max="12800" width="8.875" style="3770"/>
    <col min="12801" max="12801" width="4.625" style="3770" customWidth="1"/>
    <col min="12802" max="12802" width="30.125" style="3770" customWidth="1"/>
    <col min="12803" max="12803" width="6.875" style="3770" customWidth="1"/>
    <col min="12804" max="12804" width="19.375" style="3770" customWidth="1"/>
    <col min="12805" max="12805" width="8.875" style="3770"/>
    <col min="12806" max="12806" width="11.625" style="3770" customWidth="1"/>
    <col min="12807" max="12807" width="11.125" style="3770" customWidth="1"/>
    <col min="12808" max="12808" width="8.375" style="3770" customWidth="1"/>
    <col min="12809" max="12809" width="19.125" style="3770" customWidth="1"/>
    <col min="12810" max="12810" width="6.125" style="3770" customWidth="1"/>
    <col min="12811" max="12811" width="15.625" style="3770" customWidth="1"/>
    <col min="12812" max="12812" width="15.5" style="3770" customWidth="1"/>
    <col min="12813" max="12813" width="12.125" style="3770" customWidth="1"/>
    <col min="12814" max="12814" width="19.5" style="3770" customWidth="1"/>
    <col min="12815" max="12815" width="13.875" style="3770" customWidth="1"/>
    <col min="12816" max="13056" width="8.875" style="3770"/>
    <col min="13057" max="13057" width="4.625" style="3770" customWidth="1"/>
    <col min="13058" max="13058" width="30.125" style="3770" customWidth="1"/>
    <col min="13059" max="13059" width="6.875" style="3770" customWidth="1"/>
    <col min="13060" max="13060" width="19.375" style="3770" customWidth="1"/>
    <col min="13061" max="13061" width="8.875" style="3770"/>
    <col min="13062" max="13062" width="11.625" style="3770" customWidth="1"/>
    <col min="13063" max="13063" width="11.125" style="3770" customWidth="1"/>
    <col min="13064" max="13064" width="8.375" style="3770" customWidth="1"/>
    <col min="13065" max="13065" width="19.125" style="3770" customWidth="1"/>
    <col min="13066" max="13066" width="6.125" style="3770" customWidth="1"/>
    <col min="13067" max="13067" width="15.625" style="3770" customWidth="1"/>
    <col min="13068" max="13068" width="15.5" style="3770" customWidth="1"/>
    <col min="13069" max="13069" width="12.125" style="3770" customWidth="1"/>
    <col min="13070" max="13070" width="19.5" style="3770" customWidth="1"/>
    <col min="13071" max="13071" width="13.875" style="3770" customWidth="1"/>
    <col min="13072" max="13312" width="8.875" style="3770"/>
    <col min="13313" max="13313" width="4.625" style="3770" customWidth="1"/>
    <col min="13314" max="13314" width="30.125" style="3770" customWidth="1"/>
    <col min="13315" max="13315" width="6.875" style="3770" customWidth="1"/>
    <col min="13316" max="13316" width="19.375" style="3770" customWidth="1"/>
    <col min="13317" max="13317" width="8.875" style="3770"/>
    <col min="13318" max="13318" width="11.625" style="3770" customWidth="1"/>
    <col min="13319" max="13319" width="11.125" style="3770" customWidth="1"/>
    <col min="13320" max="13320" width="8.375" style="3770" customWidth="1"/>
    <col min="13321" max="13321" width="19.125" style="3770" customWidth="1"/>
    <col min="13322" max="13322" width="6.125" style="3770" customWidth="1"/>
    <col min="13323" max="13323" width="15.625" style="3770" customWidth="1"/>
    <col min="13324" max="13324" width="15.5" style="3770" customWidth="1"/>
    <col min="13325" max="13325" width="12.125" style="3770" customWidth="1"/>
    <col min="13326" max="13326" width="19.5" style="3770" customWidth="1"/>
    <col min="13327" max="13327" width="13.875" style="3770" customWidth="1"/>
    <col min="13328" max="13568" width="8.875" style="3770"/>
    <col min="13569" max="13569" width="4.625" style="3770" customWidth="1"/>
    <col min="13570" max="13570" width="30.125" style="3770" customWidth="1"/>
    <col min="13571" max="13571" width="6.875" style="3770" customWidth="1"/>
    <col min="13572" max="13572" width="19.375" style="3770" customWidth="1"/>
    <col min="13573" max="13573" width="8.875" style="3770"/>
    <col min="13574" max="13574" width="11.625" style="3770" customWidth="1"/>
    <col min="13575" max="13575" width="11.125" style="3770" customWidth="1"/>
    <col min="13576" max="13576" width="8.375" style="3770" customWidth="1"/>
    <col min="13577" max="13577" width="19.125" style="3770" customWidth="1"/>
    <col min="13578" max="13578" width="6.125" style="3770" customWidth="1"/>
    <col min="13579" max="13579" width="15.625" style="3770" customWidth="1"/>
    <col min="13580" max="13580" width="15.5" style="3770" customWidth="1"/>
    <col min="13581" max="13581" width="12.125" style="3770" customWidth="1"/>
    <col min="13582" max="13582" width="19.5" style="3770" customWidth="1"/>
    <col min="13583" max="13583" width="13.875" style="3770" customWidth="1"/>
    <col min="13584" max="13824" width="8.875" style="3770"/>
    <col min="13825" max="13825" width="4.625" style="3770" customWidth="1"/>
    <col min="13826" max="13826" width="30.125" style="3770" customWidth="1"/>
    <col min="13827" max="13827" width="6.875" style="3770" customWidth="1"/>
    <col min="13828" max="13828" width="19.375" style="3770" customWidth="1"/>
    <col min="13829" max="13829" width="8.875" style="3770"/>
    <col min="13830" max="13830" width="11.625" style="3770" customWidth="1"/>
    <col min="13831" max="13831" width="11.125" style="3770" customWidth="1"/>
    <col min="13832" max="13832" width="8.375" style="3770" customWidth="1"/>
    <col min="13833" max="13833" width="19.125" style="3770" customWidth="1"/>
    <col min="13834" max="13834" width="6.125" style="3770" customWidth="1"/>
    <col min="13835" max="13835" width="15.625" style="3770" customWidth="1"/>
    <col min="13836" max="13836" width="15.5" style="3770" customWidth="1"/>
    <col min="13837" max="13837" width="12.125" style="3770" customWidth="1"/>
    <col min="13838" max="13838" width="19.5" style="3770" customWidth="1"/>
    <col min="13839" max="13839" width="13.875" style="3770" customWidth="1"/>
    <col min="13840" max="14080" width="8.875" style="3770"/>
    <col min="14081" max="14081" width="4.625" style="3770" customWidth="1"/>
    <col min="14082" max="14082" width="30.125" style="3770" customWidth="1"/>
    <col min="14083" max="14083" width="6.875" style="3770" customWidth="1"/>
    <col min="14084" max="14084" width="19.375" style="3770" customWidth="1"/>
    <col min="14085" max="14085" width="8.875" style="3770"/>
    <col min="14086" max="14086" width="11.625" style="3770" customWidth="1"/>
    <col min="14087" max="14087" width="11.125" style="3770" customWidth="1"/>
    <col min="14088" max="14088" width="8.375" style="3770" customWidth="1"/>
    <col min="14089" max="14089" width="19.125" style="3770" customWidth="1"/>
    <col min="14090" max="14090" width="6.125" style="3770" customWidth="1"/>
    <col min="14091" max="14091" width="15.625" style="3770" customWidth="1"/>
    <col min="14092" max="14092" width="15.5" style="3770" customWidth="1"/>
    <col min="14093" max="14093" width="12.125" style="3770" customWidth="1"/>
    <col min="14094" max="14094" width="19.5" style="3770" customWidth="1"/>
    <col min="14095" max="14095" width="13.875" style="3770" customWidth="1"/>
    <col min="14096" max="14336" width="8.875" style="3770"/>
    <col min="14337" max="14337" width="4.625" style="3770" customWidth="1"/>
    <col min="14338" max="14338" width="30.125" style="3770" customWidth="1"/>
    <col min="14339" max="14339" width="6.875" style="3770" customWidth="1"/>
    <col min="14340" max="14340" width="19.375" style="3770" customWidth="1"/>
    <col min="14341" max="14341" width="8.875" style="3770"/>
    <col min="14342" max="14342" width="11.625" style="3770" customWidth="1"/>
    <col min="14343" max="14343" width="11.125" style="3770" customWidth="1"/>
    <col min="14344" max="14344" width="8.375" style="3770" customWidth="1"/>
    <col min="14345" max="14345" width="19.125" style="3770" customWidth="1"/>
    <col min="14346" max="14346" width="6.125" style="3770" customWidth="1"/>
    <col min="14347" max="14347" width="15.625" style="3770" customWidth="1"/>
    <col min="14348" max="14348" width="15.5" style="3770" customWidth="1"/>
    <col min="14349" max="14349" width="12.125" style="3770" customWidth="1"/>
    <col min="14350" max="14350" width="19.5" style="3770" customWidth="1"/>
    <col min="14351" max="14351" width="13.875" style="3770" customWidth="1"/>
    <col min="14352" max="14592" width="8.875" style="3770"/>
    <col min="14593" max="14593" width="4.625" style="3770" customWidth="1"/>
    <col min="14594" max="14594" width="30.125" style="3770" customWidth="1"/>
    <col min="14595" max="14595" width="6.875" style="3770" customWidth="1"/>
    <col min="14596" max="14596" width="19.375" style="3770" customWidth="1"/>
    <col min="14597" max="14597" width="8.875" style="3770"/>
    <col min="14598" max="14598" width="11.625" style="3770" customWidth="1"/>
    <col min="14599" max="14599" width="11.125" style="3770" customWidth="1"/>
    <col min="14600" max="14600" width="8.375" style="3770" customWidth="1"/>
    <col min="14601" max="14601" width="19.125" style="3770" customWidth="1"/>
    <col min="14602" max="14602" width="6.125" style="3770" customWidth="1"/>
    <col min="14603" max="14603" width="15.625" style="3770" customWidth="1"/>
    <col min="14604" max="14604" width="15.5" style="3770" customWidth="1"/>
    <col min="14605" max="14605" width="12.125" style="3770" customWidth="1"/>
    <col min="14606" max="14606" width="19.5" style="3770" customWidth="1"/>
    <col min="14607" max="14607" width="13.875" style="3770" customWidth="1"/>
    <col min="14608" max="14848" width="8.875" style="3770"/>
    <col min="14849" max="14849" width="4.625" style="3770" customWidth="1"/>
    <col min="14850" max="14850" width="30.125" style="3770" customWidth="1"/>
    <col min="14851" max="14851" width="6.875" style="3770" customWidth="1"/>
    <col min="14852" max="14852" width="19.375" style="3770" customWidth="1"/>
    <col min="14853" max="14853" width="8.875" style="3770"/>
    <col min="14854" max="14854" width="11.625" style="3770" customWidth="1"/>
    <col min="14855" max="14855" width="11.125" style="3770" customWidth="1"/>
    <col min="14856" max="14856" width="8.375" style="3770" customWidth="1"/>
    <col min="14857" max="14857" width="19.125" style="3770" customWidth="1"/>
    <col min="14858" max="14858" width="6.125" style="3770" customWidth="1"/>
    <col min="14859" max="14859" width="15.625" style="3770" customWidth="1"/>
    <col min="14860" max="14860" width="15.5" style="3770" customWidth="1"/>
    <col min="14861" max="14861" width="12.125" style="3770" customWidth="1"/>
    <col min="14862" max="14862" width="19.5" style="3770" customWidth="1"/>
    <col min="14863" max="14863" width="13.875" style="3770" customWidth="1"/>
    <col min="14864" max="15104" width="8.875" style="3770"/>
    <col min="15105" max="15105" width="4.625" style="3770" customWidth="1"/>
    <col min="15106" max="15106" width="30.125" style="3770" customWidth="1"/>
    <col min="15107" max="15107" width="6.875" style="3770" customWidth="1"/>
    <col min="15108" max="15108" width="19.375" style="3770" customWidth="1"/>
    <col min="15109" max="15109" width="8.875" style="3770"/>
    <col min="15110" max="15110" width="11.625" style="3770" customWidth="1"/>
    <col min="15111" max="15111" width="11.125" style="3770" customWidth="1"/>
    <col min="15112" max="15112" width="8.375" style="3770" customWidth="1"/>
    <col min="15113" max="15113" width="19.125" style="3770" customWidth="1"/>
    <col min="15114" max="15114" width="6.125" style="3770" customWidth="1"/>
    <col min="15115" max="15115" width="15.625" style="3770" customWidth="1"/>
    <col min="15116" max="15116" width="15.5" style="3770" customWidth="1"/>
    <col min="15117" max="15117" width="12.125" style="3770" customWidth="1"/>
    <col min="15118" max="15118" width="19.5" style="3770" customWidth="1"/>
    <col min="15119" max="15119" width="13.875" style="3770" customWidth="1"/>
    <col min="15120" max="15360" width="8.875" style="3770"/>
    <col min="15361" max="15361" width="4.625" style="3770" customWidth="1"/>
    <col min="15362" max="15362" width="30.125" style="3770" customWidth="1"/>
    <col min="15363" max="15363" width="6.875" style="3770" customWidth="1"/>
    <col min="15364" max="15364" width="19.375" style="3770" customWidth="1"/>
    <col min="15365" max="15365" width="8.875" style="3770"/>
    <col min="15366" max="15366" width="11.625" style="3770" customWidth="1"/>
    <col min="15367" max="15367" width="11.125" style="3770" customWidth="1"/>
    <col min="15368" max="15368" width="8.375" style="3770" customWidth="1"/>
    <col min="15369" max="15369" width="19.125" style="3770" customWidth="1"/>
    <col min="15370" max="15370" width="6.125" style="3770" customWidth="1"/>
    <col min="15371" max="15371" width="15.625" style="3770" customWidth="1"/>
    <col min="15372" max="15372" width="15.5" style="3770" customWidth="1"/>
    <col min="15373" max="15373" width="12.125" style="3770" customWidth="1"/>
    <col min="15374" max="15374" width="19.5" style="3770" customWidth="1"/>
    <col min="15375" max="15375" width="13.875" style="3770" customWidth="1"/>
    <col min="15376" max="15616" width="8.875" style="3770"/>
    <col min="15617" max="15617" width="4.625" style="3770" customWidth="1"/>
    <col min="15618" max="15618" width="30.125" style="3770" customWidth="1"/>
    <col min="15619" max="15619" width="6.875" style="3770" customWidth="1"/>
    <col min="15620" max="15620" width="19.375" style="3770" customWidth="1"/>
    <col min="15621" max="15621" width="8.875" style="3770"/>
    <col min="15622" max="15622" width="11.625" style="3770" customWidth="1"/>
    <col min="15623" max="15623" width="11.125" style="3770" customWidth="1"/>
    <col min="15624" max="15624" width="8.375" style="3770" customWidth="1"/>
    <col min="15625" max="15625" width="19.125" style="3770" customWidth="1"/>
    <col min="15626" max="15626" width="6.125" style="3770" customWidth="1"/>
    <col min="15627" max="15627" width="15.625" style="3770" customWidth="1"/>
    <col min="15628" max="15628" width="15.5" style="3770" customWidth="1"/>
    <col min="15629" max="15629" width="12.125" style="3770" customWidth="1"/>
    <col min="15630" max="15630" width="19.5" style="3770" customWidth="1"/>
    <col min="15631" max="15631" width="13.875" style="3770" customWidth="1"/>
    <col min="15632" max="15872" width="8.875" style="3770"/>
    <col min="15873" max="15873" width="4.625" style="3770" customWidth="1"/>
    <col min="15874" max="15874" width="30.125" style="3770" customWidth="1"/>
    <col min="15875" max="15875" width="6.875" style="3770" customWidth="1"/>
    <col min="15876" max="15876" width="19.375" style="3770" customWidth="1"/>
    <col min="15877" max="15877" width="8.875" style="3770"/>
    <col min="15878" max="15878" width="11.625" style="3770" customWidth="1"/>
    <col min="15879" max="15879" width="11.125" style="3770" customWidth="1"/>
    <col min="15880" max="15880" width="8.375" style="3770" customWidth="1"/>
    <col min="15881" max="15881" width="19.125" style="3770" customWidth="1"/>
    <col min="15882" max="15882" width="6.125" style="3770" customWidth="1"/>
    <col min="15883" max="15883" width="15.625" style="3770" customWidth="1"/>
    <col min="15884" max="15884" width="15.5" style="3770" customWidth="1"/>
    <col min="15885" max="15885" width="12.125" style="3770" customWidth="1"/>
    <col min="15886" max="15886" width="19.5" style="3770" customWidth="1"/>
    <col min="15887" max="15887" width="13.875" style="3770" customWidth="1"/>
    <col min="15888" max="16128" width="8.875" style="3770"/>
    <col min="16129" max="16129" width="4.625" style="3770" customWidth="1"/>
    <col min="16130" max="16130" width="30.125" style="3770" customWidth="1"/>
    <col min="16131" max="16131" width="6.875" style="3770" customWidth="1"/>
    <col min="16132" max="16132" width="19.375" style="3770" customWidth="1"/>
    <col min="16133" max="16133" width="8.875" style="3770"/>
    <col min="16134" max="16134" width="11.625" style="3770" customWidth="1"/>
    <col min="16135" max="16135" width="11.125" style="3770" customWidth="1"/>
    <col min="16136" max="16136" width="8.375" style="3770" customWidth="1"/>
    <col min="16137" max="16137" width="19.125" style="3770" customWidth="1"/>
    <col min="16138" max="16138" width="6.125" style="3770" customWidth="1"/>
    <col min="16139" max="16139" width="15.625" style="3770" customWidth="1"/>
    <col min="16140" max="16140" width="15.5" style="3770" customWidth="1"/>
    <col min="16141" max="16141" width="12.125" style="3770" customWidth="1"/>
    <col min="16142" max="16142" width="19.5" style="3770" customWidth="1"/>
    <col min="16143" max="16143" width="13.875" style="3770" customWidth="1"/>
    <col min="16144" max="16384" width="8.875" style="3770"/>
  </cols>
  <sheetData>
    <row r="1" spans="1:16" ht="25.5">
      <c r="A1" s="4735" t="s">
        <v>3596</v>
      </c>
      <c r="B1" s="4735"/>
      <c r="C1" s="4735"/>
      <c r="D1" s="4735"/>
      <c r="E1" s="4735"/>
      <c r="F1" s="4735"/>
      <c r="G1" s="4735"/>
      <c r="H1" s="4735"/>
      <c r="I1" s="4735"/>
      <c r="J1" s="4735"/>
      <c r="K1" s="4735"/>
      <c r="L1" s="4735"/>
      <c r="M1" s="4735"/>
      <c r="N1" s="4735"/>
      <c r="O1" s="3769"/>
      <c r="P1" s="3769"/>
    </row>
    <row r="2" spans="1:16">
      <c r="A2" s="3771" t="s">
        <v>3100</v>
      </c>
      <c r="B2" s="3772" t="s">
        <v>3597</v>
      </c>
      <c r="C2" s="3771" t="s">
        <v>3598</v>
      </c>
      <c r="D2" s="3771" t="s">
        <v>3599</v>
      </c>
      <c r="E2" s="3771" t="s">
        <v>3600</v>
      </c>
      <c r="F2" s="3771" t="s">
        <v>3601</v>
      </c>
      <c r="G2" s="3773" t="s">
        <v>3602</v>
      </c>
      <c r="H2" s="3771" t="s">
        <v>3603</v>
      </c>
      <c r="I2" s="3774" t="s">
        <v>3604</v>
      </c>
      <c r="J2" s="3774" t="s">
        <v>3605</v>
      </c>
      <c r="K2" s="3775" t="s">
        <v>3606</v>
      </c>
      <c r="L2" s="3776" t="s">
        <v>3607</v>
      </c>
      <c r="M2" s="3771" t="s">
        <v>3608</v>
      </c>
      <c r="N2" s="3771" t="s">
        <v>3609</v>
      </c>
      <c r="O2" s="3771" t="s">
        <v>3610</v>
      </c>
      <c r="P2" s="3769"/>
    </row>
    <row r="3" spans="1:16" hidden="1">
      <c r="A3" s="4653" t="s">
        <v>3611</v>
      </c>
      <c r="B3" s="4655" t="s">
        <v>3612</v>
      </c>
      <c r="C3" s="4653" t="s">
        <v>3613</v>
      </c>
      <c r="D3" s="4653" t="s">
        <v>3614</v>
      </c>
      <c r="E3" s="3777">
        <v>480</v>
      </c>
      <c r="F3" s="4653" t="s">
        <v>3615</v>
      </c>
      <c r="G3" s="4659" t="s">
        <v>3616</v>
      </c>
      <c r="H3" s="4653" t="s">
        <v>3617</v>
      </c>
      <c r="I3" s="3777" t="s">
        <v>3618</v>
      </c>
      <c r="J3" s="3778">
        <v>4</v>
      </c>
      <c r="K3" s="3779">
        <f>E3*J3*365</f>
        <v>700800</v>
      </c>
      <c r="L3" s="4653" t="s">
        <v>3619</v>
      </c>
      <c r="M3" s="4653" t="s">
        <v>3620</v>
      </c>
      <c r="N3" s="4700" t="s">
        <v>3621</v>
      </c>
      <c r="O3" s="3769"/>
      <c r="P3" s="3769"/>
    </row>
    <row r="4" spans="1:16" hidden="1">
      <c r="A4" s="4654"/>
      <c r="B4" s="4656"/>
      <c r="C4" s="4654"/>
      <c r="D4" s="4654"/>
      <c r="E4" s="3777"/>
      <c r="F4" s="4654"/>
      <c r="G4" s="4661"/>
      <c r="H4" s="4654"/>
      <c r="I4" s="3777" t="s">
        <v>3622</v>
      </c>
      <c r="J4" s="3778">
        <v>4</v>
      </c>
      <c r="L4" s="4654"/>
      <c r="M4" s="4654"/>
      <c r="N4" s="4701"/>
      <c r="O4" s="3769"/>
      <c r="P4" s="3769"/>
    </row>
    <row r="5" spans="1:16" hidden="1">
      <c r="A5" s="3777" t="s">
        <v>3623</v>
      </c>
      <c r="B5" s="3780" t="s">
        <v>3624</v>
      </c>
      <c r="C5" s="3777" t="s">
        <v>3613</v>
      </c>
      <c r="D5" s="3777" t="s">
        <v>3625</v>
      </c>
      <c r="E5" s="3777">
        <v>100.83</v>
      </c>
      <c r="F5" s="3777" t="s">
        <v>3626</v>
      </c>
      <c r="G5" s="3781" t="s">
        <v>3627</v>
      </c>
      <c r="H5" s="3777" t="s">
        <v>3628</v>
      </c>
      <c r="I5" s="3777" t="s">
        <v>3629</v>
      </c>
      <c r="J5" s="3778">
        <v>4</v>
      </c>
      <c r="K5" s="3779">
        <f>E5*J5*365</f>
        <v>147211.79999999999</v>
      </c>
      <c r="L5" s="3782" t="s">
        <v>3630</v>
      </c>
      <c r="M5" s="3777" t="s">
        <v>3631</v>
      </c>
      <c r="N5" s="3783" t="s">
        <v>3632</v>
      </c>
      <c r="O5" s="3769"/>
      <c r="P5" s="3769"/>
    </row>
    <row r="6" spans="1:16" hidden="1">
      <c r="A6" s="3777" t="s">
        <v>3633</v>
      </c>
      <c r="B6" s="3780" t="s">
        <v>3634</v>
      </c>
      <c r="C6" s="3777">
        <v>0</v>
      </c>
      <c r="D6" s="3777" t="s">
        <v>3635</v>
      </c>
      <c r="E6" s="3777">
        <v>47.09</v>
      </c>
      <c r="F6" s="3777" t="s">
        <v>3636</v>
      </c>
      <c r="G6" s="3781" t="s">
        <v>3637</v>
      </c>
      <c r="H6" s="3777" t="s">
        <v>3617</v>
      </c>
      <c r="I6" s="3777" t="s">
        <v>3638</v>
      </c>
      <c r="J6" s="3778">
        <v>4</v>
      </c>
      <c r="K6" s="3779">
        <f>E6*J6*365</f>
        <v>68751.400000000009</v>
      </c>
      <c r="L6" s="3782" t="s">
        <v>3639</v>
      </c>
      <c r="M6" s="3777" t="s">
        <v>3640</v>
      </c>
      <c r="N6" s="3783" t="s">
        <v>3632</v>
      </c>
      <c r="O6" s="3769"/>
      <c r="P6" s="3769"/>
    </row>
    <row r="7" spans="1:16" hidden="1">
      <c r="A7" s="4653" t="s">
        <v>3641</v>
      </c>
      <c r="B7" s="4655" t="s">
        <v>3642</v>
      </c>
      <c r="C7" s="4653" t="s">
        <v>3613</v>
      </c>
      <c r="D7" s="4653" t="s">
        <v>3643</v>
      </c>
      <c r="E7" s="3777"/>
      <c r="F7" s="4653" t="s">
        <v>3644</v>
      </c>
      <c r="G7" s="4659" t="s">
        <v>3645</v>
      </c>
      <c r="H7" s="4653" t="s">
        <v>3617</v>
      </c>
      <c r="I7" s="3777" t="s">
        <v>3646</v>
      </c>
      <c r="J7" s="3778">
        <v>4</v>
      </c>
      <c r="K7" s="3779"/>
      <c r="L7" s="4653" t="s">
        <v>3647</v>
      </c>
      <c r="M7" s="4653" t="s">
        <v>3648</v>
      </c>
      <c r="N7" s="4700" t="s">
        <v>3632</v>
      </c>
      <c r="O7" s="3769"/>
      <c r="P7" s="3769"/>
    </row>
    <row r="8" spans="1:16" hidden="1">
      <c r="A8" s="4658"/>
      <c r="B8" s="4662"/>
      <c r="C8" s="4658"/>
      <c r="D8" s="4658"/>
      <c r="E8" s="3777">
        <v>371.81</v>
      </c>
      <c r="F8" s="4658"/>
      <c r="G8" s="4660"/>
      <c r="H8" s="4658"/>
      <c r="I8" s="3777" t="s">
        <v>3649</v>
      </c>
      <c r="J8" s="3778">
        <v>4</v>
      </c>
      <c r="K8" s="3779">
        <v>542842.6</v>
      </c>
      <c r="L8" s="4658"/>
      <c r="M8" s="4658"/>
      <c r="N8" s="4728"/>
      <c r="O8" s="3769"/>
      <c r="P8" s="3769"/>
    </row>
    <row r="9" spans="1:16" hidden="1">
      <c r="A9" s="4654"/>
      <c r="B9" s="4656"/>
      <c r="C9" s="4654"/>
      <c r="D9" s="4654"/>
      <c r="E9" s="3777"/>
      <c r="F9" s="4654"/>
      <c r="G9" s="4661"/>
      <c r="H9" s="4654"/>
      <c r="I9" s="3777" t="s">
        <v>3650</v>
      </c>
      <c r="J9" s="3778">
        <v>4</v>
      </c>
      <c r="K9" s="3779"/>
      <c r="L9" s="4654"/>
      <c r="M9" s="4654"/>
      <c r="N9" s="4701"/>
      <c r="O9" s="3769"/>
      <c r="P9" s="3769"/>
    </row>
    <row r="10" spans="1:16" hidden="1">
      <c r="A10" s="3777" t="s">
        <v>3651</v>
      </c>
      <c r="B10" s="3780" t="s">
        <v>3652</v>
      </c>
      <c r="C10" s="3777" t="s">
        <v>3613</v>
      </c>
      <c r="D10" s="3777" t="s">
        <v>3653</v>
      </c>
      <c r="E10" s="3777">
        <v>425.71</v>
      </c>
      <c r="F10" s="3777" t="s">
        <v>3654</v>
      </c>
      <c r="G10" s="3781" t="s">
        <v>3655</v>
      </c>
      <c r="H10" s="3777" t="s">
        <v>3617</v>
      </c>
      <c r="I10" s="3777" t="s">
        <v>3656</v>
      </c>
      <c r="J10" s="3778">
        <v>4</v>
      </c>
      <c r="K10" s="3784">
        <v>621536.6</v>
      </c>
      <c r="L10" s="3782" t="s">
        <v>3619</v>
      </c>
      <c r="M10" s="3777" t="s">
        <v>3657</v>
      </c>
      <c r="N10" s="3783" t="s">
        <v>3632</v>
      </c>
      <c r="O10" s="3769"/>
      <c r="P10" s="3769"/>
    </row>
    <row r="11" spans="1:16" hidden="1">
      <c r="A11" s="4653" t="s">
        <v>3658</v>
      </c>
      <c r="B11" s="4655" t="s">
        <v>3659</v>
      </c>
      <c r="C11" s="4653" t="s">
        <v>3613</v>
      </c>
      <c r="D11" s="4653" t="s">
        <v>3660</v>
      </c>
      <c r="E11" s="3777"/>
      <c r="F11" s="4653" t="s">
        <v>3661</v>
      </c>
      <c r="G11" s="4659" t="s">
        <v>3662</v>
      </c>
      <c r="H11" s="4653" t="s">
        <v>3617</v>
      </c>
      <c r="I11" s="3777" t="s">
        <v>3663</v>
      </c>
      <c r="J11" s="3778">
        <v>4</v>
      </c>
      <c r="K11" s="3779"/>
      <c r="L11" s="4653" t="s">
        <v>3639</v>
      </c>
      <c r="M11" s="4653" t="s">
        <v>3664</v>
      </c>
      <c r="N11" s="4700" t="s">
        <v>3632</v>
      </c>
      <c r="O11" s="3769"/>
      <c r="P11" s="3769"/>
    </row>
    <row r="12" spans="1:16" hidden="1">
      <c r="A12" s="4658"/>
      <c r="B12" s="4662"/>
      <c r="C12" s="4658"/>
      <c r="D12" s="4658"/>
      <c r="E12" s="3777"/>
      <c r="F12" s="4658"/>
      <c r="G12" s="4660"/>
      <c r="H12" s="4658"/>
      <c r="I12" s="3777" t="s">
        <v>3665</v>
      </c>
      <c r="J12" s="3778">
        <v>4</v>
      </c>
      <c r="K12" s="3779">
        <v>283970</v>
      </c>
      <c r="L12" s="4658"/>
      <c r="M12" s="4658"/>
      <c r="N12" s="4728"/>
      <c r="O12" s="3769"/>
      <c r="P12" s="3769"/>
    </row>
    <row r="13" spans="1:16" hidden="1">
      <c r="A13" s="4654"/>
      <c r="B13" s="4656"/>
      <c r="C13" s="4654"/>
      <c r="D13" s="4654"/>
      <c r="E13" s="3777">
        <v>194.5</v>
      </c>
      <c r="F13" s="4654"/>
      <c r="G13" s="4661"/>
      <c r="H13" s="4654"/>
      <c r="I13" s="3777" t="s">
        <v>3666</v>
      </c>
      <c r="J13" s="3778">
        <v>4</v>
      </c>
      <c r="L13" s="4654"/>
      <c r="M13" s="4654"/>
      <c r="N13" s="4701"/>
      <c r="O13" s="3769"/>
      <c r="P13" s="3769"/>
    </row>
    <row r="14" spans="1:16" hidden="1">
      <c r="A14" s="4653" t="s">
        <v>3667</v>
      </c>
      <c r="B14" s="4655" t="s">
        <v>3668</v>
      </c>
      <c r="C14" s="4653" t="s">
        <v>3669</v>
      </c>
      <c r="D14" s="4653" t="s">
        <v>3670</v>
      </c>
      <c r="E14" s="3785"/>
      <c r="F14" s="4653" t="s">
        <v>3671</v>
      </c>
      <c r="G14" s="4659" t="s">
        <v>3655</v>
      </c>
      <c r="H14" s="4653" t="s">
        <v>3617</v>
      </c>
      <c r="I14" s="3777" t="s">
        <v>3672</v>
      </c>
      <c r="J14" s="3778">
        <v>4</v>
      </c>
      <c r="K14" s="3779"/>
      <c r="L14" s="4653" t="s">
        <v>3619</v>
      </c>
      <c r="M14" s="4653" t="s">
        <v>3673</v>
      </c>
      <c r="N14" s="4700" t="s">
        <v>3632</v>
      </c>
      <c r="O14" s="3769"/>
      <c r="P14" s="3769"/>
    </row>
    <row r="15" spans="1:16" hidden="1">
      <c r="A15" s="4654"/>
      <c r="B15" s="4656"/>
      <c r="C15" s="4654"/>
      <c r="D15" s="4654"/>
      <c r="E15" s="3785">
        <v>265.22000000000003</v>
      </c>
      <c r="F15" s="4654"/>
      <c r="G15" s="4661"/>
      <c r="H15" s="4654"/>
      <c r="I15" s="3777" t="s">
        <v>3656</v>
      </c>
      <c r="J15" s="3778">
        <v>4</v>
      </c>
      <c r="K15" s="3779">
        <v>387221.2</v>
      </c>
      <c r="L15" s="4654"/>
      <c r="M15" s="4654"/>
      <c r="N15" s="4701"/>
      <c r="O15" s="3769"/>
      <c r="P15" s="3769"/>
    </row>
    <row r="16" spans="1:16" hidden="1">
      <c r="A16" s="4653" t="s">
        <v>3674</v>
      </c>
      <c r="B16" s="4664" t="s">
        <v>3675</v>
      </c>
      <c r="C16" s="4653" t="s">
        <v>3613</v>
      </c>
      <c r="D16" s="4653" t="s">
        <v>3670</v>
      </c>
      <c r="E16" s="3777">
        <v>788.06</v>
      </c>
      <c r="F16" s="3785" t="s">
        <v>3676</v>
      </c>
      <c r="G16" s="3786" t="s">
        <v>3677</v>
      </c>
      <c r="H16" s="3785" t="s">
        <v>3617</v>
      </c>
      <c r="I16" s="3777" t="s">
        <v>3678</v>
      </c>
      <c r="J16" s="3778">
        <v>4</v>
      </c>
      <c r="K16" s="3779">
        <v>1150567.6000000001</v>
      </c>
      <c r="L16" s="4653" t="s">
        <v>3619</v>
      </c>
      <c r="M16" s="3785" t="s">
        <v>3679</v>
      </c>
      <c r="N16" s="3787" t="s">
        <v>3632</v>
      </c>
      <c r="O16" s="3769"/>
      <c r="P16" s="3769"/>
    </row>
    <row r="17" spans="1:16" hidden="1">
      <c r="A17" s="4654"/>
      <c r="B17" s="4666"/>
      <c r="C17" s="4654"/>
      <c r="D17" s="4654"/>
      <c r="E17" s="3777"/>
      <c r="F17" s="3785" t="s">
        <v>3680</v>
      </c>
      <c r="G17" s="3786" t="s">
        <v>3681</v>
      </c>
      <c r="H17" s="3785" t="s">
        <v>3617</v>
      </c>
      <c r="I17" s="3777" t="s">
        <v>3682</v>
      </c>
      <c r="J17" s="3778">
        <v>4</v>
      </c>
      <c r="K17" s="3779"/>
      <c r="L17" s="4654"/>
      <c r="M17" s="3785"/>
      <c r="N17" s="3787"/>
      <c r="O17" s="3769"/>
      <c r="P17" s="3769"/>
    </row>
    <row r="18" spans="1:16" hidden="1">
      <c r="A18" s="3777" t="s">
        <v>3683</v>
      </c>
      <c r="B18" s="3780" t="s">
        <v>3684</v>
      </c>
      <c r="C18" s="3777" t="s">
        <v>3613</v>
      </c>
      <c r="D18" s="3777" t="s">
        <v>3685</v>
      </c>
      <c r="E18" s="3777">
        <v>40</v>
      </c>
      <c r="F18" s="3777" t="s">
        <v>3686</v>
      </c>
      <c r="G18" s="3781" t="s">
        <v>3687</v>
      </c>
      <c r="H18" s="3777" t="s">
        <v>3628</v>
      </c>
      <c r="I18" s="3777" t="s">
        <v>3688</v>
      </c>
      <c r="J18" s="3778">
        <v>4</v>
      </c>
      <c r="K18" s="3779">
        <v>58400</v>
      </c>
      <c r="L18" s="3782" t="s">
        <v>3689</v>
      </c>
      <c r="M18" s="3777" t="s">
        <v>3690</v>
      </c>
      <c r="N18" s="3783" t="s">
        <v>3632</v>
      </c>
      <c r="O18" s="3769"/>
      <c r="P18" s="3769"/>
    </row>
    <row r="19" spans="1:16" hidden="1">
      <c r="A19" s="4714" t="s">
        <v>3691</v>
      </c>
      <c r="B19" s="4729" t="s">
        <v>3692</v>
      </c>
      <c r="C19" s="4714" t="s">
        <v>3613</v>
      </c>
      <c r="D19" s="4714" t="s">
        <v>3693</v>
      </c>
      <c r="E19" s="3788"/>
      <c r="F19" s="3789" t="s">
        <v>3694</v>
      </c>
      <c r="G19" s="3786" t="s">
        <v>3695</v>
      </c>
      <c r="H19" s="4714" t="s">
        <v>3696</v>
      </c>
      <c r="I19" s="3788" t="s">
        <v>3697</v>
      </c>
      <c r="J19" s="3778">
        <v>4</v>
      </c>
      <c r="K19" s="3779">
        <v>27156</v>
      </c>
      <c r="L19" s="4714" t="s">
        <v>3698</v>
      </c>
      <c r="M19" s="4714" t="s">
        <v>3699</v>
      </c>
      <c r="N19" s="4733" t="s">
        <v>3632</v>
      </c>
      <c r="O19" s="3769"/>
      <c r="P19" s="3769"/>
    </row>
    <row r="20" spans="1:16" hidden="1">
      <c r="A20" s="4715"/>
      <c r="B20" s="4730"/>
      <c r="C20" s="4715"/>
      <c r="D20" s="4715"/>
      <c r="E20" s="3788">
        <v>18.600000000000001</v>
      </c>
      <c r="F20" s="3789" t="s">
        <v>3694</v>
      </c>
      <c r="G20" s="3786" t="s">
        <v>3700</v>
      </c>
      <c r="H20" s="4715"/>
      <c r="I20" s="3788" t="s">
        <v>3701</v>
      </c>
      <c r="J20" s="3778">
        <v>4</v>
      </c>
      <c r="K20" s="3790"/>
      <c r="L20" s="4715"/>
      <c r="M20" s="4715"/>
      <c r="N20" s="4734"/>
      <c r="O20" s="3769"/>
      <c r="P20" s="3769"/>
    </row>
    <row r="21" spans="1:16" hidden="1">
      <c r="A21" s="3777" t="s">
        <v>3702</v>
      </c>
      <c r="B21" s="3780" t="s">
        <v>3703</v>
      </c>
      <c r="C21" s="3777" t="s">
        <v>3613</v>
      </c>
      <c r="D21" s="3777" t="s">
        <v>3704</v>
      </c>
      <c r="E21" s="3777">
        <v>20</v>
      </c>
      <c r="F21" s="3777" t="s">
        <v>3705</v>
      </c>
      <c r="G21" s="3781" t="s">
        <v>3706</v>
      </c>
      <c r="H21" s="3777" t="s">
        <v>3628</v>
      </c>
      <c r="I21" s="3777" t="s">
        <v>3707</v>
      </c>
      <c r="J21" s="3778">
        <v>4</v>
      </c>
      <c r="K21" s="3779">
        <v>29200</v>
      </c>
      <c r="L21" s="3782" t="s">
        <v>3708</v>
      </c>
      <c r="M21" s="3777" t="s">
        <v>3709</v>
      </c>
      <c r="N21" s="3783" t="s">
        <v>3632</v>
      </c>
      <c r="O21" s="3769"/>
      <c r="P21" s="3769"/>
    </row>
    <row r="22" spans="1:16" hidden="1">
      <c r="A22" s="3777" t="s">
        <v>3710</v>
      </c>
      <c r="B22" s="3780" t="s">
        <v>3692</v>
      </c>
      <c r="C22" s="3777" t="s">
        <v>3613</v>
      </c>
      <c r="D22" s="3777" t="s">
        <v>3711</v>
      </c>
      <c r="E22" s="3777">
        <v>38.72</v>
      </c>
      <c r="F22" s="3777" t="s">
        <v>3657</v>
      </c>
      <c r="G22" s="3781" t="s">
        <v>3695</v>
      </c>
      <c r="H22" s="3777" t="s">
        <v>3696</v>
      </c>
      <c r="I22" s="3777" t="s">
        <v>3701</v>
      </c>
      <c r="J22" s="3778">
        <v>4</v>
      </c>
      <c r="K22" s="3779">
        <v>56531.199999999997</v>
      </c>
      <c r="L22" s="3782" t="s">
        <v>3712</v>
      </c>
      <c r="M22" s="3777" t="s">
        <v>3699</v>
      </c>
      <c r="N22" s="3783" t="s">
        <v>3632</v>
      </c>
      <c r="O22" s="3769"/>
      <c r="P22" s="3769"/>
    </row>
    <row r="23" spans="1:16" hidden="1">
      <c r="A23" s="3777" t="s">
        <v>3713</v>
      </c>
      <c r="B23" s="3780" t="s">
        <v>3714</v>
      </c>
      <c r="C23" s="3777" t="s">
        <v>3613</v>
      </c>
      <c r="D23" s="3777" t="s">
        <v>3715</v>
      </c>
      <c r="E23" s="3777">
        <v>31.81</v>
      </c>
      <c r="F23" s="3777" t="s">
        <v>3716</v>
      </c>
      <c r="G23" s="3781" t="s">
        <v>3717</v>
      </c>
      <c r="H23" s="3777" t="s">
        <v>3696</v>
      </c>
      <c r="I23" s="3777" t="s">
        <v>3718</v>
      </c>
      <c r="J23" s="3778">
        <v>4</v>
      </c>
      <c r="K23" s="3779">
        <v>46442.6</v>
      </c>
      <c r="L23" s="3782" t="s">
        <v>3719</v>
      </c>
      <c r="M23" s="3777" t="s">
        <v>3716</v>
      </c>
      <c r="N23" s="3783" t="s">
        <v>3632</v>
      </c>
      <c r="O23" s="3769"/>
      <c r="P23" s="3769"/>
    </row>
    <row r="24" spans="1:16" hidden="1">
      <c r="A24" s="3777" t="s">
        <v>3720</v>
      </c>
      <c r="B24" s="3780" t="s">
        <v>3721</v>
      </c>
      <c r="C24" s="3777" t="s">
        <v>3669</v>
      </c>
      <c r="D24" s="3777" t="s">
        <v>3722</v>
      </c>
      <c r="E24" s="3777">
        <v>38.72</v>
      </c>
      <c r="F24" s="3777" t="s">
        <v>3723</v>
      </c>
      <c r="G24" s="3781" t="s">
        <v>3724</v>
      </c>
      <c r="H24" s="3777" t="s">
        <v>3617</v>
      </c>
      <c r="I24" s="3777" t="s">
        <v>3725</v>
      </c>
      <c r="J24" s="3778">
        <v>4</v>
      </c>
      <c r="K24" s="3779">
        <v>56531.199999999997</v>
      </c>
      <c r="L24" s="3782" t="s">
        <v>3726</v>
      </c>
      <c r="M24" s="3777" t="s">
        <v>3727</v>
      </c>
      <c r="N24" s="3783" t="s">
        <v>3632</v>
      </c>
      <c r="O24" s="3769"/>
      <c r="P24" s="3769"/>
    </row>
    <row r="25" spans="1:16" hidden="1">
      <c r="A25" s="4653" t="s">
        <v>3728</v>
      </c>
      <c r="B25" s="4664" t="s">
        <v>3729</v>
      </c>
      <c r="C25" s="4653" t="s">
        <v>3669</v>
      </c>
      <c r="D25" s="4653" t="s">
        <v>3730</v>
      </c>
      <c r="E25" s="3777"/>
      <c r="F25" s="4653" t="s">
        <v>3731</v>
      </c>
      <c r="G25" s="4659" t="s">
        <v>3732</v>
      </c>
      <c r="H25" s="4653" t="s">
        <v>3617</v>
      </c>
      <c r="I25" s="4653" t="s">
        <v>3733</v>
      </c>
      <c r="J25" s="3778">
        <v>4</v>
      </c>
      <c r="K25" s="3779"/>
      <c r="L25" s="4653" t="s">
        <v>3639</v>
      </c>
      <c r="M25" s="4653" t="s">
        <v>3734</v>
      </c>
      <c r="N25" s="4700" t="s">
        <v>3632</v>
      </c>
      <c r="O25" s="3769"/>
      <c r="P25" s="3769"/>
    </row>
    <row r="26" spans="1:16" hidden="1">
      <c r="A26" s="4658"/>
      <c r="B26" s="4665"/>
      <c r="C26" s="4658"/>
      <c r="D26" s="4658"/>
      <c r="E26" s="3777">
        <v>380</v>
      </c>
      <c r="F26" s="4658"/>
      <c r="G26" s="4660"/>
      <c r="H26" s="4658"/>
      <c r="I26" s="4658"/>
      <c r="J26" s="3778">
        <v>4</v>
      </c>
      <c r="K26" s="3779">
        <v>554800</v>
      </c>
      <c r="L26" s="4658"/>
      <c r="M26" s="4658"/>
      <c r="N26" s="4728"/>
      <c r="O26" s="3769"/>
      <c r="P26" s="3769"/>
    </row>
    <row r="27" spans="1:16" hidden="1">
      <c r="A27" s="4654"/>
      <c r="B27" s="4666"/>
      <c r="C27" s="4654"/>
      <c r="D27" s="4654"/>
      <c r="E27" s="3777"/>
      <c r="F27" s="4654"/>
      <c r="G27" s="4661"/>
      <c r="H27" s="4654"/>
      <c r="I27" s="4654"/>
      <c r="J27" s="3778">
        <v>4</v>
      </c>
      <c r="K27" s="3779"/>
      <c r="L27" s="4654"/>
      <c r="M27" s="4654"/>
      <c r="N27" s="4701"/>
      <c r="O27" s="3769"/>
      <c r="P27" s="3769"/>
    </row>
    <row r="28" spans="1:16" hidden="1">
      <c r="A28" s="4653" t="s">
        <v>3735</v>
      </c>
      <c r="B28" s="4727" t="s">
        <v>3736</v>
      </c>
      <c r="C28" s="4652" t="s">
        <v>3669</v>
      </c>
      <c r="D28" s="4652" t="s">
        <v>3737</v>
      </c>
      <c r="E28" s="3777"/>
      <c r="F28" s="3777" t="s">
        <v>3738</v>
      </c>
      <c r="G28" s="3781" t="s">
        <v>3739</v>
      </c>
      <c r="H28" s="4653" t="s">
        <v>3617</v>
      </c>
      <c r="I28" s="3777" t="s">
        <v>3740</v>
      </c>
      <c r="J28" s="3778">
        <v>4</v>
      </c>
      <c r="K28" s="3779">
        <v>139619.79999999999</v>
      </c>
      <c r="L28" s="4653" t="s">
        <v>3639</v>
      </c>
      <c r="M28" s="4653" t="s">
        <v>3734</v>
      </c>
      <c r="N28" s="4700" t="s">
        <v>3632</v>
      </c>
      <c r="O28" s="3769"/>
      <c r="P28" s="3769"/>
    </row>
    <row r="29" spans="1:16" hidden="1">
      <c r="A29" s="4658"/>
      <c r="B29" s="4727"/>
      <c r="C29" s="4652"/>
      <c r="D29" s="4652"/>
      <c r="E29" s="3777"/>
      <c r="F29" s="3777" t="s">
        <v>3741</v>
      </c>
      <c r="G29" s="3781" t="s">
        <v>3742</v>
      </c>
      <c r="H29" s="4658"/>
      <c r="I29" s="3777" t="s">
        <v>3743</v>
      </c>
      <c r="J29" s="3778">
        <v>4</v>
      </c>
      <c r="L29" s="4658"/>
      <c r="M29" s="4658"/>
      <c r="N29" s="4728"/>
      <c r="O29" s="3769"/>
      <c r="P29" s="3769"/>
    </row>
    <row r="30" spans="1:16" hidden="1">
      <c r="A30" s="4658"/>
      <c r="B30" s="4727"/>
      <c r="C30" s="4652"/>
      <c r="D30" s="4652"/>
      <c r="E30" s="3777">
        <v>95.63</v>
      </c>
      <c r="F30" s="3777" t="s">
        <v>3744</v>
      </c>
      <c r="G30" s="3781" t="s">
        <v>3732</v>
      </c>
      <c r="H30" s="4658"/>
      <c r="I30" s="3777" t="s">
        <v>3745</v>
      </c>
      <c r="J30" s="3778">
        <v>4</v>
      </c>
      <c r="K30" s="3779"/>
      <c r="L30" s="4658"/>
      <c r="M30" s="4658"/>
      <c r="N30" s="4728"/>
      <c r="O30" s="3769"/>
      <c r="P30" s="3769"/>
    </row>
    <row r="31" spans="1:16" s="3798" customFormat="1" hidden="1">
      <c r="A31" s="3791"/>
      <c r="B31" s="4657" t="s">
        <v>3746</v>
      </c>
      <c r="C31" s="4657"/>
      <c r="D31" s="4657"/>
      <c r="E31" s="3792">
        <f>SUM(E3:E30)</f>
        <v>3336.7</v>
      </c>
      <c r="F31" s="3792"/>
      <c r="G31" s="3793"/>
      <c r="H31" s="3792"/>
      <c r="I31" s="3792"/>
      <c r="J31" s="3794"/>
      <c r="K31" s="3795"/>
      <c r="L31" s="3791"/>
      <c r="M31" s="3791"/>
      <c r="N31" s="3796"/>
      <c r="O31" s="3797"/>
      <c r="P31" s="3797"/>
    </row>
    <row r="32" spans="1:16">
      <c r="A32" s="3799" t="s">
        <v>3747</v>
      </c>
      <c r="B32" s="3800" t="s">
        <v>3748</v>
      </c>
      <c r="C32" s="3788" t="s">
        <v>3613</v>
      </c>
      <c r="D32" s="3788" t="s">
        <v>3749</v>
      </c>
      <c r="E32" s="3801">
        <v>25</v>
      </c>
      <c r="F32" s="4153" t="s">
        <v>3716</v>
      </c>
      <c r="G32" s="3781" t="s">
        <v>3717</v>
      </c>
      <c r="H32" s="3788" t="s">
        <v>3696</v>
      </c>
      <c r="I32" s="3802" t="s">
        <v>3718</v>
      </c>
      <c r="J32" s="3802">
        <v>5.5</v>
      </c>
      <c r="K32" s="3803">
        <v>50187.5</v>
      </c>
      <c r="L32" s="3788" t="s">
        <v>3719</v>
      </c>
      <c r="M32" s="3801" t="s">
        <v>3750</v>
      </c>
      <c r="N32" s="3804"/>
      <c r="O32" s="3769"/>
      <c r="P32" s="3769"/>
    </row>
    <row r="33" spans="1:16">
      <c r="A33" s="3805" t="s">
        <v>3751</v>
      </c>
      <c r="B33" s="3780" t="s">
        <v>3752</v>
      </c>
      <c r="C33" s="3777" t="s">
        <v>3613</v>
      </c>
      <c r="D33" s="3777" t="s">
        <v>3753</v>
      </c>
      <c r="E33" s="3777">
        <v>18</v>
      </c>
      <c r="F33" s="3777" t="s">
        <v>3754</v>
      </c>
      <c r="G33" s="3781" t="s">
        <v>3755</v>
      </c>
      <c r="H33" s="3777" t="s">
        <v>3696</v>
      </c>
      <c r="I33" s="3777" t="s">
        <v>3756</v>
      </c>
      <c r="J33" s="3778">
        <v>5.5</v>
      </c>
      <c r="K33" s="3803">
        <v>36135</v>
      </c>
      <c r="L33" s="3782" t="s">
        <v>3757</v>
      </c>
      <c r="M33" s="3777" t="s">
        <v>3758</v>
      </c>
      <c r="N33" s="3783" t="s">
        <v>3632</v>
      </c>
      <c r="O33" s="3769"/>
      <c r="P33" s="3769"/>
    </row>
    <row r="34" spans="1:16">
      <c r="A34" s="3805" t="s">
        <v>3759</v>
      </c>
      <c r="B34" s="3780" t="s">
        <v>3760</v>
      </c>
      <c r="C34" s="3777" t="s">
        <v>3613</v>
      </c>
      <c r="D34" s="3777" t="s">
        <v>3761</v>
      </c>
      <c r="E34" s="3777">
        <v>34.590000000000003</v>
      </c>
      <c r="F34" s="3777" t="s">
        <v>3762</v>
      </c>
      <c r="G34" s="3781" t="s">
        <v>3763</v>
      </c>
      <c r="H34" s="3777" t="s">
        <v>3628</v>
      </c>
      <c r="I34" s="3777" t="s">
        <v>3764</v>
      </c>
      <c r="J34" s="3778">
        <v>5.5</v>
      </c>
      <c r="K34" s="3803">
        <v>69439.425000000003</v>
      </c>
      <c r="L34" s="3782" t="s">
        <v>3689</v>
      </c>
      <c r="M34" s="3777" t="s">
        <v>3765</v>
      </c>
      <c r="N34" s="3783" t="s">
        <v>3632</v>
      </c>
      <c r="O34" s="3769"/>
      <c r="P34" s="3769"/>
    </row>
    <row r="35" spans="1:16">
      <c r="A35" s="3805" t="s">
        <v>3766</v>
      </c>
      <c r="B35" s="3780" t="s">
        <v>3767</v>
      </c>
      <c r="C35" s="3777" t="s">
        <v>3613</v>
      </c>
      <c r="D35" s="3777" t="s">
        <v>3768</v>
      </c>
      <c r="E35" s="3777">
        <v>16.8</v>
      </c>
      <c r="F35" s="3777" t="s">
        <v>3699</v>
      </c>
      <c r="G35" s="3781" t="s">
        <v>3769</v>
      </c>
      <c r="H35" s="3777" t="s">
        <v>3770</v>
      </c>
      <c r="I35" s="3777" t="s">
        <v>3771</v>
      </c>
      <c r="J35" s="3778">
        <v>5.5</v>
      </c>
      <c r="K35" s="3803">
        <v>33726</v>
      </c>
      <c r="L35" s="3782" t="s">
        <v>3772</v>
      </c>
      <c r="M35" s="3777" t="s">
        <v>3773</v>
      </c>
      <c r="N35" s="3783" t="s">
        <v>3632</v>
      </c>
      <c r="O35" s="3769"/>
      <c r="P35" s="3769"/>
    </row>
    <row r="36" spans="1:16" s="4161" customFormat="1">
      <c r="A36" s="4712">
        <v>101</v>
      </c>
      <c r="B36" s="4731" t="s">
        <v>3774</v>
      </c>
      <c r="C36" s="4712" t="s">
        <v>3669</v>
      </c>
      <c r="D36" s="4712" t="s">
        <v>3775</v>
      </c>
      <c r="E36" s="4712">
        <v>209.76</v>
      </c>
      <c r="F36" s="4154" t="s">
        <v>3776</v>
      </c>
      <c r="G36" s="4155" t="s">
        <v>3777</v>
      </c>
      <c r="H36" s="4156" t="s">
        <v>3628</v>
      </c>
      <c r="I36" s="4712" t="s">
        <v>3778</v>
      </c>
      <c r="J36" s="4157">
        <v>5.5</v>
      </c>
      <c r="K36" s="4158">
        <v>421093.19999999995</v>
      </c>
      <c r="L36" s="4159" t="s">
        <v>3779</v>
      </c>
      <c r="M36" s="4712" t="s">
        <v>3780</v>
      </c>
      <c r="N36" s="4725" t="s">
        <v>3632</v>
      </c>
      <c r="O36" s="4160"/>
      <c r="P36" s="4160"/>
    </row>
    <row r="37" spans="1:16" s="4161" customFormat="1">
      <c r="A37" s="4713"/>
      <c r="B37" s="4732"/>
      <c r="C37" s="4713"/>
      <c r="D37" s="4713"/>
      <c r="E37" s="4713"/>
      <c r="F37" s="4154" t="s">
        <v>3777</v>
      </c>
      <c r="G37" s="4155" t="s">
        <v>3781</v>
      </c>
      <c r="H37" s="4156" t="s">
        <v>3696</v>
      </c>
      <c r="I37" s="4713"/>
      <c r="J37" s="4157">
        <v>5.5</v>
      </c>
      <c r="K37" s="4162"/>
      <c r="L37" s="4156" t="s">
        <v>3719</v>
      </c>
      <c r="M37" s="4713"/>
      <c r="N37" s="4726"/>
      <c r="O37" s="4160"/>
      <c r="P37" s="4160"/>
    </row>
    <row r="38" spans="1:16" s="4171" customFormat="1">
      <c r="A38" s="4163">
        <v>102</v>
      </c>
      <c r="B38" s="4164" t="s">
        <v>3634</v>
      </c>
      <c r="C38" s="4163" t="s">
        <v>3782</v>
      </c>
      <c r="D38" s="4163" t="s">
        <v>3783</v>
      </c>
      <c r="E38" s="4163">
        <v>1195.33</v>
      </c>
      <c r="F38" s="4163" t="s">
        <v>3636</v>
      </c>
      <c r="G38" s="4165" t="s">
        <v>3637</v>
      </c>
      <c r="H38" s="4163" t="s">
        <v>3617</v>
      </c>
      <c r="I38" s="4163" t="s">
        <v>3638</v>
      </c>
      <c r="J38" s="4166">
        <v>5.5</v>
      </c>
      <c r="K38" s="4167">
        <v>2399624.9749999996</v>
      </c>
      <c r="L38" s="4168" t="s">
        <v>3639</v>
      </c>
      <c r="M38" s="4163" t="s">
        <v>3784</v>
      </c>
      <c r="N38" s="4169" t="s">
        <v>3632</v>
      </c>
      <c r="O38" s="4170"/>
      <c r="P38" s="4170"/>
    </row>
    <row r="39" spans="1:16">
      <c r="A39" s="4714">
        <v>107</v>
      </c>
      <c r="B39" s="4729" t="s">
        <v>3692</v>
      </c>
      <c r="C39" s="4714" t="s">
        <v>3613</v>
      </c>
      <c r="D39" s="4714" t="s">
        <v>3785</v>
      </c>
      <c r="E39" s="3788"/>
      <c r="F39" s="4714" t="s">
        <v>3694</v>
      </c>
      <c r="G39" s="4659" t="s">
        <v>3786</v>
      </c>
      <c r="H39" s="4714" t="s">
        <v>3696</v>
      </c>
      <c r="I39" s="3788" t="s">
        <v>5014</v>
      </c>
      <c r="J39" s="3806">
        <v>5.5</v>
      </c>
      <c r="K39" s="3803">
        <v>0</v>
      </c>
      <c r="L39" s="4714" t="s">
        <v>3698</v>
      </c>
      <c r="M39" s="4714" t="s">
        <v>3699</v>
      </c>
      <c r="N39" s="4667" t="s">
        <v>3632</v>
      </c>
      <c r="O39" s="3769"/>
      <c r="P39" s="3769"/>
    </row>
    <row r="40" spans="1:16">
      <c r="A40" s="4716"/>
      <c r="B40" s="4730"/>
      <c r="C40" s="4716"/>
      <c r="D40" s="4716"/>
      <c r="E40" s="3789">
        <v>36.29</v>
      </c>
      <c r="F40" s="4716"/>
      <c r="G40" s="4660"/>
      <c r="H40" s="4716"/>
      <c r="I40" s="3789" t="s">
        <v>3787</v>
      </c>
      <c r="J40" s="3807">
        <v>5.5</v>
      </c>
      <c r="L40" s="4716"/>
      <c r="M40" s="4716"/>
      <c r="N40" s="4668"/>
      <c r="O40" s="3769"/>
      <c r="P40" s="3769"/>
    </row>
    <row r="41" spans="1:16" s="4171" customFormat="1">
      <c r="A41" s="4723">
        <v>108</v>
      </c>
      <c r="B41" s="4717" t="s">
        <v>3788</v>
      </c>
      <c r="C41" s="4723" t="s">
        <v>3669</v>
      </c>
      <c r="D41" s="4723" t="s">
        <v>3789</v>
      </c>
      <c r="E41" s="4723">
        <v>839.02</v>
      </c>
      <c r="F41" s="4172" t="s">
        <v>3790</v>
      </c>
      <c r="G41" s="4165" t="s">
        <v>3791</v>
      </c>
      <c r="H41" s="4172" t="s">
        <v>3628</v>
      </c>
      <c r="I41" s="4724" t="s">
        <v>3778</v>
      </c>
      <c r="J41" s="4173">
        <v>5.5</v>
      </c>
      <c r="K41" s="4167">
        <v>1684332.65</v>
      </c>
      <c r="L41" s="4172" t="s">
        <v>3792</v>
      </c>
      <c r="M41" s="4714" t="s">
        <v>3793</v>
      </c>
      <c r="N41" s="4174"/>
      <c r="O41" s="4170"/>
      <c r="P41" s="4170"/>
    </row>
    <row r="42" spans="1:16">
      <c r="A42" s="4723"/>
      <c r="B42" s="4719"/>
      <c r="C42" s="4723"/>
      <c r="D42" s="4723"/>
      <c r="E42" s="4723"/>
      <c r="F42" s="3788" t="s">
        <v>3794</v>
      </c>
      <c r="G42" s="3781" t="s">
        <v>3781</v>
      </c>
      <c r="H42" s="3788" t="s">
        <v>3696</v>
      </c>
      <c r="I42" s="4724"/>
      <c r="J42" s="3806">
        <v>5.5</v>
      </c>
      <c r="K42" s="3779"/>
      <c r="L42" s="3788" t="s">
        <v>3719</v>
      </c>
      <c r="M42" s="4715"/>
      <c r="N42" s="3801"/>
      <c r="O42" s="3769"/>
      <c r="P42" s="3769"/>
    </row>
    <row r="43" spans="1:16">
      <c r="A43" s="4714">
        <v>111</v>
      </c>
      <c r="B43" s="4717" t="s">
        <v>3795</v>
      </c>
      <c r="C43" s="4720" t="s">
        <v>3669</v>
      </c>
      <c r="D43" s="4720" t="s">
        <v>3796</v>
      </c>
      <c r="E43" s="4720">
        <v>425.96</v>
      </c>
      <c r="F43" s="4172" t="s">
        <v>3797</v>
      </c>
      <c r="G43" s="4165" t="s">
        <v>3798</v>
      </c>
      <c r="H43" s="4172" t="s">
        <v>3628</v>
      </c>
      <c r="I43" s="4714" t="s">
        <v>3799</v>
      </c>
      <c r="J43" s="4173">
        <v>5.5</v>
      </c>
      <c r="K43" s="4167">
        <v>855114.7</v>
      </c>
      <c r="L43" s="4714" t="s">
        <v>3800</v>
      </c>
      <c r="M43" s="4714" t="s">
        <v>3793</v>
      </c>
      <c r="N43" s="4667" t="s">
        <v>3801</v>
      </c>
      <c r="O43" s="3769"/>
      <c r="P43" s="3769"/>
    </row>
    <row r="44" spans="1:16">
      <c r="A44" s="4716"/>
      <c r="B44" s="4718"/>
      <c r="C44" s="4721"/>
      <c r="D44" s="4721"/>
      <c r="E44" s="4721"/>
      <c r="F44" s="3788" t="s">
        <v>3802</v>
      </c>
      <c r="G44" s="3781" t="s">
        <v>3803</v>
      </c>
      <c r="H44" s="3788" t="s">
        <v>3628</v>
      </c>
      <c r="I44" s="4716"/>
      <c r="J44" s="3806">
        <v>5.6</v>
      </c>
      <c r="K44" s="3779"/>
      <c r="L44" s="4716"/>
      <c r="M44" s="4716"/>
      <c r="N44" s="4668"/>
      <c r="O44" s="3769"/>
      <c r="P44" s="3769"/>
    </row>
    <row r="45" spans="1:16">
      <c r="A45" s="4716"/>
      <c r="B45" s="4718"/>
      <c r="C45" s="4721"/>
      <c r="D45" s="4721"/>
      <c r="E45" s="4721"/>
      <c r="F45" s="3788" t="s">
        <v>3804</v>
      </c>
      <c r="G45" s="3781" t="s">
        <v>3805</v>
      </c>
      <c r="H45" s="3788" t="s">
        <v>3628</v>
      </c>
      <c r="I45" s="4716"/>
      <c r="J45" s="3806">
        <v>5.8</v>
      </c>
      <c r="K45" s="3779"/>
      <c r="L45" s="4716"/>
      <c r="M45" s="4716"/>
      <c r="N45" s="4668"/>
      <c r="O45" s="3769"/>
      <c r="P45" s="3769"/>
    </row>
    <row r="46" spans="1:16">
      <c r="A46" s="4715"/>
      <c r="B46" s="4719"/>
      <c r="C46" s="4722"/>
      <c r="D46" s="4722"/>
      <c r="E46" s="4722"/>
      <c r="F46" s="3788" t="s">
        <v>3806</v>
      </c>
      <c r="G46" s="3781" t="s">
        <v>3807</v>
      </c>
      <c r="H46" s="3788" t="s">
        <v>3628</v>
      </c>
      <c r="I46" s="4715"/>
      <c r="J46" s="3806">
        <v>6</v>
      </c>
      <c r="K46" s="3779"/>
      <c r="L46" s="4715"/>
      <c r="M46" s="4715"/>
      <c r="N46" s="4669"/>
      <c r="O46" s="3769"/>
      <c r="P46" s="3769"/>
    </row>
    <row r="47" spans="1:16" s="3798" customFormat="1">
      <c r="A47" s="3808"/>
      <c r="B47" s="4673" t="s">
        <v>3070</v>
      </c>
      <c r="C47" s="4674"/>
      <c r="D47" s="4675"/>
      <c r="E47" s="3809">
        <f>SUM(E32:E46)</f>
        <v>2800.75</v>
      </c>
      <c r="F47" s="3810"/>
      <c r="G47" s="3793"/>
      <c r="H47" s="3810"/>
      <c r="I47" s="3809"/>
      <c r="J47" s="3811"/>
      <c r="K47" s="3795"/>
      <c r="L47" s="3808"/>
      <c r="M47" s="3808"/>
      <c r="N47" s="3812"/>
      <c r="O47" s="3797"/>
      <c r="P47" s="3797"/>
    </row>
    <row r="48" spans="1:16" s="4182" customFormat="1">
      <c r="A48" s="4702">
        <v>201</v>
      </c>
      <c r="B48" s="4706" t="s">
        <v>3808</v>
      </c>
      <c r="C48" s="4702" t="s">
        <v>3613</v>
      </c>
      <c r="D48" s="4702" t="s">
        <v>3809</v>
      </c>
      <c r="E48" s="4178">
        <v>910.06</v>
      </c>
      <c r="F48" s="4708" t="s">
        <v>3810</v>
      </c>
      <c r="G48" s="4709" t="s">
        <v>3811</v>
      </c>
      <c r="H48" s="4708" t="s">
        <v>3617</v>
      </c>
      <c r="I48" s="4178" t="s">
        <v>3812</v>
      </c>
      <c r="J48" s="4178">
        <v>5.8</v>
      </c>
      <c r="K48" s="4179">
        <v>1926597.02</v>
      </c>
      <c r="L48" s="4702" t="s">
        <v>3813</v>
      </c>
      <c r="M48" s="4702" t="s">
        <v>3814</v>
      </c>
      <c r="N48" s="4180" t="s">
        <v>3632</v>
      </c>
      <c r="O48" s="4181"/>
      <c r="P48" s="4181"/>
    </row>
    <row r="49" spans="1:16" s="4182" customFormat="1">
      <c r="A49" s="4703"/>
      <c r="B49" s="4707"/>
      <c r="C49" s="4703"/>
      <c r="D49" s="4703"/>
      <c r="E49" s="4178"/>
      <c r="F49" s="4708"/>
      <c r="G49" s="4709"/>
      <c r="H49" s="4708"/>
      <c r="I49" s="4196" t="s">
        <v>3815</v>
      </c>
      <c r="J49" s="4178">
        <v>5.8</v>
      </c>
      <c r="K49" s="4179"/>
      <c r="L49" s="4703"/>
      <c r="M49" s="4703"/>
      <c r="N49" s="4180" t="s">
        <v>3632</v>
      </c>
      <c r="O49" s="4181"/>
      <c r="P49" s="4181"/>
    </row>
    <row r="50" spans="1:16" s="4182" customFormat="1">
      <c r="A50" s="4702">
        <v>202</v>
      </c>
      <c r="B50" s="4704" t="s">
        <v>3816</v>
      </c>
      <c r="C50" s="4702" t="s">
        <v>3669</v>
      </c>
      <c r="D50" s="4702" t="s">
        <v>3817</v>
      </c>
      <c r="E50" s="4183">
        <v>917.41</v>
      </c>
      <c r="F50" s="4702" t="s">
        <v>3818</v>
      </c>
      <c r="G50" s="4689" t="s">
        <v>3819</v>
      </c>
      <c r="H50" s="4178" t="s">
        <v>3628</v>
      </c>
      <c r="I50" s="4178" t="s">
        <v>3820</v>
      </c>
      <c r="J50" s="4178">
        <v>5.8</v>
      </c>
      <c r="K50" s="4179">
        <v>1942156.97</v>
      </c>
      <c r="L50" s="4184" t="s">
        <v>3639</v>
      </c>
      <c r="M50" s="4178" t="s">
        <v>3821</v>
      </c>
      <c r="N50" s="4710" t="s">
        <v>3822</v>
      </c>
      <c r="O50" s="4181"/>
      <c r="P50" s="4181"/>
    </row>
    <row r="51" spans="1:16" s="4182" customFormat="1">
      <c r="A51" s="4703"/>
      <c r="B51" s="4705"/>
      <c r="C51" s="4703"/>
      <c r="D51" s="4703"/>
      <c r="E51" s="4183"/>
      <c r="F51" s="4703"/>
      <c r="G51" s="4691"/>
      <c r="H51" s="4178" t="s">
        <v>3696</v>
      </c>
      <c r="I51" s="4196" t="s">
        <v>3823</v>
      </c>
      <c r="J51" s="4178">
        <v>5.8</v>
      </c>
      <c r="K51" s="4179"/>
      <c r="L51" s="4184" t="s">
        <v>3824</v>
      </c>
      <c r="M51" s="4178" t="s">
        <v>3821</v>
      </c>
      <c r="N51" s="4711"/>
      <c r="O51" s="4181"/>
      <c r="P51" s="4181"/>
    </row>
    <row r="52" spans="1:16">
      <c r="A52" s="3777">
        <v>205</v>
      </c>
      <c r="B52" s="3780" t="s">
        <v>3825</v>
      </c>
      <c r="C52" s="3777" t="s">
        <v>3613</v>
      </c>
      <c r="D52" s="3777"/>
      <c r="E52" s="3777">
        <v>2787.69</v>
      </c>
      <c r="F52" s="3777" t="s">
        <v>3826</v>
      </c>
      <c r="G52" s="3781" t="s">
        <v>3827</v>
      </c>
      <c r="H52" s="3777" t="s">
        <v>3828</v>
      </c>
      <c r="I52" s="3777" t="s">
        <v>3829</v>
      </c>
      <c r="J52" s="3777">
        <v>5.8</v>
      </c>
      <c r="K52" s="3779">
        <v>5901539.7299999995</v>
      </c>
      <c r="L52" s="3782" t="s">
        <v>3830</v>
      </c>
      <c r="M52" s="3777" t="s">
        <v>3831</v>
      </c>
      <c r="N52" s="3783" t="s">
        <v>3632</v>
      </c>
      <c r="O52" s="3769"/>
      <c r="P52" s="3769"/>
    </row>
    <row r="53" spans="1:16" s="4124" customFormat="1">
      <c r="A53" s="4692">
        <v>206</v>
      </c>
      <c r="B53" s="4696" t="s">
        <v>3832</v>
      </c>
      <c r="C53" s="4692" t="s">
        <v>3613</v>
      </c>
      <c r="D53" s="4692" t="s">
        <v>3833</v>
      </c>
      <c r="E53" s="4692">
        <v>260.01</v>
      </c>
      <c r="F53" s="4692" t="s">
        <v>3834</v>
      </c>
      <c r="G53" s="4698" t="s">
        <v>3835</v>
      </c>
      <c r="H53" s="4692" t="s">
        <v>3617</v>
      </c>
      <c r="I53" s="4121" t="s">
        <v>3836</v>
      </c>
      <c r="J53" s="4121">
        <v>5.8</v>
      </c>
      <c r="K53" s="4122">
        <v>550441.17000000004</v>
      </c>
      <c r="L53" s="4692" t="s">
        <v>3619</v>
      </c>
      <c r="M53" s="4692" t="s">
        <v>3837</v>
      </c>
      <c r="N53" s="4694" t="s">
        <v>3838</v>
      </c>
      <c r="O53" s="4123"/>
      <c r="P53" s="4123"/>
    </row>
    <row r="54" spans="1:16" s="4124" customFormat="1">
      <c r="A54" s="4693"/>
      <c r="B54" s="4697"/>
      <c r="C54" s="4693"/>
      <c r="D54" s="4693"/>
      <c r="E54" s="4693"/>
      <c r="F54" s="4693"/>
      <c r="G54" s="4699"/>
      <c r="H54" s="4693"/>
      <c r="I54" s="4121" t="s">
        <v>3839</v>
      </c>
      <c r="J54" s="4121">
        <v>5.8</v>
      </c>
      <c r="K54" s="4122"/>
      <c r="L54" s="4693"/>
      <c r="M54" s="4693"/>
      <c r="N54" s="4695"/>
      <c r="O54" s="4123"/>
      <c r="P54" s="4123"/>
    </row>
    <row r="55" spans="1:16">
      <c r="A55" s="4653">
        <v>208</v>
      </c>
      <c r="B55" s="4655" t="s">
        <v>3840</v>
      </c>
      <c r="C55" s="4653" t="s">
        <v>3782</v>
      </c>
      <c r="D55" s="4653" t="s">
        <v>3841</v>
      </c>
      <c r="E55" s="4653">
        <v>101</v>
      </c>
      <c r="F55" s="4653" t="s">
        <v>3842</v>
      </c>
      <c r="G55" s="4659" t="s">
        <v>3843</v>
      </c>
      <c r="H55" s="4653" t="s">
        <v>3696</v>
      </c>
      <c r="I55" s="3777" t="s">
        <v>3844</v>
      </c>
      <c r="J55" s="3777">
        <v>5.8</v>
      </c>
      <c r="K55" s="3779"/>
      <c r="L55" s="4653" t="s">
        <v>3845</v>
      </c>
      <c r="M55" s="4653" t="s">
        <v>3846</v>
      </c>
      <c r="N55" s="4700" t="s">
        <v>3632</v>
      </c>
      <c r="O55" s="3769"/>
      <c r="P55" s="3769"/>
    </row>
    <row r="56" spans="1:16" s="4199" customFormat="1">
      <c r="A56" s="4654"/>
      <c r="B56" s="4656"/>
      <c r="C56" s="4654"/>
      <c r="D56" s="4654"/>
      <c r="E56" s="4654"/>
      <c r="F56" s="4654"/>
      <c r="G56" s="4661"/>
      <c r="H56" s="4654"/>
      <c r="I56" s="4196" t="s">
        <v>3847</v>
      </c>
      <c r="J56" s="4196">
        <v>5.8</v>
      </c>
      <c r="K56" s="4197">
        <v>213817</v>
      </c>
      <c r="L56" s="4654"/>
      <c r="M56" s="4654"/>
      <c r="N56" s="4701"/>
      <c r="O56" s="4198"/>
      <c r="P56" s="4198"/>
    </row>
    <row r="57" spans="1:16" s="4182" customFormat="1">
      <c r="A57" s="4683">
        <v>217</v>
      </c>
      <c r="B57" s="4686" t="s">
        <v>3808</v>
      </c>
      <c r="C57" s="4683" t="s">
        <v>3613</v>
      </c>
      <c r="D57" s="4683" t="s">
        <v>3848</v>
      </c>
      <c r="E57" s="4683">
        <v>603.65</v>
      </c>
      <c r="F57" s="4683" t="s">
        <v>3849</v>
      </c>
      <c r="G57" s="4689" t="s">
        <v>3811</v>
      </c>
      <c r="H57" s="4683" t="s">
        <v>3617</v>
      </c>
      <c r="I57" s="4185" t="s">
        <v>3850</v>
      </c>
      <c r="J57" s="4178">
        <v>5.8</v>
      </c>
      <c r="K57" s="4179">
        <v>1277927.0499999998</v>
      </c>
      <c r="L57" s="4683" t="s">
        <v>3619</v>
      </c>
      <c r="M57" s="4683" t="s">
        <v>3851</v>
      </c>
      <c r="N57" s="4680" t="s">
        <v>3852</v>
      </c>
      <c r="O57" s="4181"/>
      <c r="P57" s="4181"/>
    </row>
    <row r="58" spans="1:16" s="4182" customFormat="1">
      <c r="A58" s="4684"/>
      <c r="B58" s="4687"/>
      <c r="C58" s="4684"/>
      <c r="D58" s="4684"/>
      <c r="E58" s="4684"/>
      <c r="F58" s="4684"/>
      <c r="G58" s="4690"/>
      <c r="H58" s="4684"/>
      <c r="I58" s="4185" t="s">
        <v>3853</v>
      </c>
      <c r="J58" s="4178">
        <v>5.8</v>
      </c>
      <c r="K58" s="4186"/>
      <c r="L58" s="4684"/>
      <c r="M58" s="4684"/>
      <c r="N58" s="4681"/>
      <c r="O58" s="4181"/>
      <c r="P58" s="4181"/>
    </row>
    <row r="59" spans="1:16" s="4182" customFormat="1">
      <c r="A59" s="4685"/>
      <c r="B59" s="4688"/>
      <c r="C59" s="4685"/>
      <c r="D59" s="4685"/>
      <c r="E59" s="4685"/>
      <c r="F59" s="4685"/>
      <c r="G59" s="4691"/>
      <c r="H59" s="4685"/>
      <c r="I59" s="4200" t="s">
        <v>3854</v>
      </c>
      <c r="J59" s="4178">
        <v>5.8</v>
      </c>
      <c r="K59" s="4186"/>
      <c r="L59" s="4685"/>
      <c r="M59" s="4685"/>
      <c r="N59" s="4682"/>
      <c r="O59" s="4181"/>
      <c r="P59" s="4181"/>
    </row>
    <row r="60" spans="1:16" s="4124" customFormat="1">
      <c r="A60" s="4121">
        <v>218</v>
      </c>
      <c r="B60" s="4125" t="s">
        <v>3855</v>
      </c>
      <c r="C60" s="4121" t="s">
        <v>3613</v>
      </c>
      <c r="D60" s="4121" t="s">
        <v>3856</v>
      </c>
      <c r="E60" s="4121">
        <v>75</v>
      </c>
      <c r="F60" s="4121" t="s">
        <v>3857</v>
      </c>
      <c r="G60" s="4126" t="s">
        <v>3858</v>
      </c>
      <c r="H60" s="4121" t="s">
        <v>3617</v>
      </c>
      <c r="I60" s="4121" t="s">
        <v>3859</v>
      </c>
      <c r="J60" s="4121">
        <v>5.8</v>
      </c>
      <c r="K60" s="4122">
        <v>158775</v>
      </c>
      <c r="L60" s="4127" t="s">
        <v>3639</v>
      </c>
      <c r="M60" s="4121" t="s">
        <v>3860</v>
      </c>
      <c r="N60" s="4128" t="s">
        <v>3861</v>
      </c>
      <c r="O60" s="4123"/>
      <c r="P60" s="4123"/>
    </row>
    <row r="61" spans="1:16" s="3798" customFormat="1">
      <c r="A61" s="3792"/>
      <c r="B61" s="4670" t="s">
        <v>3071</v>
      </c>
      <c r="C61" s="4671"/>
      <c r="D61" s="4672"/>
      <c r="E61" s="3792">
        <f>SUM(E48:E60)</f>
        <v>5654.82</v>
      </c>
      <c r="F61" s="3792"/>
      <c r="G61" s="3793"/>
      <c r="H61" s="3792"/>
      <c r="I61" s="3792"/>
      <c r="J61" s="3792"/>
      <c r="K61" s="3795"/>
      <c r="L61" s="3813"/>
      <c r="M61" s="3792"/>
      <c r="N61" s="3814"/>
      <c r="O61" s="3797"/>
      <c r="P61" s="3797"/>
    </row>
    <row r="62" spans="1:16" hidden="1">
      <c r="A62" s="3777">
        <v>301</v>
      </c>
      <c r="B62" s="3780" t="s">
        <v>3862</v>
      </c>
      <c r="C62" s="3777" t="s">
        <v>3782</v>
      </c>
      <c r="D62" s="3777" t="s">
        <v>3863</v>
      </c>
      <c r="E62" s="3777">
        <v>710.75</v>
      </c>
      <c r="F62" s="3777" t="s">
        <v>3864</v>
      </c>
      <c r="G62" s="3781" t="s">
        <v>3865</v>
      </c>
      <c r="H62" s="3777" t="s">
        <v>3696</v>
      </c>
      <c r="I62" s="3777" t="s">
        <v>3866</v>
      </c>
      <c r="J62" s="3777">
        <v>5.8</v>
      </c>
      <c r="K62" s="3779">
        <v>1504657.7499999998</v>
      </c>
      <c r="L62" s="3782" t="s">
        <v>3867</v>
      </c>
      <c r="M62" s="3777" t="s">
        <v>3868</v>
      </c>
      <c r="N62" s="3777" t="s">
        <v>3632</v>
      </c>
      <c r="O62" s="3769"/>
      <c r="P62" s="3769"/>
    </row>
    <row r="63" spans="1:16" hidden="1">
      <c r="A63" s="3777">
        <v>303</v>
      </c>
      <c r="B63" s="3780" t="s">
        <v>3869</v>
      </c>
      <c r="C63" s="3777" t="s">
        <v>3669</v>
      </c>
      <c r="D63" s="3777" t="s">
        <v>3870</v>
      </c>
      <c r="E63" s="3777">
        <v>580</v>
      </c>
      <c r="F63" s="3777" t="s">
        <v>3871</v>
      </c>
      <c r="G63" s="3781" t="s">
        <v>3872</v>
      </c>
      <c r="H63" s="3777" t="s">
        <v>3696</v>
      </c>
      <c r="I63" s="3777" t="s">
        <v>3873</v>
      </c>
      <c r="J63" s="3777">
        <v>5.8</v>
      </c>
      <c r="K63" s="3779">
        <v>1227860</v>
      </c>
      <c r="L63" s="3782" t="s">
        <v>3824</v>
      </c>
      <c r="M63" s="3777" t="s">
        <v>3626</v>
      </c>
      <c r="N63" s="3777" t="s">
        <v>3874</v>
      </c>
      <c r="O63" s="3769"/>
      <c r="P63" s="3769"/>
    </row>
    <row r="64" spans="1:16" hidden="1">
      <c r="A64" s="3777">
        <v>305</v>
      </c>
      <c r="B64" s="3780" t="s">
        <v>3875</v>
      </c>
      <c r="C64" s="3777" t="s">
        <v>3669</v>
      </c>
      <c r="D64" s="3777" t="s">
        <v>3876</v>
      </c>
      <c r="E64" s="3777">
        <v>140</v>
      </c>
      <c r="F64" s="3777" t="s">
        <v>3877</v>
      </c>
      <c r="G64" s="3781" t="s">
        <v>3878</v>
      </c>
      <c r="H64" s="3777" t="s">
        <v>3617</v>
      </c>
      <c r="I64" s="3777" t="s">
        <v>3879</v>
      </c>
      <c r="J64" s="3777">
        <v>5.8</v>
      </c>
      <c r="K64" s="3779">
        <v>296380</v>
      </c>
      <c r="L64" s="3782" t="s">
        <v>3880</v>
      </c>
      <c r="M64" s="3777" t="s">
        <v>3881</v>
      </c>
      <c r="N64" s="3777" t="s">
        <v>3882</v>
      </c>
      <c r="O64" s="3769" t="s">
        <v>2809</v>
      </c>
      <c r="P64" s="3769"/>
    </row>
    <row r="65" spans="1:16" hidden="1">
      <c r="A65" s="3777">
        <v>306</v>
      </c>
      <c r="B65" s="3780" t="s">
        <v>3883</v>
      </c>
      <c r="C65" s="3777" t="s">
        <v>3669</v>
      </c>
      <c r="D65" s="3777" t="s">
        <v>3884</v>
      </c>
      <c r="E65" s="3777">
        <v>390.92</v>
      </c>
      <c r="F65" s="3777" t="s">
        <v>3776</v>
      </c>
      <c r="G65" s="3781" t="s">
        <v>3885</v>
      </c>
      <c r="H65" s="3777" t="s">
        <v>3696</v>
      </c>
      <c r="I65" s="3777" t="s">
        <v>3886</v>
      </c>
      <c r="J65" s="3777">
        <v>5.8</v>
      </c>
      <c r="K65" s="3779">
        <v>827577.64000000013</v>
      </c>
      <c r="L65" s="3782" t="s">
        <v>3867</v>
      </c>
      <c r="M65" s="3777" t="s">
        <v>3776</v>
      </c>
      <c r="N65" s="3815" t="s">
        <v>3887</v>
      </c>
      <c r="O65" s="3769"/>
      <c r="P65" s="3769"/>
    </row>
    <row r="66" spans="1:16" hidden="1">
      <c r="A66" s="3777">
        <v>307</v>
      </c>
      <c r="B66" s="3780" t="s">
        <v>3888</v>
      </c>
      <c r="C66" s="3777" t="s">
        <v>3613</v>
      </c>
      <c r="D66" s="3777" t="s">
        <v>3889</v>
      </c>
      <c r="E66" s="3777">
        <v>329.67</v>
      </c>
      <c r="F66" s="3777" t="s">
        <v>3890</v>
      </c>
      <c r="G66" s="3781" t="s">
        <v>3891</v>
      </c>
      <c r="H66" s="3777" t="s">
        <v>3617</v>
      </c>
      <c r="I66" s="3777" t="s">
        <v>3892</v>
      </c>
      <c r="J66" s="3777">
        <v>5.8</v>
      </c>
      <c r="K66" s="3779">
        <v>697911.39</v>
      </c>
      <c r="L66" s="3782" t="s">
        <v>3619</v>
      </c>
      <c r="M66" s="3777" t="s">
        <v>3893</v>
      </c>
      <c r="N66" s="3815" t="s">
        <v>3632</v>
      </c>
      <c r="O66" s="3769"/>
      <c r="P66" s="3769"/>
    </row>
    <row r="67" spans="1:16" hidden="1">
      <c r="A67" s="3777">
        <v>308</v>
      </c>
      <c r="B67" s="3780" t="s">
        <v>3894</v>
      </c>
      <c r="C67" s="3777" t="s">
        <v>3669</v>
      </c>
      <c r="D67" s="3777" t="s">
        <v>3895</v>
      </c>
      <c r="E67" s="3777">
        <v>510.79</v>
      </c>
      <c r="F67" s="3777" t="s">
        <v>3896</v>
      </c>
      <c r="G67" s="3781" t="s">
        <v>3897</v>
      </c>
      <c r="H67" s="3777" t="s">
        <v>3617</v>
      </c>
      <c r="I67" s="3777" t="s">
        <v>3898</v>
      </c>
      <c r="J67" s="3777">
        <v>5.8</v>
      </c>
      <c r="K67" s="3779">
        <v>1081342.43</v>
      </c>
      <c r="L67" s="3782" t="s">
        <v>3880</v>
      </c>
      <c r="M67" s="3777" t="s">
        <v>3899</v>
      </c>
      <c r="N67" s="3815" t="s">
        <v>3900</v>
      </c>
      <c r="O67" s="3769"/>
      <c r="P67" s="3769"/>
    </row>
    <row r="68" spans="1:16" hidden="1">
      <c r="A68" s="3777">
        <v>312</v>
      </c>
      <c r="B68" s="3780" t="s">
        <v>3901</v>
      </c>
      <c r="C68" s="3777" t="s">
        <v>3669</v>
      </c>
      <c r="D68" s="3777" t="s">
        <v>3902</v>
      </c>
      <c r="E68" s="3777">
        <v>457.06</v>
      </c>
      <c r="F68" s="3777" t="s">
        <v>3903</v>
      </c>
      <c r="G68" s="3816" t="s">
        <v>3904</v>
      </c>
      <c r="H68" s="3777" t="s">
        <v>3617</v>
      </c>
      <c r="I68" s="3777" t="s">
        <v>3905</v>
      </c>
      <c r="J68" s="3777">
        <v>5.8</v>
      </c>
      <c r="K68" s="3779">
        <v>967596.0199999999</v>
      </c>
      <c r="L68" s="3782" t="s">
        <v>3639</v>
      </c>
      <c r="M68" s="3777" t="s">
        <v>3906</v>
      </c>
      <c r="N68" s="3815" t="s">
        <v>3907</v>
      </c>
      <c r="O68" s="3817"/>
      <c r="P68" s="3769"/>
    </row>
    <row r="69" spans="1:16" hidden="1">
      <c r="A69" s="3777">
        <v>315</v>
      </c>
      <c r="B69" s="3780" t="s">
        <v>3908</v>
      </c>
      <c r="C69" s="3777" t="s">
        <v>3669</v>
      </c>
      <c r="D69" s="3777" t="s">
        <v>3909</v>
      </c>
      <c r="E69" s="3777">
        <v>380</v>
      </c>
      <c r="F69" s="3777" t="s">
        <v>3910</v>
      </c>
      <c r="G69" s="3781" t="s">
        <v>3911</v>
      </c>
      <c r="H69" s="3777" t="s">
        <v>3617</v>
      </c>
      <c r="I69" s="3777" t="s">
        <v>3912</v>
      </c>
      <c r="J69" s="3777">
        <v>5.8</v>
      </c>
      <c r="K69" s="3779">
        <v>804460</v>
      </c>
      <c r="L69" s="3782" t="s">
        <v>3880</v>
      </c>
      <c r="M69" s="3777" t="s">
        <v>3913</v>
      </c>
      <c r="N69" s="3815" t="s">
        <v>3914</v>
      </c>
      <c r="O69" s="3769"/>
      <c r="P69" s="3769"/>
    </row>
    <row r="70" spans="1:16" hidden="1">
      <c r="A70" s="4653">
        <v>317</v>
      </c>
      <c r="B70" s="4653" t="s">
        <v>3915</v>
      </c>
      <c r="C70" s="4653" t="s">
        <v>3613</v>
      </c>
      <c r="D70" s="4653" t="s">
        <v>3916</v>
      </c>
      <c r="E70" s="4653">
        <v>210.96</v>
      </c>
      <c r="F70" s="4653" t="s">
        <v>3917</v>
      </c>
      <c r="G70" s="4659" t="s">
        <v>3918</v>
      </c>
      <c r="H70" s="4653" t="s">
        <v>3617</v>
      </c>
      <c r="I70" s="3777" t="s">
        <v>3919</v>
      </c>
      <c r="J70" s="3777">
        <v>5.8</v>
      </c>
      <c r="K70" s="3779">
        <v>446602.32</v>
      </c>
      <c r="L70" s="4653" t="s">
        <v>3880</v>
      </c>
      <c r="M70" s="4653" t="s">
        <v>3871</v>
      </c>
      <c r="N70" s="4653" t="s">
        <v>3920</v>
      </c>
      <c r="O70" s="3769"/>
      <c r="P70" s="3769"/>
    </row>
    <row r="71" spans="1:16" hidden="1">
      <c r="A71" s="4654"/>
      <c r="B71" s="4654"/>
      <c r="C71" s="4654"/>
      <c r="D71" s="4654"/>
      <c r="E71" s="4654"/>
      <c r="F71" s="4654"/>
      <c r="G71" s="4661"/>
      <c r="H71" s="4654"/>
      <c r="I71" s="3777" t="s">
        <v>3921</v>
      </c>
      <c r="J71" s="3777">
        <v>5.8</v>
      </c>
      <c r="K71" s="3779"/>
      <c r="L71" s="4654"/>
      <c r="M71" s="4654"/>
      <c r="N71" s="4654"/>
      <c r="O71" s="3769"/>
      <c r="P71" s="3769"/>
    </row>
    <row r="72" spans="1:16" hidden="1">
      <c r="A72" s="3777">
        <v>319</v>
      </c>
      <c r="B72" s="3780" t="s">
        <v>3922</v>
      </c>
      <c r="C72" s="3777" t="s">
        <v>3669</v>
      </c>
      <c r="D72" s="3777" t="s">
        <v>3923</v>
      </c>
      <c r="E72" s="3777">
        <v>190</v>
      </c>
      <c r="F72" s="3777" t="s">
        <v>3924</v>
      </c>
      <c r="G72" s="3781" t="s">
        <v>3925</v>
      </c>
      <c r="H72" s="3777" t="s">
        <v>3696</v>
      </c>
      <c r="I72" s="3777" t="s">
        <v>3926</v>
      </c>
      <c r="J72" s="3777">
        <v>5.8</v>
      </c>
      <c r="K72" s="3779">
        <v>402230</v>
      </c>
      <c r="L72" s="3782" t="s">
        <v>3927</v>
      </c>
      <c r="M72" s="3777" t="s">
        <v>3928</v>
      </c>
      <c r="N72" s="3815" t="s">
        <v>3632</v>
      </c>
      <c r="O72" s="3769"/>
      <c r="P72" s="3769"/>
    </row>
    <row r="73" spans="1:16" hidden="1">
      <c r="A73" s="3777">
        <v>320</v>
      </c>
      <c r="B73" s="3818" t="s">
        <v>3929</v>
      </c>
      <c r="C73" s="3785" t="s">
        <v>3669</v>
      </c>
      <c r="D73" s="3785" t="s">
        <v>3930</v>
      </c>
      <c r="E73" s="3785">
        <v>71</v>
      </c>
      <c r="F73" s="3785" t="s">
        <v>3917</v>
      </c>
      <c r="G73" s="3786" t="s">
        <v>3931</v>
      </c>
      <c r="H73" s="3785" t="s">
        <v>3696</v>
      </c>
      <c r="I73" s="3785" t="s">
        <v>3932</v>
      </c>
      <c r="J73" s="3777">
        <v>5.8</v>
      </c>
      <c r="K73" s="3779">
        <v>150307</v>
      </c>
      <c r="L73" s="3819" t="s">
        <v>3824</v>
      </c>
      <c r="M73" s="3785" t="s">
        <v>3933</v>
      </c>
      <c r="N73" s="3820" t="s">
        <v>3632</v>
      </c>
      <c r="O73" s="3769"/>
      <c r="P73" s="3769"/>
    </row>
    <row r="74" spans="1:16" hidden="1">
      <c r="A74" s="3777">
        <v>321</v>
      </c>
      <c r="B74" s="3780" t="s">
        <v>3934</v>
      </c>
      <c r="C74" s="3777" t="s">
        <v>3613</v>
      </c>
      <c r="D74" s="3777" t="s">
        <v>3935</v>
      </c>
      <c r="E74" s="3777">
        <v>65</v>
      </c>
      <c r="F74" s="3777" t="s">
        <v>3936</v>
      </c>
      <c r="G74" s="3781" t="s">
        <v>3937</v>
      </c>
      <c r="H74" s="3777" t="s">
        <v>3617</v>
      </c>
      <c r="I74" s="3777" t="s">
        <v>3938</v>
      </c>
      <c r="J74" s="3777">
        <v>5.8</v>
      </c>
      <c r="K74" s="3779">
        <v>137605</v>
      </c>
      <c r="L74" s="3777" t="s">
        <v>3939</v>
      </c>
      <c r="M74" s="3777" t="s">
        <v>3940</v>
      </c>
      <c r="N74" s="3777" t="s">
        <v>3941</v>
      </c>
      <c r="O74" s="3769"/>
      <c r="P74" s="3769"/>
    </row>
    <row r="75" spans="1:16" s="3798" customFormat="1" hidden="1">
      <c r="A75" s="3792"/>
      <c r="B75" s="4670" t="s">
        <v>3072</v>
      </c>
      <c r="C75" s="4671"/>
      <c r="D75" s="4672"/>
      <c r="E75" s="3792">
        <f>SUM(E62:E74)</f>
        <v>4036.15</v>
      </c>
      <c r="F75" s="3792"/>
      <c r="G75" s="3793"/>
      <c r="H75" s="3792"/>
      <c r="I75" s="3792"/>
      <c r="J75" s="3792"/>
      <c r="K75" s="3795"/>
      <c r="L75" s="3813"/>
      <c r="M75" s="3792"/>
      <c r="N75" s="3792"/>
      <c r="O75" s="3797"/>
      <c r="P75" s="3797"/>
    </row>
    <row r="76" spans="1:16" hidden="1">
      <c r="A76" s="3777">
        <v>401</v>
      </c>
      <c r="B76" s="3780" t="s">
        <v>3942</v>
      </c>
      <c r="C76" s="3777" t="s">
        <v>3613</v>
      </c>
      <c r="D76" s="3777" t="s">
        <v>3943</v>
      </c>
      <c r="E76" s="3777">
        <v>342.5</v>
      </c>
      <c r="F76" s="3777" t="s">
        <v>3944</v>
      </c>
      <c r="G76" s="3781" t="s">
        <v>3945</v>
      </c>
      <c r="H76" s="3777" t="s">
        <v>3617</v>
      </c>
      <c r="I76" s="3777" t="s">
        <v>3946</v>
      </c>
      <c r="J76" s="3777">
        <v>5.8</v>
      </c>
      <c r="K76" s="3779">
        <v>725072.5</v>
      </c>
      <c r="L76" s="3782" t="s">
        <v>3880</v>
      </c>
      <c r="M76" s="3777" t="s">
        <v>3758</v>
      </c>
      <c r="N76" s="3777"/>
      <c r="O76" s="3769"/>
      <c r="P76" s="3769"/>
    </row>
    <row r="77" spans="1:16" hidden="1">
      <c r="A77" s="3777">
        <v>403</v>
      </c>
      <c r="B77" s="3780" t="s">
        <v>3721</v>
      </c>
      <c r="C77" s="3777" t="s">
        <v>3669</v>
      </c>
      <c r="D77" s="3777" t="s">
        <v>3947</v>
      </c>
      <c r="E77" s="3777">
        <v>140</v>
      </c>
      <c r="F77" s="3777" t="s">
        <v>3948</v>
      </c>
      <c r="G77" s="3781" t="s">
        <v>3949</v>
      </c>
      <c r="H77" s="3777" t="s">
        <v>3617</v>
      </c>
      <c r="I77" s="3777" t="s">
        <v>3950</v>
      </c>
      <c r="J77" s="3777">
        <v>5.8</v>
      </c>
      <c r="K77" s="3779">
        <v>296380</v>
      </c>
      <c r="L77" s="3782" t="s">
        <v>3880</v>
      </c>
      <c r="M77" s="3777" t="s">
        <v>3951</v>
      </c>
      <c r="N77" s="3785" t="s">
        <v>3632</v>
      </c>
      <c r="O77" s="3769"/>
      <c r="P77" s="3769"/>
    </row>
    <row r="78" spans="1:16" hidden="1">
      <c r="A78" s="3777">
        <v>405</v>
      </c>
      <c r="B78" s="3780" t="s">
        <v>3952</v>
      </c>
      <c r="C78" s="3777" t="s">
        <v>3613</v>
      </c>
      <c r="D78" s="3777" t="s">
        <v>3953</v>
      </c>
      <c r="E78" s="3777">
        <v>140</v>
      </c>
      <c r="F78" s="3777" t="s">
        <v>3954</v>
      </c>
      <c r="G78" s="3781" t="s">
        <v>3955</v>
      </c>
      <c r="H78" s="3777" t="s">
        <v>3617</v>
      </c>
      <c r="I78" s="3777" t="s">
        <v>3956</v>
      </c>
      <c r="J78" s="3777">
        <v>5.8</v>
      </c>
      <c r="K78" s="3779">
        <v>296380</v>
      </c>
      <c r="L78" s="3782" t="s">
        <v>3619</v>
      </c>
      <c r="M78" s="3777" t="s">
        <v>3957</v>
      </c>
      <c r="N78" s="3785" t="s">
        <v>3632</v>
      </c>
      <c r="O78" s="3769"/>
      <c r="P78" s="3769"/>
    </row>
    <row r="79" spans="1:16" hidden="1">
      <c r="A79" s="4653">
        <v>406</v>
      </c>
      <c r="B79" s="4655" t="s">
        <v>3958</v>
      </c>
      <c r="C79" s="4653" t="s">
        <v>3613</v>
      </c>
      <c r="D79" s="4653" t="s">
        <v>3959</v>
      </c>
      <c r="E79" s="4653">
        <v>279.64</v>
      </c>
      <c r="F79" s="4653" t="s">
        <v>3960</v>
      </c>
      <c r="G79" s="4659" t="s">
        <v>3961</v>
      </c>
      <c r="H79" s="4653" t="s">
        <v>3617</v>
      </c>
      <c r="I79" s="3777" t="s">
        <v>3962</v>
      </c>
      <c r="J79" s="3777">
        <v>5.5</v>
      </c>
      <c r="K79" s="3779"/>
      <c r="L79" s="4653" t="s">
        <v>3619</v>
      </c>
      <c r="M79" s="4653" t="s">
        <v>3963</v>
      </c>
      <c r="N79" s="4653" t="s">
        <v>3632</v>
      </c>
      <c r="O79" s="3769"/>
      <c r="P79" s="3769"/>
    </row>
    <row r="80" spans="1:16" hidden="1">
      <c r="A80" s="4658"/>
      <c r="B80" s="4662"/>
      <c r="C80" s="4658"/>
      <c r="D80" s="4658"/>
      <c r="E80" s="4658"/>
      <c r="F80" s="4658"/>
      <c r="G80" s="4660"/>
      <c r="H80" s="4658"/>
      <c r="I80" s="3777" t="s">
        <v>3964</v>
      </c>
      <c r="J80" s="3777">
        <v>5.8</v>
      </c>
      <c r="K80" s="3779">
        <v>591997.88</v>
      </c>
      <c r="L80" s="4658"/>
      <c r="M80" s="4658"/>
      <c r="N80" s="4658"/>
      <c r="O80" s="3769"/>
      <c r="P80" s="3769"/>
    </row>
    <row r="81" spans="1:16" hidden="1">
      <c r="A81" s="4654"/>
      <c r="B81" s="4656"/>
      <c r="C81" s="4654"/>
      <c r="D81" s="4654"/>
      <c r="E81" s="4654"/>
      <c r="F81" s="4654"/>
      <c r="G81" s="4661"/>
      <c r="H81" s="4654"/>
      <c r="I81" s="3777" t="s">
        <v>3965</v>
      </c>
      <c r="J81" s="3777">
        <v>6</v>
      </c>
      <c r="K81" s="3779"/>
      <c r="L81" s="4654"/>
      <c r="M81" s="4654"/>
      <c r="N81" s="4654"/>
      <c r="O81" s="3769"/>
      <c r="P81" s="3769"/>
    </row>
    <row r="82" spans="1:16" hidden="1">
      <c r="A82" s="3777">
        <v>407</v>
      </c>
      <c r="B82" s="3780" t="s">
        <v>3966</v>
      </c>
      <c r="C82" s="3777" t="s">
        <v>3669</v>
      </c>
      <c r="D82" s="3777" t="s">
        <v>3967</v>
      </c>
      <c r="E82" s="3777">
        <v>264.68</v>
      </c>
      <c r="F82" s="3777" t="s">
        <v>3968</v>
      </c>
      <c r="G82" s="3781" t="s">
        <v>3969</v>
      </c>
      <c r="H82" s="3777" t="s">
        <v>3628</v>
      </c>
      <c r="I82" s="3777" t="s">
        <v>3970</v>
      </c>
      <c r="J82" s="3777">
        <v>5.8</v>
      </c>
      <c r="K82" s="3779">
        <v>560327.56000000006</v>
      </c>
      <c r="L82" s="3782" t="s">
        <v>3708</v>
      </c>
      <c r="M82" s="3777" t="s">
        <v>3971</v>
      </c>
      <c r="N82" s="3785" t="s">
        <v>3632</v>
      </c>
      <c r="O82" s="3769"/>
      <c r="P82" s="3769"/>
    </row>
    <row r="83" spans="1:16" hidden="1">
      <c r="A83" s="3785">
        <v>408</v>
      </c>
      <c r="B83" s="3818" t="s">
        <v>3972</v>
      </c>
      <c r="C83" s="3777" t="s">
        <v>3669</v>
      </c>
      <c r="D83" s="3777" t="s">
        <v>3973</v>
      </c>
      <c r="E83" s="3777">
        <v>1053.9100000000001</v>
      </c>
      <c r="F83" s="3785" t="s">
        <v>3974</v>
      </c>
      <c r="G83" s="3786" t="s">
        <v>3975</v>
      </c>
      <c r="H83" s="3785" t="s">
        <v>3628</v>
      </c>
      <c r="I83" s="3777" t="s">
        <v>3976</v>
      </c>
      <c r="J83" s="3777">
        <v>5.8</v>
      </c>
      <c r="K83" s="3779">
        <v>2231127.4699999997</v>
      </c>
      <c r="L83" s="3819" t="s">
        <v>3977</v>
      </c>
      <c r="M83" s="3777" t="s">
        <v>3978</v>
      </c>
      <c r="N83" s="3785" t="s">
        <v>3632</v>
      </c>
      <c r="O83" s="3769"/>
      <c r="P83" s="3769"/>
    </row>
    <row r="84" spans="1:16" hidden="1">
      <c r="A84" s="4653">
        <v>409</v>
      </c>
      <c r="B84" s="4655" t="s">
        <v>3979</v>
      </c>
      <c r="C84" s="4653" t="s">
        <v>3782</v>
      </c>
      <c r="D84" s="4653" t="s">
        <v>3980</v>
      </c>
      <c r="E84" s="4653">
        <v>429.54</v>
      </c>
      <c r="F84" s="4653" t="s">
        <v>3981</v>
      </c>
      <c r="G84" s="4659" t="s">
        <v>3982</v>
      </c>
      <c r="H84" s="4653" t="s">
        <v>3617</v>
      </c>
      <c r="I84" s="3777" t="s">
        <v>3983</v>
      </c>
      <c r="J84" s="3777">
        <v>6</v>
      </c>
      <c r="K84" s="3779"/>
      <c r="L84" s="4650" t="s">
        <v>3619</v>
      </c>
      <c r="M84" s="4652" t="s">
        <v>3984</v>
      </c>
      <c r="N84" s="4653" t="s">
        <v>3632</v>
      </c>
      <c r="O84" s="3769"/>
      <c r="P84" s="3769"/>
    </row>
    <row r="85" spans="1:16" hidden="1">
      <c r="A85" s="4654"/>
      <c r="B85" s="4656"/>
      <c r="C85" s="4654"/>
      <c r="D85" s="4654"/>
      <c r="E85" s="4654"/>
      <c r="F85" s="4679"/>
      <c r="G85" s="4679"/>
      <c r="H85" s="4679"/>
      <c r="I85" s="3777" t="s">
        <v>3985</v>
      </c>
      <c r="J85" s="3777">
        <v>5.8</v>
      </c>
      <c r="K85" s="3779">
        <v>909336.18</v>
      </c>
      <c r="L85" s="4651"/>
      <c r="M85" s="4652"/>
      <c r="N85" s="4658"/>
      <c r="O85" s="3769"/>
      <c r="P85" s="3769"/>
    </row>
    <row r="86" spans="1:16" hidden="1">
      <c r="A86" s="3777">
        <v>410</v>
      </c>
      <c r="B86" s="3780" t="s">
        <v>3986</v>
      </c>
      <c r="C86" s="3777" t="s">
        <v>3613</v>
      </c>
      <c r="D86" s="3777" t="s">
        <v>3987</v>
      </c>
      <c r="E86" s="3777">
        <v>260.05</v>
      </c>
      <c r="F86" s="3777" t="s">
        <v>3988</v>
      </c>
      <c r="G86" s="3781" t="s">
        <v>3989</v>
      </c>
      <c r="H86" s="3777" t="s">
        <v>3617</v>
      </c>
      <c r="I86" s="3777" t="s">
        <v>3990</v>
      </c>
      <c r="J86" s="3777">
        <v>5.8</v>
      </c>
      <c r="K86" s="3779">
        <v>550525.85</v>
      </c>
      <c r="L86" s="3782" t="s">
        <v>3880</v>
      </c>
      <c r="M86" s="3777" t="s">
        <v>3991</v>
      </c>
      <c r="N86" s="3785" t="s">
        <v>3632</v>
      </c>
      <c r="O86" s="3769"/>
      <c r="P86" s="3769"/>
    </row>
    <row r="87" spans="1:16" hidden="1">
      <c r="A87" s="4653">
        <v>415</v>
      </c>
      <c r="B87" s="4655" t="s">
        <v>3659</v>
      </c>
      <c r="C87" s="4653" t="s">
        <v>3669</v>
      </c>
      <c r="D87" s="4653" t="s">
        <v>3992</v>
      </c>
      <c r="E87" s="4653">
        <v>576.67999999999995</v>
      </c>
      <c r="F87" s="4653" t="s">
        <v>3993</v>
      </c>
      <c r="G87" s="4659" t="s">
        <v>3994</v>
      </c>
      <c r="H87" s="4653" t="s">
        <v>3617</v>
      </c>
      <c r="I87" s="3777" t="s">
        <v>3995</v>
      </c>
      <c r="J87" s="3777">
        <v>6</v>
      </c>
      <c r="K87" s="3779"/>
      <c r="L87" s="4653" t="s">
        <v>3880</v>
      </c>
      <c r="M87" s="4653" t="s">
        <v>3996</v>
      </c>
      <c r="N87" s="4653" t="s">
        <v>3632</v>
      </c>
      <c r="O87" s="3769"/>
      <c r="P87" s="3769"/>
    </row>
    <row r="88" spans="1:16" hidden="1">
      <c r="A88" s="4654"/>
      <c r="B88" s="4656"/>
      <c r="C88" s="4654"/>
      <c r="D88" s="4654"/>
      <c r="E88" s="4654"/>
      <c r="F88" s="4654"/>
      <c r="G88" s="4661"/>
      <c r="H88" s="4654"/>
      <c r="I88" s="3777" t="s">
        <v>3997</v>
      </c>
      <c r="J88" s="3777">
        <v>5.8</v>
      </c>
      <c r="K88" s="3779">
        <v>1220831.56</v>
      </c>
      <c r="L88" s="4654"/>
      <c r="M88" s="4654"/>
      <c r="N88" s="4658"/>
      <c r="O88" s="3769"/>
      <c r="P88" s="3769"/>
    </row>
    <row r="89" spans="1:16" hidden="1">
      <c r="A89" s="3777" t="s">
        <v>3998</v>
      </c>
      <c r="B89" s="3780" t="s">
        <v>3999</v>
      </c>
      <c r="C89" s="3777" t="s">
        <v>3613</v>
      </c>
      <c r="D89" s="3777" t="s">
        <v>4000</v>
      </c>
      <c r="E89" s="3777">
        <v>567.53</v>
      </c>
      <c r="F89" s="3777" t="s">
        <v>4001</v>
      </c>
      <c r="G89" s="3781" t="s">
        <v>4002</v>
      </c>
      <c r="H89" s="3777" t="s">
        <v>3617</v>
      </c>
      <c r="I89" s="3777" t="s">
        <v>4003</v>
      </c>
      <c r="J89" s="3777">
        <v>5.8</v>
      </c>
      <c r="K89" s="3779">
        <v>1201461.0099999998</v>
      </c>
      <c r="L89" s="3782" t="s">
        <v>3619</v>
      </c>
      <c r="M89" s="3777" t="s">
        <v>4004</v>
      </c>
      <c r="N89" s="3785" t="s">
        <v>4005</v>
      </c>
      <c r="O89" s="3769"/>
      <c r="P89" s="3769"/>
    </row>
    <row r="90" spans="1:16" hidden="1">
      <c r="A90" s="3777">
        <v>418</v>
      </c>
      <c r="B90" s="3780" t="s">
        <v>4006</v>
      </c>
      <c r="C90" s="3777" t="s">
        <v>3613</v>
      </c>
      <c r="D90" s="3777" t="s">
        <v>4007</v>
      </c>
      <c r="E90" s="3777">
        <v>61</v>
      </c>
      <c r="F90" s="3777" t="s">
        <v>3989</v>
      </c>
      <c r="G90" s="3781" t="s">
        <v>4008</v>
      </c>
      <c r="H90" s="3777" t="s">
        <v>3628</v>
      </c>
      <c r="I90" s="3777" t="s">
        <v>4009</v>
      </c>
      <c r="J90" s="3777">
        <v>5.8</v>
      </c>
      <c r="K90" s="3779">
        <v>129137</v>
      </c>
      <c r="L90" s="3782" t="s">
        <v>4010</v>
      </c>
      <c r="M90" s="3777" t="s">
        <v>4011</v>
      </c>
      <c r="N90" s="3777" t="s">
        <v>3632</v>
      </c>
      <c r="O90" s="3769"/>
      <c r="P90" s="3769"/>
    </row>
    <row r="91" spans="1:16" s="3798" customFormat="1" hidden="1">
      <c r="A91" s="3792"/>
      <c r="B91" s="4670" t="s">
        <v>3073</v>
      </c>
      <c r="C91" s="4671"/>
      <c r="D91" s="4672"/>
      <c r="E91" s="3792">
        <f>SUM(E76:E90)</f>
        <v>4115.53</v>
      </c>
      <c r="F91" s="3792"/>
      <c r="G91" s="3793"/>
      <c r="H91" s="3792"/>
      <c r="I91" s="3792"/>
      <c r="J91" s="3792"/>
      <c r="K91" s="3795"/>
      <c r="L91" s="3813"/>
      <c r="M91" s="3792"/>
      <c r="N91" s="3821"/>
      <c r="O91" s="3797"/>
      <c r="P91" s="3797"/>
    </row>
    <row r="92" spans="1:16" hidden="1">
      <c r="A92" s="3777">
        <v>501</v>
      </c>
      <c r="B92" s="3780" t="s">
        <v>4012</v>
      </c>
      <c r="C92" s="3777" t="s">
        <v>3613</v>
      </c>
      <c r="D92" s="3777" t="s">
        <v>4013</v>
      </c>
      <c r="E92" s="3777">
        <v>1144.21</v>
      </c>
      <c r="F92" s="3777" t="s">
        <v>4014</v>
      </c>
      <c r="G92" s="3781" t="s">
        <v>4015</v>
      </c>
      <c r="H92" s="3777" t="s">
        <v>3617</v>
      </c>
      <c r="I92" s="3777" t="s">
        <v>4016</v>
      </c>
      <c r="J92" s="3777">
        <v>5.8</v>
      </c>
      <c r="K92" s="3779">
        <v>2422292.5699999998</v>
      </c>
      <c r="L92" s="3782" t="s">
        <v>3639</v>
      </c>
      <c r="M92" s="3777" t="s">
        <v>4017</v>
      </c>
      <c r="N92" s="3785" t="s">
        <v>3632</v>
      </c>
      <c r="O92" s="3769"/>
      <c r="P92" s="3769"/>
    </row>
    <row r="93" spans="1:16" hidden="1">
      <c r="A93" s="3777">
        <v>503</v>
      </c>
      <c r="B93" s="3780" t="s">
        <v>4018</v>
      </c>
      <c r="C93" s="3777" t="s">
        <v>3613</v>
      </c>
      <c r="D93" s="3777" t="s">
        <v>4019</v>
      </c>
      <c r="E93" s="3777">
        <v>100</v>
      </c>
      <c r="F93" s="3777" t="s">
        <v>4020</v>
      </c>
      <c r="G93" s="3781" t="s">
        <v>4021</v>
      </c>
      <c r="H93" s="3777" t="s">
        <v>3617</v>
      </c>
      <c r="I93" s="3777" t="s">
        <v>4022</v>
      </c>
      <c r="J93" s="3777">
        <v>5.8</v>
      </c>
      <c r="K93" s="3779">
        <v>211700</v>
      </c>
      <c r="L93" s="3782" t="s">
        <v>3880</v>
      </c>
      <c r="M93" s="3777" t="s">
        <v>4020</v>
      </c>
      <c r="N93" s="3785" t="s">
        <v>4023</v>
      </c>
      <c r="O93" s="3769"/>
      <c r="P93" s="3769"/>
    </row>
    <row r="94" spans="1:16" hidden="1">
      <c r="A94" s="3777">
        <v>514</v>
      </c>
      <c r="B94" s="3780" t="s">
        <v>4024</v>
      </c>
      <c r="C94" s="3777" t="s">
        <v>3613</v>
      </c>
      <c r="D94" s="3777" t="s">
        <v>4025</v>
      </c>
      <c r="E94" s="3777">
        <v>172.39</v>
      </c>
      <c r="F94" s="3777" t="s">
        <v>4020</v>
      </c>
      <c r="G94" s="3781" t="s">
        <v>4021</v>
      </c>
      <c r="H94" s="3777" t="s">
        <v>3617</v>
      </c>
      <c r="I94" s="3777" t="s">
        <v>4022</v>
      </c>
      <c r="J94" s="3777">
        <v>5.8</v>
      </c>
      <c r="K94" s="3779">
        <v>364949.62999999995</v>
      </c>
      <c r="L94" s="3782" t="s">
        <v>3880</v>
      </c>
      <c r="M94" s="3777" t="s">
        <v>4020</v>
      </c>
      <c r="N94" s="3785" t="s">
        <v>4026</v>
      </c>
      <c r="O94" s="3769"/>
      <c r="P94" s="3769"/>
    </row>
    <row r="95" spans="1:16" hidden="1">
      <c r="A95" s="3777">
        <v>504</v>
      </c>
      <c r="B95" s="3822" t="s">
        <v>4027</v>
      </c>
      <c r="C95" s="3777" t="s">
        <v>3613</v>
      </c>
      <c r="D95" s="3777" t="s">
        <v>4028</v>
      </c>
      <c r="E95" s="3777">
        <v>460.39</v>
      </c>
      <c r="F95" s="3777" t="s">
        <v>4029</v>
      </c>
      <c r="G95" s="3781" t="s">
        <v>4030</v>
      </c>
      <c r="H95" s="3777" t="s">
        <v>3617</v>
      </c>
      <c r="I95" s="3777" t="s">
        <v>4031</v>
      </c>
      <c r="J95" s="3777">
        <v>5.8</v>
      </c>
      <c r="K95" s="3779">
        <v>974645.62999999989</v>
      </c>
      <c r="L95" s="3782" t="s">
        <v>4032</v>
      </c>
      <c r="M95" s="3777" t="s">
        <v>4033</v>
      </c>
      <c r="N95" s="3815" t="s">
        <v>4034</v>
      </c>
      <c r="O95" s="3769"/>
      <c r="P95" s="3769"/>
    </row>
    <row r="96" spans="1:16" hidden="1">
      <c r="A96" s="3777">
        <v>505</v>
      </c>
      <c r="B96" s="3780" t="s">
        <v>4035</v>
      </c>
      <c r="C96" s="3777" t="s">
        <v>3613</v>
      </c>
      <c r="D96" s="3777" t="s">
        <v>4036</v>
      </c>
      <c r="E96" s="3777">
        <v>140</v>
      </c>
      <c r="F96" s="3777" t="s">
        <v>4037</v>
      </c>
      <c r="G96" s="3781" t="s">
        <v>4038</v>
      </c>
      <c r="H96" s="3777" t="s">
        <v>3617</v>
      </c>
      <c r="I96" s="3777" t="s">
        <v>4039</v>
      </c>
      <c r="J96" s="3777">
        <v>5.8</v>
      </c>
      <c r="K96" s="3779">
        <v>296380</v>
      </c>
      <c r="L96" s="3782" t="s">
        <v>3619</v>
      </c>
      <c r="M96" s="3777" t="s">
        <v>4040</v>
      </c>
      <c r="N96" s="3785" t="s">
        <v>3632</v>
      </c>
      <c r="O96" s="3769"/>
      <c r="P96" s="3769"/>
    </row>
    <row r="97" spans="1:16" hidden="1">
      <c r="A97" s="3777">
        <v>506</v>
      </c>
      <c r="B97" s="3780" t="s">
        <v>4041</v>
      </c>
      <c r="C97" s="3777" t="s">
        <v>3613</v>
      </c>
      <c r="D97" s="3777" t="s">
        <v>4042</v>
      </c>
      <c r="E97" s="3777">
        <v>290.29000000000002</v>
      </c>
      <c r="F97" s="3777" t="s">
        <v>3657</v>
      </c>
      <c r="G97" s="3781" t="s">
        <v>3695</v>
      </c>
      <c r="H97" s="3777" t="s">
        <v>3696</v>
      </c>
      <c r="I97" s="3777" t="s">
        <v>3701</v>
      </c>
      <c r="J97" s="3777">
        <v>5.8</v>
      </c>
      <c r="K97" s="3779">
        <v>614543.93000000005</v>
      </c>
      <c r="L97" s="3782" t="s">
        <v>3719</v>
      </c>
      <c r="M97" s="3777" t="s">
        <v>3699</v>
      </c>
      <c r="N97" s="3785" t="s">
        <v>3632</v>
      </c>
      <c r="O97" s="3769"/>
      <c r="P97" s="3769"/>
    </row>
    <row r="98" spans="1:16" hidden="1">
      <c r="A98" s="3777">
        <v>507</v>
      </c>
      <c r="B98" s="3818" t="s">
        <v>4043</v>
      </c>
      <c r="C98" s="3777" t="s">
        <v>3669</v>
      </c>
      <c r="D98" s="3785" t="s">
        <v>4044</v>
      </c>
      <c r="E98" s="3777">
        <v>587.41</v>
      </c>
      <c r="F98" s="3777" t="s">
        <v>3893</v>
      </c>
      <c r="G98" s="3781" t="s">
        <v>4045</v>
      </c>
      <c r="H98" s="3777" t="s">
        <v>3628</v>
      </c>
      <c r="I98" s="3777" t="s">
        <v>4046</v>
      </c>
      <c r="J98" s="3777">
        <v>5.8</v>
      </c>
      <c r="K98" s="3779">
        <v>1243546.97</v>
      </c>
      <c r="L98" s="3782" t="s">
        <v>4047</v>
      </c>
      <c r="M98" s="3777" t="s">
        <v>4048</v>
      </c>
      <c r="N98" s="3785" t="s">
        <v>4049</v>
      </c>
      <c r="O98" s="3769"/>
      <c r="P98" s="3769"/>
    </row>
    <row r="99" spans="1:16" hidden="1">
      <c r="A99" s="3785">
        <v>508</v>
      </c>
      <c r="B99" s="3818" t="s">
        <v>4043</v>
      </c>
      <c r="C99" s="3785" t="s">
        <v>3782</v>
      </c>
      <c r="D99" s="3785" t="s">
        <v>4050</v>
      </c>
      <c r="E99" s="3785">
        <v>720.67</v>
      </c>
      <c r="F99" s="3785" t="s">
        <v>4051</v>
      </c>
      <c r="G99" s="3786" t="s">
        <v>4052</v>
      </c>
      <c r="H99" s="3785" t="s">
        <v>3617</v>
      </c>
      <c r="I99" s="3785" t="s">
        <v>4053</v>
      </c>
      <c r="J99" s="3777">
        <v>5.8</v>
      </c>
      <c r="K99" s="3779">
        <v>1525658.39</v>
      </c>
      <c r="L99" s="3819" t="s">
        <v>4054</v>
      </c>
      <c r="M99" s="3785" t="s">
        <v>3784</v>
      </c>
      <c r="N99" s="3785" t="s">
        <v>3632</v>
      </c>
      <c r="O99" s="3769"/>
      <c r="P99" s="3769"/>
    </row>
    <row r="100" spans="1:16" hidden="1">
      <c r="A100" s="3785">
        <v>509</v>
      </c>
      <c r="B100" s="3818" t="s">
        <v>4055</v>
      </c>
      <c r="C100" s="3777" t="s">
        <v>3613</v>
      </c>
      <c r="D100" s="3785" t="s">
        <v>4056</v>
      </c>
      <c r="E100" s="3785">
        <v>342.5</v>
      </c>
      <c r="F100" s="3785" t="s">
        <v>4057</v>
      </c>
      <c r="G100" s="3786" t="s">
        <v>4058</v>
      </c>
      <c r="H100" s="3785" t="s">
        <v>3617</v>
      </c>
      <c r="I100" s="3785" t="s">
        <v>4059</v>
      </c>
      <c r="J100" s="3777">
        <v>5.8</v>
      </c>
      <c r="K100" s="3779">
        <v>725072.5</v>
      </c>
      <c r="L100" s="3819" t="s">
        <v>4054</v>
      </c>
      <c r="M100" s="3785" t="s">
        <v>4060</v>
      </c>
      <c r="N100" s="3785" t="s">
        <v>4061</v>
      </c>
      <c r="O100" s="3769"/>
      <c r="P100" s="3769"/>
    </row>
    <row r="101" spans="1:16" hidden="1">
      <c r="A101" s="3777">
        <v>516</v>
      </c>
      <c r="B101" s="3780" t="s">
        <v>4062</v>
      </c>
      <c r="C101" s="3777" t="s">
        <v>3669</v>
      </c>
      <c r="D101" s="3777" t="s">
        <v>4063</v>
      </c>
      <c r="E101" s="3777">
        <v>157.15</v>
      </c>
      <c r="F101" s="3777" t="s">
        <v>4064</v>
      </c>
      <c r="G101" s="3777" t="s">
        <v>4065</v>
      </c>
      <c r="H101" s="3777" t="s">
        <v>3617</v>
      </c>
      <c r="I101" s="3777" t="s">
        <v>4066</v>
      </c>
      <c r="J101" s="3777">
        <v>5.8</v>
      </c>
      <c r="K101" s="3779">
        <v>332686.55</v>
      </c>
      <c r="L101" s="3819" t="s">
        <v>4054</v>
      </c>
      <c r="M101" s="3777" t="s">
        <v>4067</v>
      </c>
      <c r="N101" s="3777" t="s">
        <v>4068</v>
      </c>
      <c r="O101" s="3769"/>
      <c r="P101" s="3769"/>
    </row>
    <row r="102" spans="1:16" hidden="1">
      <c r="A102" s="3777">
        <v>518</v>
      </c>
      <c r="B102" s="3780" t="s">
        <v>4069</v>
      </c>
      <c r="C102" s="3777" t="s">
        <v>3669</v>
      </c>
      <c r="D102" s="3777" t="s">
        <v>4070</v>
      </c>
      <c r="E102" s="3777">
        <v>61</v>
      </c>
      <c r="F102" s="3777" t="s">
        <v>4071</v>
      </c>
      <c r="G102" s="3777" t="s">
        <v>4072</v>
      </c>
      <c r="H102" s="3777" t="s">
        <v>3617</v>
      </c>
      <c r="I102" s="3777" t="s">
        <v>4073</v>
      </c>
      <c r="J102" s="3777">
        <v>5.8</v>
      </c>
      <c r="K102" s="3779">
        <v>129137</v>
      </c>
      <c r="L102" s="3777" t="s">
        <v>4054</v>
      </c>
      <c r="M102" s="3777" t="s">
        <v>4074</v>
      </c>
      <c r="N102" s="3777" t="s">
        <v>4075</v>
      </c>
      <c r="O102" s="3769"/>
      <c r="P102" s="3769"/>
    </row>
    <row r="103" spans="1:16" s="3798" customFormat="1" hidden="1">
      <c r="A103" s="3792"/>
      <c r="B103" s="4670" t="s">
        <v>3074</v>
      </c>
      <c r="C103" s="4671"/>
      <c r="D103" s="4672"/>
      <c r="E103" s="3792">
        <f>SUM(E92:E102)</f>
        <v>4176.0099999999993</v>
      </c>
      <c r="F103" s="3792"/>
      <c r="G103" s="3792"/>
      <c r="H103" s="3792"/>
      <c r="I103" s="3792"/>
      <c r="J103" s="3792"/>
      <c r="K103" s="3795"/>
      <c r="L103" s="3813"/>
      <c r="M103" s="3792"/>
      <c r="N103" s="3823"/>
      <c r="O103" s="3797"/>
      <c r="P103" s="3797"/>
    </row>
    <row r="104" spans="1:16" hidden="1">
      <c r="A104" s="3801">
        <v>601</v>
      </c>
      <c r="B104" s="3800" t="s">
        <v>4076</v>
      </c>
      <c r="C104" s="3801" t="s">
        <v>3613</v>
      </c>
      <c r="D104" s="3801" t="s">
        <v>4077</v>
      </c>
      <c r="E104" s="3801">
        <v>205</v>
      </c>
      <c r="F104" s="3801" t="s">
        <v>4078</v>
      </c>
      <c r="G104" s="3781" t="s">
        <v>4079</v>
      </c>
      <c r="H104" s="3801" t="s">
        <v>3617</v>
      </c>
      <c r="I104" s="3802" t="s">
        <v>4080</v>
      </c>
      <c r="J104" s="3777">
        <v>5.8</v>
      </c>
      <c r="K104" s="3779">
        <v>433985</v>
      </c>
      <c r="L104" s="3824" t="s">
        <v>4081</v>
      </c>
      <c r="M104" s="3801" t="s">
        <v>4082</v>
      </c>
      <c r="N104" s="3815" t="s">
        <v>4083</v>
      </c>
      <c r="O104" s="3769"/>
      <c r="P104" s="3769"/>
    </row>
    <row r="105" spans="1:16" hidden="1">
      <c r="A105" s="3777">
        <v>602</v>
      </c>
      <c r="B105" s="3780" t="s">
        <v>4084</v>
      </c>
      <c r="C105" s="3777" t="s">
        <v>3782</v>
      </c>
      <c r="D105" s="3777" t="s">
        <v>4085</v>
      </c>
      <c r="E105" s="3777">
        <v>346.11</v>
      </c>
      <c r="F105" s="3777" t="s">
        <v>4086</v>
      </c>
      <c r="G105" s="3781" t="s">
        <v>4087</v>
      </c>
      <c r="H105" s="3777" t="s">
        <v>3617</v>
      </c>
      <c r="I105" s="3777" t="s">
        <v>4088</v>
      </c>
      <c r="J105" s="3777">
        <v>5.8</v>
      </c>
      <c r="K105" s="3779">
        <v>732714.87</v>
      </c>
      <c r="L105" s="3782" t="s">
        <v>4081</v>
      </c>
      <c r="M105" s="3777" t="s">
        <v>4089</v>
      </c>
      <c r="N105" s="3785" t="s">
        <v>3632</v>
      </c>
      <c r="O105" s="3769"/>
      <c r="P105" s="3769"/>
    </row>
    <row r="106" spans="1:16" hidden="1">
      <c r="A106" s="3777">
        <v>603</v>
      </c>
      <c r="B106" s="3780" t="s">
        <v>4090</v>
      </c>
      <c r="C106" s="3777" t="s">
        <v>3613</v>
      </c>
      <c r="D106" s="3777" t="s">
        <v>4091</v>
      </c>
      <c r="E106" s="3777">
        <v>182.73</v>
      </c>
      <c r="F106" s="3777" t="s">
        <v>4092</v>
      </c>
      <c r="G106" s="3781" t="s">
        <v>4093</v>
      </c>
      <c r="H106" s="3777" t="s">
        <v>3617</v>
      </c>
      <c r="I106" s="3777" t="s">
        <v>4094</v>
      </c>
      <c r="J106" s="3777">
        <v>5.8</v>
      </c>
      <c r="K106" s="3779">
        <v>386839.40999999992</v>
      </c>
      <c r="L106" s="3782" t="s">
        <v>4095</v>
      </c>
      <c r="M106" s="3777" t="s">
        <v>4096</v>
      </c>
      <c r="N106" s="3785" t="s">
        <v>4097</v>
      </c>
      <c r="O106" s="3769"/>
      <c r="P106" s="3769"/>
    </row>
    <row r="107" spans="1:16" hidden="1">
      <c r="A107" s="3777">
        <v>605</v>
      </c>
      <c r="B107" s="3780" t="s">
        <v>4098</v>
      </c>
      <c r="C107" s="3777" t="s">
        <v>3613</v>
      </c>
      <c r="D107" s="3777" t="s">
        <v>4099</v>
      </c>
      <c r="E107" s="3777">
        <v>496.08</v>
      </c>
      <c r="F107" s="3777" t="s">
        <v>3657</v>
      </c>
      <c r="G107" s="3781" t="s">
        <v>3695</v>
      </c>
      <c r="H107" s="3777" t="s">
        <v>3696</v>
      </c>
      <c r="I107" s="3777" t="s">
        <v>3701</v>
      </c>
      <c r="J107" s="3777">
        <v>5.8</v>
      </c>
      <c r="K107" s="3779">
        <v>1050201.3599999999</v>
      </c>
      <c r="L107" s="3782" t="s">
        <v>3719</v>
      </c>
      <c r="M107" s="3777" t="s">
        <v>4100</v>
      </c>
      <c r="N107" s="3785" t="s">
        <v>3632</v>
      </c>
      <c r="O107" s="3769"/>
      <c r="P107" s="3769"/>
    </row>
    <row r="108" spans="1:16" hidden="1">
      <c r="A108" s="3777">
        <v>606</v>
      </c>
      <c r="B108" s="3780" t="s">
        <v>3668</v>
      </c>
      <c r="C108" s="3777" t="s">
        <v>3669</v>
      </c>
      <c r="D108" s="3777" t="s">
        <v>4101</v>
      </c>
      <c r="E108" s="3777">
        <v>284.29000000000002</v>
      </c>
      <c r="F108" s="3777" t="s">
        <v>3654</v>
      </c>
      <c r="G108" s="3781" t="s">
        <v>3655</v>
      </c>
      <c r="H108" s="3777" t="s">
        <v>3617</v>
      </c>
      <c r="I108" s="3777" t="s">
        <v>3656</v>
      </c>
      <c r="J108" s="3777">
        <v>5.8</v>
      </c>
      <c r="K108" s="3779">
        <v>601841.93000000005</v>
      </c>
      <c r="L108" s="3782" t="s">
        <v>4081</v>
      </c>
      <c r="M108" s="3777" t="s">
        <v>4102</v>
      </c>
      <c r="N108" s="3785" t="s">
        <v>3632</v>
      </c>
      <c r="O108" s="3769"/>
      <c r="P108" s="3769"/>
    </row>
    <row r="109" spans="1:16" hidden="1">
      <c r="A109" s="3777">
        <v>608</v>
      </c>
      <c r="B109" s="3780" t="s">
        <v>4103</v>
      </c>
      <c r="C109" s="3777" t="s">
        <v>3613</v>
      </c>
      <c r="D109" s="3777" t="s">
        <v>4104</v>
      </c>
      <c r="E109" s="3777">
        <v>575.53</v>
      </c>
      <c r="F109" s="3777" t="s">
        <v>4105</v>
      </c>
      <c r="G109" s="3781" t="s">
        <v>4106</v>
      </c>
      <c r="H109" s="3777" t="s">
        <v>3617</v>
      </c>
      <c r="I109" s="3777" t="s">
        <v>4107</v>
      </c>
      <c r="J109" s="3777">
        <v>5.8</v>
      </c>
      <c r="K109" s="3779">
        <v>1218397.0099999998</v>
      </c>
      <c r="L109" s="3782" t="s">
        <v>4081</v>
      </c>
      <c r="M109" s="3777" t="s">
        <v>4108</v>
      </c>
      <c r="N109" s="3785" t="s">
        <v>3632</v>
      </c>
      <c r="O109" s="3769"/>
      <c r="P109" s="3769"/>
    </row>
    <row r="110" spans="1:16" hidden="1">
      <c r="A110" s="3777">
        <v>615</v>
      </c>
      <c r="B110" s="3780" t="s">
        <v>4109</v>
      </c>
      <c r="C110" s="3777" t="s">
        <v>3613</v>
      </c>
      <c r="D110" s="3825" t="s">
        <v>4110</v>
      </c>
      <c r="E110" s="3777">
        <v>95</v>
      </c>
      <c r="F110" s="3777" t="s">
        <v>4111</v>
      </c>
      <c r="G110" s="3781" t="s">
        <v>4112</v>
      </c>
      <c r="H110" s="3777" t="s">
        <v>3617</v>
      </c>
      <c r="I110" s="3777" t="s">
        <v>4113</v>
      </c>
      <c r="J110" s="3777">
        <v>5.8</v>
      </c>
      <c r="K110" s="3779">
        <v>201115</v>
      </c>
      <c r="L110" s="3782" t="s">
        <v>4095</v>
      </c>
      <c r="M110" s="3777" t="s">
        <v>4114</v>
      </c>
      <c r="N110" s="3785" t="s">
        <v>4115</v>
      </c>
      <c r="O110" s="3769"/>
      <c r="P110" s="3769"/>
    </row>
    <row r="111" spans="1:16" hidden="1">
      <c r="A111" s="3777">
        <v>616</v>
      </c>
      <c r="B111" s="3826" t="s">
        <v>4116</v>
      </c>
      <c r="C111" s="3777" t="s">
        <v>3613</v>
      </c>
      <c r="D111" s="3777" t="s">
        <v>4117</v>
      </c>
      <c r="E111" s="3777">
        <v>154.9</v>
      </c>
      <c r="F111" s="3777" t="s">
        <v>3837</v>
      </c>
      <c r="G111" s="3781" t="s">
        <v>4118</v>
      </c>
      <c r="H111" s="3777" t="s">
        <v>3617</v>
      </c>
      <c r="I111" s="3777" t="s">
        <v>4119</v>
      </c>
      <c r="J111" s="3777">
        <v>5.8</v>
      </c>
      <c r="K111" s="3779">
        <v>327923.3</v>
      </c>
      <c r="L111" s="3782" t="s">
        <v>4054</v>
      </c>
      <c r="M111" s="3777" t="s">
        <v>4120</v>
      </c>
      <c r="N111" s="3785" t="s">
        <v>4121</v>
      </c>
      <c r="O111" s="3769"/>
      <c r="P111" s="3769"/>
    </row>
    <row r="112" spans="1:16" hidden="1">
      <c r="A112" s="3777">
        <v>617</v>
      </c>
      <c r="B112" s="3780" t="s">
        <v>4122</v>
      </c>
      <c r="C112" s="3777" t="s">
        <v>3669</v>
      </c>
      <c r="D112" s="3777" t="s">
        <v>4123</v>
      </c>
      <c r="E112" s="3777">
        <v>158.93</v>
      </c>
      <c r="F112" s="3777" t="s">
        <v>4124</v>
      </c>
      <c r="G112" s="3781" t="s">
        <v>4125</v>
      </c>
      <c r="H112" s="3777" t="s">
        <v>3617</v>
      </c>
      <c r="I112" s="3777" t="s">
        <v>4126</v>
      </c>
      <c r="J112" s="3777">
        <v>5.8</v>
      </c>
      <c r="K112" s="3779">
        <v>336454.81</v>
      </c>
      <c r="L112" s="3782" t="s">
        <v>4054</v>
      </c>
      <c r="M112" s="3777" t="s">
        <v>4127</v>
      </c>
      <c r="N112" s="3785" t="s">
        <v>3632</v>
      </c>
      <c r="O112" s="3769"/>
      <c r="P112" s="3769"/>
    </row>
    <row r="113" spans="1:16" hidden="1">
      <c r="A113" s="3788">
        <v>619</v>
      </c>
      <c r="B113" s="3827" t="s">
        <v>4128</v>
      </c>
      <c r="C113" s="3788" t="s">
        <v>3613</v>
      </c>
      <c r="D113" s="3788" t="s">
        <v>4129</v>
      </c>
      <c r="E113" s="3788">
        <v>40</v>
      </c>
      <c r="F113" s="3788" t="s">
        <v>3636</v>
      </c>
      <c r="G113" s="3781" t="s">
        <v>3637</v>
      </c>
      <c r="H113" s="3788" t="s">
        <v>3628</v>
      </c>
      <c r="I113" s="3788" t="s">
        <v>3638</v>
      </c>
      <c r="J113" s="3777">
        <v>5.8</v>
      </c>
      <c r="K113" s="3779">
        <v>84680</v>
      </c>
      <c r="L113" s="3828" t="s">
        <v>4130</v>
      </c>
      <c r="M113" s="3788" t="s">
        <v>4040</v>
      </c>
      <c r="N113" s="3785" t="s">
        <v>3632</v>
      </c>
      <c r="O113" s="3769"/>
      <c r="P113" s="3769"/>
    </row>
    <row r="114" spans="1:16" s="3798" customFormat="1" hidden="1">
      <c r="A114" s="3829"/>
      <c r="B114" s="4673" t="s">
        <v>3075</v>
      </c>
      <c r="C114" s="4674"/>
      <c r="D114" s="4675"/>
      <c r="E114" s="3829">
        <f>SUM(E104:E113)</f>
        <v>2538.5699999999997</v>
      </c>
      <c r="F114" s="3829"/>
      <c r="G114" s="3830"/>
      <c r="H114" s="3829"/>
      <c r="I114" s="3810"/>
      <c r="J114" s="3810"/>
      <c r="K114" s="3831"/>
      <c r="L114" s="3832"/>
      <c r="M114" s="3829"/>
      <c r="N114" s="3791"/>
      <c r="O114" s="3797"/>
      <c r="P114" s="3797"/>
    </row>
    <row r="115" spans="1:16" hidden="1">
      <c r="A115" s="4667" t="s">
        <v>4131</v>
      </c>
      <c r="B115" s="4676" t="s">
        <v>4132</v>
      </c>
      <c r="C115" s="4667" t="s">
        <v>3669</v>
      </c>
      <c r="D115" s="4667" t="s">
        <v>4133</v>
      </c>
      <c r="E115" s="4667">
        <v>807.94</v>
      </c>
      <c r="F115" s="4667" t="s">
        <v>4134</v>
      </c>
      <c r="G115" s="4659" t="s">
        <v>4135</v>
      </c>
      <c r="H115" s="4667" t="s">
        <v>3617</v>
      </c>
      <c r="I115" s="3777" t="s">
        <v>4136</v>
      </c>
      <c r="J115" s="3802">
        <v>5.8</v>
      </c>
      <c r="K115" s="3833">
        <v>1710408.98</v>
      </c>
      <c r="L115" s="4653" t="s">
        <v>4095</v>
      </c>
      <c r="M115" s="4667" t="s">
        <v>4137</v>
      </c>
      <c r="N115" s="4658" t="s">
        <v>4138</v>
      </c>
      <c r="O115" s="3769"/>
      <c r="P115" s="3769"/>
    </row>
    <row r="116" spans="1:16" hidden="1">
      <c r="A116" s="4668"/>
      <c r="B116" s="4677"/>
      <c r="C116" s="4668"/>
      <c r="D116" s="4668"/>
      <c r="E116" s="4668"/>
      <c r="F116" s="4668"/>
      <c r="G116" s="4660"/>
      <c r="H116" s="4668"/>
      <c r="I116" s="3777" t="s">
        <v>4139</v>
      </c>
      <c r="J116" s="3802">
        <v>6</v>
      </c>
      <c r="K116" s="3833"/>
      <c r="L116" s="4658"/>
      <c r="M116" s="4668"/>
      <c r="N116" s="4658"/>
      <c r="O116" s="3769"/>
      <c r="P116" s="3769"/>
    </row>
    <row r="117" spans="1:16" hidden="1">
      <c r="A117" s="4668"/>
      <c r="B117" s="4677"/>
      <c r="C117" s="4668"/>
      <c r="D117" s="4668"/>
      <c r="E117" s="4668"/>
      <c r="F117" s="4668"/>
      <c r="G117" s="4660"/>
      <c r="H117" s="4668"/>
      <c r="I117" s="3802" t="s">
        <v>4140</v>
      </c>
      <c r="J117" s="3802">
        <v>6.2</v>
      </c>
      <c r="K117" s="3833"/>
      <c r="L117" s="4658"/>
      <c r="M117" s="4668"/>
      <c r="N117" s="4658"/>
      <c r="O117" s="3769"/>
      <c r="P117" s="3769"/>
    </row>
    <row r="118" spans="1:16" hidden="1">
      <c r="A118" s="4668"/>
      <c r="B118" s="4677"/>
      <c r="C118" s="4668"/>
      <c r="D118" s="4668"/>
      <c r="E118" s="4668"/>
      <c r="F118" s="4668"/>
      <c r="G118" s="4660"/>
      <c r="H118" s="4668"/>
      <c r="I118" s="3802" t="s">
        <v>4141</v>
      </c>
      <c r="J118" s="3802">
        <v>6.4</v>
      </c>
      <c r="K118" s="3833"/>
      <c r="L118" s="4658"/>
      <c r="M118" s="4668"/>
      <c r="N118" s="4658"/>
      <c r="O118" s="3769"/>
      <c r="P118" s="3769"/>
    </row>
    <row r="119" spans="1:16" hidden="1">
      <c r="A119" s="4669"/>
      <c r="B119" s="4678"/>
      <c r="C119" s="4669"/>
      <c r="D119" s="4669"/>
      <c r="E119" s="4669"/>
      <c r="F119" s="4669"/>
      <c r="G119" s="4661"/>
      <c r="H119" s="4669"/>
      <c r="I119" s="3802" t="s">
        <v>4142</v>
      </c>
      <c r="J119" s="3802">
        <v>6.6</v>
      </c>
      <c r="K119" s="3833"/>
      <c r="L119" s="4654"/>
      <c r="M119" s="4669"/>
      <c r="N119" s="4654"/>
      <c r="O119" s="3769"/>
      <c r="P119" s="3834"/>
    </row>
    <row r="120" spans="1:16" hidden="1">
      <c r="A120" s="4653" t="s">
        <v>4143</v>
      </c>
      <c r="B120" s="4655" t="s">
        <v>4144</v>
      </c>
      <c r="C120" s="4653" t="s">
        <v>3669</v>
      </c>
      <c r="D120" s="4653" t="s">
        <v>4145</v>
      </c>
      <c r="E120" s="4653">
        <v>902.05</v>
      </c>
      <c r="F120" s="4653" t="s">
        <v>4146</v>
      </c>
      <c r="G120" s="4659" t="s">
        <v>4147</v>
      </c>
      <c r="H120" s="4653" t="s">
        <v>3617</v>
      </c>
      <c r="I120" s="3777" t="s">
        <v>4148</v>
      </c>
      <c r="J120" s="3777">
        <v>5.5</v>
      </c>
      <c r="K120" s="3833"/>
      <c r="L120" s="4650" t="s">
        <v>4095</v>
      </c>
      <c r="M120" s="4652" t="s">
        <v>4149</v>
      </c>
      <c r="N120" s="4653" t="s">
        <v>4150</v>
      </c>
      <c r="O120" s="3769"/>
      <c r="P120" s="3769"/>
    </row>
    <row r="121" spans="1:16" hidden="1">
      <c r="A121" s="4658"/>
      <c r="B121" s="4662"/>
      <c r="C121" s="4658"/>
      <c r="D121" s="4658"/>
      <c r="E121" s="4658"/>
      <c r="F121" s="4658"/>
      <c r="G121" s="4660"/>
      <c r="H121" s="4658"/>
      <c r="I121" s="3777" t="s">
        <v>4151</v>
      </c>
      <c r="J121" s="3777">
        <v>5.8</v>
      </c>
      <c r="K121" s="3833">
        <v>1909639.85</v>
      </c>
      <c r="L121" s="4663"/>
      <c r="M121" s="4652"/>
      <c r="N121" s="4658"/>
      <c r="O121" s="3769"/>
      <c r="P121" s="3769"/>
    </row>
    <row r="122" spans="1:16" hidden="1">
      <c r="A122" s="4654"/>
      <c r="B122" s="4656"/>
      <c r="C122" s="4654"/>
      <c r="D122" s="4654"/>
      <c r="E122" s="4654"/>
      <c r="F122" s="4654"/>
      <c r="G122" s="4661"/>
      <c r="H122" s="4654"/>
      <c r="I122" s="3777" t="s">
        <v>4152</v>
      </c>
      <c r="J122" s="3777">
        <v>6</v>
      </c>
      <c r="K122" s="3833"/>
      <c r="L122" s="4651"/>
      <c r="M122" s="4652"/>
      <c r="N122" s="4658"/>
      <c r="O122" s="3769"/>
      <c r="P122" s="3769"/>
    </row>
    <row r="123" spans="1:16" hidden="1">
      <c r="A123" s="4653" t="s">
        <v>4153</v>
      </c>
      <c r="B123" s="4655" t="s">
        <v>4144</v>
      </c>
      <c r="C123" s="4653" t="s">
        <v>3669</v>
      </c>
      <c r="D123" s="4653" t="s">
        <v>4154</v>
      </c>
      <c r="E123" s="4653">
        <v>554.76</v>
      </c>
      <c r="F123" s="4653" t="s">
        <v>4146</v>
      </c>
      <c r="G123" s="4659" t="s">
        <v>4147</v>
      </c>
      <c r="H123" s="4653" t="s">
        <v>3617</v>
      </c>
      <c r="I123" s="3777" t="s">
        <v>4148</v>
      </c>
      <c r="J123" s="3777">
        <v>5.5</v>
      </c>
      <c r="K123" s="3833"/>
      <c r="L123" s="4650" t="s">
        <v>4095</v>
      </c>
      <c r="M123" s="4652" t="s">
        <v>4149</v>
      </c>
      <c r="N123" s="4653" t="s">
        <v>4150</v>
      </c>
      <c r="O123" s="3769"/>
      <c r="P123" s="3769"/>
    </row>
    <row r="124" spans="1:16" hidden="1">
      <c r="A124" s="4658"/>
      <c r="B124" s="4662"/>
      <c r="C124" s="4658"/>
      <c r="D124" s="4658"/>
      <c r="E124" s="4658"/>
      <c r="F124" s="4658"/>
      <c r="G124" s="4660"/>
      <c r="H124" s="4658"/>
      <c r="I124" s="3777" t="s">
        <v>4151</v>
      </c>
      <c r="J124" s="3777">
        <v>5.8</v>
      </c>
      <c r="K124" s="3833">
        <v>1174426.92</v>
      </c>
      <c r="L124" s="4663"/>
      <c r="M124" s="4652"/>
      <c r="N124" s="4658"/>
      <c r="O124" s="3769"/>
      <c r="P124" s="3769"/>
    </row>
    <row r="125" spans="1:16" hidden="1">
      <c r="A125" s="4654"/>
      <c r="B125" s="4656"/>
      <c r="C125" s="4654"/>
      <c r="D125" s="4654"/>
      <c r="E125" s="4654"/>
      <c r="F125" s="4654"/>
      <c r="G125" s="4661"/>
      <c r="H125" s="4654"/>
      <c r="I125" s="3777" t="s">
        <v>4152</v>
      </c>
      <c r="J125" s="3777">
        <v>6</v>
      </c>
      <c r="K125" s="3833"/>
      <c r="L125" s="4651"/>
      <c r="M125" s="4652"/>
      <c r="N125" s="4658"/>
      <c r="O125" s="3769"/>
      <c r="P125" s="3769"/>
    </row>
    <row r="126" spans="1:16" hidden="1">
      <c r="A126" s="4653" t="s">
        <v>4155</v>
      </c>
      <c r="B126" s="4655" t="s">
        <v>4156</v>
      </c>
      <c r="C126" s="4653" t="s">
        <v>3669</v>
      </c>
      <c r="D126" s="4653" t="s">
        <v>4157</v>
      </c>
      <c r="E126" s="4653">
        <v>554.76</v>
      </c>
      <c r="F126" s="4653" t="s">
        <v>4146</v>
      </c>
      <c r="G126" s="4659" t="s">
        <v>4147</v>
      </c>
      <c r="H126" s="4653" t="s">
        <v>3617</v>
      </c>
      <c r="I126" s="3777" t="s">
        <v>4148</v>
      </c>
      <c r="J126" s="3777">
        <v>5.5</v>
      </c>
      <c r="K126" s="3833"/>
      <c r="L126" s="4650" t="s">
        <v>4095</v>
      </c>
      <c r="M126" s="4652" t="s">
        <v>4158</v>
      </c>
      <c r="N126" s="4653" t="s">
        <v>4150</v>
      </c>
      <c r="O126" s="3769"/>
      <c r="P126" s="3769"/>
    </row>
    <row r="127" spans="1:16" hidden="1">
      <c r="A127" s="4658"/>
      <c r="B127" s="4662"/>
      <c r="C127" s="4658"/>
      <c r="D127" s="4658"/>
      <c r="E127" s="4658"/>
      <c r="F127" s="4658"/>
      <c r="G127" s="4660"/>
      <c r="H127" s="4658"/>
      <c r="I127" s="3777" t="s">
        <v>4151</v>
      </c>
      <c r="J127" s="3777">
        <v>5.8</v>
      </c>
      <c r="K127" s="3833">
        <v>1174426.92</v>
      </c>
      <c r="L127" s="4663"/>
      <c r="M127" s="4652"/>
      <c r="N127" s="4658"/>
      <c r="O127" s="3769"/>
      <c r="P127" s="3769"/>
    </row>
    <row r="128" spans="1:16" hidden="1">
      <c r="A128" s="4654"/>
      <c r="B128" s="4656"/>
      <c r="C128" s="4654"/>
      <c r="D128" s="4654"/>
      <c r="E128" s="4654"/>
      <c r="F128" s="4654"/>
      <c r="G128" s="4661"/>
      <c r="H128" s="4654"/>
      <c r="I128" s="3777" t="s">
        <v>4152</v>
      </c>
      <c r="J128" s="3777">
        <v>6</v>
      </c>
      <c r="K128" s="3833"/>
      <c r="L128" s="4651"/>
      <c r="M128" s="4652"/>
      <c r="N128" s="4658"/>
      <c r="O128" s="3769"/>
      <c r="P128" s="3769"/>
    </row>
    <row r="129" spans="1:16" hidden="1">
      <c r="A129" s="4655" t="s">
        <v>4159</v>
      </c>
      <c r="B129" s="4655" t="s">
        <v>4160</v>
      </c>
      <c r="C129" s="4653" t="s">
        <v>3669</v>
      </c>
      <c r="D129" s="4653" t="s">
        <v>4161</v>
      </c>
      <c r="E129" s="4653">
        <v>554.76</v>
      </c>
      <c r="F129" s="4653" t="s">
        <v>4146</v>
      </c>
      <c r="G129" s="4659" t="s">
        <v>4147</v>
      </c>
      <c r="H129" s="4653" t="s">
        <v>3617</v>
      </c>
      <c r="I129" s="3777" t="s">
        <v>4148</v>
      </c>
      <c r="J129" s="3777">
        <v>5.5</v>
      </c>
      <c r="K129" s="3833"/>
      <c r="L129" s="4650" t="s">
        <v>4095</v>
      </c>
      <c r="M129" s="4652" t="s">
        <v>4158</v>
      </c>
      <c r="N129" s="4653" t="s">
        <v>4150</v>
      </c>
      <c r="O129" s="3769"/>
      <c r="P129" s="3769"/>
    </row>
    <row r="130" spans="1:16" hidden="1">
      <c r="A130" s="4662"/>
      <c r="B130" s="4662"/>
      <c r="C130" s="4658"/>
      <c r="D130" s="4658"/>
      <c r="E130" s="4658"/>
      <c r="F130" s="4658"/>
      <c r="G130" s="4660"/>
      <c r="H130" s="4658"/>
      <c r="I130" s="3777" t="s">
        <v>4151</v>
      </c>
      <c r="J130" s="3777">
        <v>5.8</v>
      </c>
      <c r="K130" s="3833">
        <v>1174427</v>
      </c>
      <c r="L130" s="4663"/>
      <c r="M130" s="4652"/>
      <c r="N130" s="4658"/>
      <c r="O130" s="3769"/>
      <c r="P130" s="3769"/>
    </row>
    <row r="131" spans="1:16" hidden="1">
      <c r="A131" s="4656"/>
      <c r="B131" s="4656"/>
      <c r="C131" s="4654"/>
      <c r="D131" s="4654"/>
      <c r="E131" s="4654"/>
      <c r="F131" s="4654"/>
      <c r="G131" s="4661"/>
      <c r="H131" s="4654"/>
      <c r="I131" s="3777" t="s">
        <v>4152</v>
      </c>
      <c r="J131" s="3777">
        <v>6</v>
      </c>
      <c r="K131" s="3833"/>
      <c r="L131" s="4651"/>
      <c r="M131" s="4652"/>
      <c r="N131" s="4658"/>
      <c r="O131" s="3769"/>
      <c r="P131" s="3769"/>
    </row>
    <row r="132" spans="1:16" hidden="1">
      <c r="A132" s="4655" t="s">
        <v>4162</v>
      </c>
      <c r="B132" s="4664" t="s">
        <v>4163</v>
      </c>
      <c r="C132" s="4653" t="s">
        <v>3669</v>
      </c>
      <c r="D132" s="4653" t="s">
        <v>4164</v>
      </c>
      <c r="E132" s="4653">
        <v>454.76</v>
      </c>
      <c r="F132" s="4653" t="s">
        <v>4146</v>
      </c>
      <c r="G132" s="4659" t="s">
        <v>4147</v>
      </c>
      <c r="H132" s="4653" t="s">
        <v>3617</v>
      </c>
      <c r="I132" s="3777" t="s">
        <v>4148</v>
      </c>
      <c r="J132" s="3777">
        <v>5.5</v>
      </c>
      <c r="K132" s="3833"/>
      <c r="L132" s="4650" t="s">
        <v>4095</v>
      </c>
      <c r="M132" s="4652" t="s">
        <v>4158</v>
      </c>
      <c r="N132" s="4653" t="s">
        <v>4150</v>
      </c>
      <c r="O132" s="3769"/>
      <c r="P132" s="3769"/>
    </row>
    <row r="133" spans="1:16" hidden="1">
      <c r="A133" s="4662"/>
      <c r="B133" s="4665"/>
      <c r="C133" s="4658"/>
      <c r="D133" s="4658"/>
      <c r="E133" s="4658"/>
      <c r="F133" s="4658"/>
      <c r="G133" s="4660"/>
      <c r="H133" s="4658"/>
      <c r="I133" s="3777" t="s">
        <v>4151</v>
      </c>
      <c r="J133" s="3777">
        <v>5.8</v>
      </c>
      <c r="K133" s="3833">
        <v>962726.92</v>
      </c>
      <c r="L133" s="4663"/>
      <c r="M133" s="4652"/>
      <c r="N133" s="4658"/>
      <c r="O133" s="3769"/>
      <c r="P133" s="3769"/>
    </row>
    <row r="134" spans="1:16" hidden="1">
      <c r="A134" s="4656"/>
      <c r="B134" s="4665"/>
      <c r="C134" s="4654"/>
      <c r="D134" s="4654"/>
      <c r="E134" s="4654"/>
      <c r="F134" s="4654"/>
      <c r="G134" s="4661"/>
      <c r="H134" s="4654"/>
      <c r="I134" s="3777" t="s">
        <v>4152</v>
      </c>
      <c r="J134" s="3777">
        <v>6</v>
      </c>
      <c r="K134" s="3833"/>
      <c r="L134" s="4651"/>
      <c r="M134" s="4652"/>
      <c r="N134" s="4658"/>
      <c r="O134" s="3769"/>
      <c r="P134" s="3769"/>
    </row>
    <row r="135" spans="1:16" hidden="1">
      <c r="A135" s="4653" t="s">
        <v>4165</v>
      </c>
      <c r="B135" s="4665"/>
      <c r="C135" s="4653" t="s">
        <v>3669</v>
      </c>
      <c r="D135" s="4653" t="s">
        <v>4166</v>
      </c>
      <c r="E135" s="4653">
        <v>100</v>
      </c>
      <c r="F135" s="4653" t="s">
        <v>4146</v>
      </c>
      <c r="G135" s="4659" t="s">
        <v>4147</v>
      </c>
      <c r="H135" s="4653" t="s">
        <v>3617</v>
      </c>
      <c r="I135" s="3777" t="s">
        <v>4148</v>
      </c>
      <c r="J135" s="3777">
        <v>5.5</v>
      </c>
      <c r="K135" s="3833"/>
      <c r="L135" s="4650" t="s">
        <v>4095</v>
      </c>
      <c r="M135" s="4652" t="s">
        <v>4158</v>
      </c>
      <c r="N135" s="4653" t="s">
        <v>4150</v>
      </c>
      <c r="O135" s="3769"/>
      <c r="P135" s="3769"/>
    </row>
    <row r="136" spans="1:16" hidden="1">
      <c r="A136" s="4658"/>
      <c r="B136" s="4665"/>
      <c r="C136" s="4658"/>
      <c r="D136" s="4658"/>
      <c r="E136" s="4658"/>
      <c r="F136" s="4658"/>
      <c r="G136" s="4660"/>
      <c r="H136" s="4658"/>
      <c r="I136" s="3777" t="s">
        <v>4151</v>
      </c>
      <c r="J136" s="3777">
        <v>5.8</v>
      </c>
      <c r="K136" s="3833">
        <v>211700</v>
      </c>
      <c r="L136" s="4663"/>
      <c r="M136" s="4652"/>
      <c r="N136" s="4658"/>
      <c r="O136" s="3769"/>
      <c r="P136" s="3769"/>
    </row>
    <row r="137" spans="1:16" hidden="1">
      <c r="A137" s="4654"/>
      <c r="B137" s="4666"/>
      <c r="C137" s="4654"/>
      <c r="D137" s="4654"/>
      <c r="E137" s="4654"/>
      <c r="F137" s="4654"/>
      <c r="G137" s="4661"/>
      <c r="H137" s="4654"/>
      <c r="I137" s="3777" t="s">
        <v>4152</v>
      </c>
      <c r="J137" s="3777">
        <v>6</v>
      </c>
      <c r="K137" s="3833"/>
      <c r="L137" s="4651"/>
      <c r="M137" s="4652"/>
      <c r="N137" s="4658"/>
      <c r="O137" s="3769"/>
      <c r="P137" s="3769"/>
    </row>
    <row r="138" spans="1:16" hidden="1">
      <c r="A138" s="3777" t="s">
        <v>4167</v>
      </c>
      <c r="B138" s="3780" t="s">
        <v>4168</v>
      </c>
      <c r="C138" s="3777" t="s">
        <v>3669</v>
      </c>
      <c r="D138" s="3801" t="s">
        <v>4169</v>
      </c>
      <c r="E138" s="3777">
        <v>514.76</v>
      </c>
      <c r="F138" s="3777" t="s">
        <v>4170</v>
      </c>
      <c r="G138" s="3781" t="s">
        <v>4171</v>
      </c>
      <c r="H138" s="3777" t="s">
        <v>3617</v>
      </c>
      <c r="I138" s="3777" t="s">
        <v>4172</v>
      </c>
      <c r="J138" s="3777">
        <v>5.8</v>
      </c>
      <c r="K138" s="3833">
        <v>1089746.92</v>
      </c>
      <c r="L138" s="3782" t="s">
        <v>4054</v>
      </c>
      <c r="M138" s="3777" t="s">
        <v>4173</v>
      </c>
      <c r="N138" s="3777" t="s">
        <v>3632</v>
      </c>
      <c r="O138" s="3769"/>
      <c r="P138" s="3769"/>
    </row>
    <row r="139" spans="1:16" hidden="1">
      <c r="A139" s="4653" t="s">
        <v>4174</v>
      </c>
      <c r="B139" s="4655" t="s">
        <v>4175</v>
      </c>
      <c r="C139" s="4653" t="s">
        <v>3669</v>
      </c>
      <c r="D139" s="4653" t="s">
        <v>4176</v>
      </c>
      <c r="E139" s="4653">
        <v>514.76</v>
      </c>
      <c r="F139" s="3777" t="s">
        <v>4177</v>
      </c>
      <c r="G139" s="3781" t="s">
        <v>3865</v>
      </c>
      <c r="H139" s="4653" t="s">
        <v>3617</v>
      </c>
      <c r="I139" s="3777" t="s">
        <v>4178</v>
      </c>
      <c r="J139" s="3777">
        <v>5.5</v>
      </c>
      <c r="K139" s="3833"/>
      <c r="L139" s="4650" t="s">
        <v>4054</v>
      </c>
      <c r="M139" s="4652" t="s">
        <v>4179</v>
      </c>
      <c r="N139" s="4652" t="s">
        <v>3632</v>
      </c>
      <c r="O139" s="3769"/>
      <c r="P139" s="3769"/>
    </row>
    <row r="140" spans="1:16" hidden="1">
      <c r="A140" s="4654"/>
      <c r="B140" s="4656"/>
      <c r="C140" s="4654"/>
      <c r="D140" s="4654"/>
      <c r="E140" s="4654"/>
      <c r="F140" s="3777" t="s">
        <v>4180</v>
      </c>
      <c r="G140" s="3781" t="s">
        <v>4181</v>
      </c>
      <c r="H140" s="4654"/>
      <c r="I140" s="3777" t="s">
        <v>4182</v>
      </c>
      <c r="J140" s="3777">
        <v>5.8</v>
      </c>
      <c r="K140" s="3833">
        <v>1089746.92</v>
      </c>
      <c r="L140" s="4651"/>
      <c r="M140" s="4652"/>
      <c r="N140" s="4652"/>
      <c r="O140" s="3769"/>
      <c r="P140" s="3769"/>
    </row>
    <row r="141" spans="1:16" hidden="1">
      <c r="A141" s="4653" t="s">
        <v>4183</v>
      </c>
      <c r="B141" s="4655" t="s">
        <v>4175</v>
      </c>
      <c r="C141" s="4653" t="s">
        <v>3669</v>
      </c>
      <c r="D141" s="4653" t="s">
        <v>4184</v>
      </c>
      <c r="E141" s="4653">
        <v>509.06</v>
      </c>
      <c r="F141" s="3777" t="s">
        <v>4185</v>
      </c>
      <c r="G141" s="3781" t="s">
        <v>3865</v>
      </c>
      <c r="H141" s="4653" t="s">
        <v>3617</v>
      </c>
      <c r="I141" s="3777" t="s">
        <v>4186</v>
      </c>
      <c r="J141" s="3777">
        <v>5.5</v>
      </c>
      <c r="K141" s="3779"/>
      <c r="L141" s="4650" t="s">
        <v>4054</v>
      </c>
      <c r="M141" s="4652" t="s">
        <v>4187</v>
      </c>
      <c r="N141" s="4652" t="s">
        <v>3632</v>
      </c>
      <c r="O141" s="3769"/>
      <c r="P141" s="3769"/>
    </row>
    <row r="142" spans="1:16" hidden="1">
      <c r="A142" s="4654"/>
      <c r="B142" s="4656"/>
      <c r="C142" s="4654"/>
      <c r="D142" s="4654"/>
      <c r="E142" s="4654"/>
      <c r="F142" s="3777" t="s">
        <v>4188</v>
      </c>
      <c r="G142" s="3781" t="s">
        <v>4181</v>
      </c>
      <c r="H142" s="4654"/>
      <c r="I142" s="3777" t="s">
        <v>4182</v>
      </c>
      <c r="J142" s="3777">
        <v>5.8</v>
      </c>
      <c r="K142" s="3779">
        <v>1077680.02</v>
      </c>
      <c r="L142" s="4651"/>
      <c r="M142" s="4652"/>
      <c r="N142" s="4652"/>
      <c r="O142" s="3769"/>
      <c r="P142" s="3769"/>
    </row>
    <row r="143" spans="1:16" s="3798" customFormat="1" hidden="1">
      <c r="A143" s="3792"/>
      <c r="B143" s="4657" t="s">
        <v>4189</v>
      </c>
      <c r="C143" s="4657"/>
      <c r="D143" s="4657"/>
      <c r="E143" s="3792">
        <f>SUM(E115:E142)</f>
        <v>5467.6100000000015</v>
      </c>
      <c r="F143" s="3792"/>
      <c r="G143" s="3793"/>
      <c r="H143" s="3792"/>
      <c r="I143" s="3792"/>
      <c r="J143" s="3792"/>
      <c r="K143" s="3795"/>
      <c r="L143" s="3792"/>
      <c r="M143" s="3792"/>
      <c r="N143" s="3792"/>
      <c r="O143" s="3797"/>
      <c r="P143" s="3797"/>
    </row>
    <row r="144" spans="1:16" s="3837" customFormat="1" ht="13.5" hidden="1" customHeight="1">
      <c r="A144" s="4647" t="s">
        <v>4190</v>
      </c>
      <c r="B144" s="4648"/>
      <c r="C144" s="4648"/>
      <c r="D144" s="4649"/>
      <c r="E144" s="3835">
        <f>E143+E114+E103+E91+E75+E61+E47+E31</f>
        <v>32126.140000000003</v>
      </c>
      <c r="F144" s="3835"/>
      <c r="G144" s="3835"/>
      <c r="H144" s="3835"/>
      <c r="I144" s="3835"/>
      <c r="J144" s="3835"/>
      <c r="K144" s="3836">
        <f>SUM(K3:K142)</f>
        <v>65439292.260000005</v>
      </c>
      <c r="L144" s="3835"/>
      <c r="M144" s="3835"/>
      <c r="N144" s="3835"/>
    </row>
  </sheetData>
  <mergeCells count="303">
    <mergeCell ref="A1:N1"/>
    <mergeCell ref="A3:A4"/>
    <mergeCell ref="B3:B4"/>
    <mergeCell ref="C3:C4"/>
    <mergeCell ref="D3:D4"/>
    <mergeCell ref="F3:F4"/>
    <mergeCell ref="G3:G4"/>
    <mergeCell ref="H3:H4"/>
    <mergeCell ref="L3:L4"/>
    <mergeCell ref="M3:M4"/>
    <mergeCell ref="N3:N4"/>
    <mergeCell ref="N7:N9"/>
    <mergeCell ref="A11:A13"/>
    <mergeCell ref="B11:B13"/>
    <mergeCell ref="C11:C13"/>
    <mergeCell ref="D11:D13"/>
    <mergeCell ref="F11:F13"/>
    <mergeCell ref="G11:G13"/>
    <mergeCell ref="H11:H13"/>
    <mergeCell ref="L11:L13"/>
    <mergeCell ref="M11:M13"/>
    <mergeCell ref="A7:A9"/>
    <mergeCell ref="B7:B9"/>
    <mergeCell ref="C7:C9"/>
    <mergeCell ref="D7:D9"/>
    <mergeCell ref="F7:F9"/>
    <mergeCell ref="G7:G9"/>
    <mergeCell ref="H7:H9"/>
    <mergeCell ref="L7:L9"/>
    <mergeCell ref="M7:M9"/>
    <mergeCell ref="N14:N15"/>
    <mergeCell ref="A16:A17"/>
    <mergeCell ref="B16:B17"/>
    <mergeCell ref="C16:C17"/>
    <mergeCell ref="D16:D17"/>
    <mergeCell ref="L16:L17"/>
    <mergeCell ref="N11:N13"/>
    <mergeCell ref="A14:A15"/>
    <mergeCell ref="B14:B15"/>
    <mergeCell ref="C14:C15"/>
    <mergeCell ref="D14:D15"/>
    <mergeCell ref="F14:F15"/>
    <mergeCell ref="G14:G15"/>
    <mergeCell ref="H14:H15"/>
    <mergeCell ref="L14:L15"/>
    <mergeCell ref="M14:M15"/>
    <mergeCell ref="M19:M20"/>
    <mergeCell ref="N19:N20"/>
    <mergeCell ref="A25:A27"/>
    <mergeCell ref="B25:B27"/>
    <mergeCell ref="C25:C27"/>
    <mergeCell ref="D25:D27"/>
    <mergeCell ref="F25:F27"/>
    <mergeCell ref="G25:G27"/>
    <mergeCell ref="H25:H27"/>
    <mergeCell ref="I25:I27"/>
    <mergeCell ref="A19:A20"/>
    <mergeCell ref="B19:B20"/>
    <mergeCell ref="C19:C20"/>
    <mergeCell ref="D19:D20"/>
    <mergeCell ref="H19:H20"/>
    <mergeCell ref="L19:L20"/>
    <mergeCell ref="L25:L27"/>
    <mergeCell ref="M25:M27"/>
    <mergeCell ref="N25:N27"/>
    <mergeCell ref="N36:N37"/>
    <mergeCell ref="H39:H40"/>
    <mergeCell ref="L39:L40"/>
    <mergeCell ref="M39:M40"/>
    <mergeCell ref="N39:N40"/>
    <mergeCell ref="A28:A30"/>
    <mergeCell ref="B28:B30"/>
    <mergeCell ref="C28:C30"/>
    <mergeCell ref="D28:D30"/>
    <mergeCell ref="H28:H30"/>
    <mergeCell ref="L28:L30"/>
    <mergeCell ref="M28:M30"/>
    <mergeCell ref="N28:N30"/>
    <mergeCell ref="B31:D31"/>
    <mergeCell ref="A39:A40"/>
    <mergeCell ref="B39:B40"/>
    <mergeCell ref="C39:C40"/>
    <mergeCell ref="D39:D40"/>
    <mergeCell ref="F39:F40"/>
    <mergeCell ref="G39:G40"/>
    <mergeCell ref="A36:A37"/>
    <mergeCell ref="B36:B37"/>
    <mergeCell ref="C36:C37"/>
    <mergeCell ref="D36:D37"/>
    <mergeCell ref="E36:E37"/>
    <mergeCell ref="M41:M42"/>
    <mergeCell ref="A43:A46"/>
    <mergeCell ref="B43:B46"/>
    <mergeCell ref="C43:C46"/>
    <mergeCell ref="D43:D46"/>
    <mergeCell ref="E43:E46"/>
    <mergeCell ref="I43:I46"/>
    <mergeCell ref="L43:L46"/>
    <mergeCell ref="M43:M46"/>
    <mergeCell ref="A41:A42"/>
    <mergeCell ref="B41:B42"/>
    <mergeCell ref="C41:C42"/>
    <mergeCell ref="D41:D42"/>
    <mergeCell ref="E41:E42"/>
    <mergeCell ref="I41:I42"/>
    <mergeCell ref="I36:I37"/>
    <mergeCell ref="M36:M37"/>
    <mergeCell ref="M48:M49"/>
    <mergeCell ref="A50:A51"/>
    <mergeCell ref="B50:B51"/>
    <mergeCell ref="C50:C51"/>
    <mergeCell ref="D50:D51"/>
    <mergeCell ref="F50:F51"/>
    <mergeCell ref="G50:G51"/>
    <mergeCell ref="N43:N46"/>
    <mergeCell ref="B47:D47"/>
    <mergeCell ref="A48:A49"/>
    <mergeCell ref="B48:B49"/>
    <mergeCell ref="C48:C49"/>
    <mergeCell ref="D48:D49"/>
    <mergeCell ref="F48:F49"/>
    <mergeCell ref="G48:G49"/>
    <mergeCell ref="H48:H49"/>
    <mergeCell ref="L48:L49"/>
    <mergeCell ref="N50:N51"/>
    <mergeCell ref="N53:N54"/>
    <mergeCell ref="A55:A56"/>
    <mergeCell ref="B55:B56"/>
    <mergeCell ref="C55:C56"/>
    <mergeCell ref="D55:D56"/>
    <mergeCell ref="E55:E56"/>
    <mergeCell ref="F55:F56"/>
    <mergeCell ref="G55:G56"/>
    <mergeCell ref="H55:H56"/>
    <mergeCell ref="A53:A54"/>
    <mergeCell ref="B53:B54"/>
    <mergeCell ref="C53:C54"/>
    <mergeCell ref="D53:D54"/>
    <mergeCell ref="E53:E54"/>
    <mergeCell ref="F53:F54"/>
    <mergeCell ref="G53:G54"/>
    <mergeCell ref="H53:H54"/>
    <mergeCell ref="L53:L54"/>
    <mergeCell ref="L55:L56"/>
    <mergeCell ref="M55:M56"/>
    <mergeCell ref="N55:N56"/>
    <mergeCell ref="C57:C59"/>
    <mergeCell ref="D57:D59"/>
    <mergeCell ref="E57:E59"/>
    <mergeCell ref="F57:F59"/>
    <mergeCell ref="G57:G59"/>
    <mergeCell ref="H57:H59"/>
    <mergeCell ref="L57:L59"/>
    <mergeCell ref="M53:M54"/>
    <mergeCell ref="M57:M59"/>
    <mergeCell ref="N57:N59"/>
    <mergeCell ref="L79:L81"/>
    <mergeCell ref="M79:M81"/>
    <mergeCell ref="N79:N81"/>
    <mergeCell ref="B75:D75"/>
    <mergeCell ref="A79:A81"/>
    <mergeCell ref="B79:B81"/>
    <mergeCell ref="C79:C81"/>
    <mergeCell ref="D79:D81"/>
    <mergeCell ref="E79:E81"/>
    <mergeCell ref="B61:D61"/>
    <mergeCell ref="A70:A71"/>
    <mergeCell ref="B70:B71"/>
    <mergeCell ref="C70:C71"/>
    <mergeCell ref="D70:D71"/>
    <mergeCell ref="E70:E71"/>
    <mergeCell ref="F70:F71"/>
    <mergeCell ref="G70:G71"/>
    <mergeCell ref="H70:H71"/>
    <mergeCell ref="L70:L71"/>
    <mergeCell ref="M70:M71"/>
    <mergeCell ref="N70:N71"/>
    <mergeCell ref="A57:A59"/>
    <mergeCell ref="B57:B59"/>
    <mergeCell ref="A84:A85"/>
    <mergeCell ref="B84:B85"/>
    <mergeCell ref="C84:C85"/>
    <mergeCell ref="D84:D85"/>
    <mergeCell ref="E84:E85"/>
    <mergeCell ref="F84:F85"/>
    <mergeCell ref="F79:F81"/>
    <mergeCell ref="G79:G81"/>
    <mergeCell ref="H79:H81"/>
    <mergeCell ref="H87:H88"/>
    <mergeCell ref="L87:L88"/>
    <mergeCell ref="M87:M88"/>
    <mergeCell ref="N87:N88"/>
    <mergeCell ref="G84:G85"/>
    <mergeCell ref="H84:H85"/>
    <mergeCell ref="L84:L85"/>
    <mergeCell ref="M84:M85"/>
    <mergeCell ref="N84:N85"/>
    <mergeCell ref="B91:D91"/>
    <mergeCell ref="B103:D103"/>
    <mergeCell ref="B114:D114"/>
    <mergeCell ref="A115:A119"/>
    <mergeCell ref="B115:B119"/>
    <mergeCell ref="C115:C119"/>
    <mergeCell ref="D115:D119"/>
    <mergeCell ref="F87:F88"/>
    <mergeCell ref="G87:G88"/>
    <mergeCell ref="A87:A88"/>
    <mergeCell ref="B87:B88"/>
    <mergeCell ref="C87:C88"/>
    <mergeCell ref="D87:D88"/>
    <mergeCell ref="E87:E88"/>
    <mergeCell ref="N115:N119"/>
    <mergeCell ref="A120:A122"/>
    <mergeCell ref="B120:B122"/>
    <mergeCell ref="C120:C122"/>
    <mergeCell ref="D120:D122"/>
    <mergeCell ref="E120:E122"/>
    <mergeCell ref="F120:F122"/>
    <mergeCell ref="G120:G122"/>
    <mergeCell ref="H120:H122"/>
    <mergeCell ref="L120:L122"/>
    <mergeCell ref="E115:E119"/>
    <mergeCell ref="F115:F119"/>
    <mergeCell ref="G115:G119"/>
    <mergeCell ref="H115:H119"/>
    <mergeCell ref="L115:L119"/>
    <mergeCell ref="M115:M119"/>
    <mergeCell ref="M120:M122"/>
    <mergeCell ref="N120:N122"/>
    <mergeCell ref="A123:A125"/>
    <mergeCell ref="B123:B125"/>
    <mergeCell ref="C123:C125"/>
    <mergeCell ref="D123:D125"/>
    <mergeCell ref="E123:E125"/>
    <mergeCell ref="F123:F125"/>
    <mergeCell ref="G123:G125"/>
    <mergeCell ref="H123:H125"/>
    <mergeCell ref="L123:L125"/>
    <mergeCell ref="N132:N134"/>
    <mergeCell ref="G129:G131"/>
    <mergeCell ref="H129:H131"/>
    <mergeCell ref="L129:L131"/>
    <mergeCell ref="M123:M125"/>
    <mergeCell ref="N123:N125"/>
    <mergeCell ref="G126:G128"/>
    <mergeCell ref="H126:H128"/>
    <mergeCell ref="L126:L128"/>
    <mergeCell ref="M126:M128"/>
    <mergeCell ref="N126:N128"/>
    <mergeCell ref="M129:M131"/>
    <mergeCell ref="N129:N131"/>
    <mergeCell ref="G132:G134"/>
    <mergeCell ref="A126:A128"/>
    <mergeCell ref="B126:B128"/>
    <mergeCell ref="C126:C128"/>
    <mergeCell ref="D126:D128"/>
    <mergeCell ref="E126:E128"/>
    <mergeCell ref="F126:F128"/>
    <mergeCell ref="H135:H137"/>
    <mergeCell ref="L135:L137"/>
    <mergeCell ref="M135:M137"/>
    <mergeCell ref="A132:A134"/>
    <mergeCell ref="B132:B137"/>
    <mergeCell ref="C132:C134"/>
    <mergeCell ref="D132:D134"/>
    <mergeCell ref="E132:E134"/>
    <mergeCell ref="F132:F134"/>
    <mergeCell ref="H132:H134"/>
    <mergeCell ref="L132:L134"/>
    <mergeCell ref="A129:A131"/>
    <mergeCell ref="B129:B131"/>
    <mergeCell ref="C129:C131"/>
    <mergeCell ref="D129:D131"/>
    <mergeCell ref="E129:E131"/>
    <mergeCell ref="F129:F131"/>
    <mergeCell ref="M132:M134"/>
    <mergeCell ref="N135:N137"/>
    <mergeCell ref="A139:A140"/>
    <mergeCell ref="B139:B140"/>
    <mergeCell ref="C139:C140"/>
    <mergeCell ref="D139:D140"/>
    <mergeCell ref="E139:E140"/>
    <mergeCell ref="H139:H140"/>
    <mergeCell ref="A135:A137"/>
    <mergeCell ref="C135:C137"/>
    <mergeCell ref="D135:D137"/>
    <mergeCell ref="E135:E137"/>
    <mergeCell ref="F135:F137"/>
    <mergeCell ref="G135:G137"/>
    <mergeCell ref="A144:D144"/>
    <mergeCell ref="L139:L140"/>
    <mergeCell ref="M139:M140"/>
    <mergeCell ref="N139:N140"/>
    <mergeCell ref="A141:A142"/>
    <mergeCell ref="B141:B142"/>
    <mergeCell ref="C141:C142"/>
    <mergeCell ref="D141:D142"/>
    <mergeCell ref="E141:E142"/>
    <mergeCell ref="H141:H142"/>
    <mergeCell ref="L141:L142"/>
    <mergeCell ref="M141:M142"/>
    <mergeCell ref="N141:N142"/>
    <mergeCell ref="B143:D143"/>
  </mergeCells>
  <phoneticPr fontId="147" type="noConversion"/>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67"/>
  <sheetViews>
    <sheetView topLeftCell="A10" zoomScale="80" zoomScaleNormal="80" workbookViewId="0">
      <selection activeCell="P7" sqref="P7"/>
    </sheetView>
  </sheetViews>
  <sheetFormatPr defaultColWidth="9" defaultRowHeight="39.75" customHeight="1"/>
  <cols>
    <col min="1" max="1" width="4.625" style="3750" customWidth="1"/>
    <col min="2" max="2" width="14.625" style="3750" customWidth="1"/>
    <col min="3" max="3" width="21.375" style="3750" customWidth="1"/>
    <col min="4" max="4" width="8.125" style="3750" customWidth="1"/>
    <col min="5" max="5" width="6.5" style="3750" customWidth="1"/>
    <col min="6" max="6" width="7.5" style="3750" customWidth="1"/>
    <col min="7" max="7" width="12.625" style="3750" customWidth="1"/>
    <col min="8" max="8" width="11.625" style="3750" bestFit="1" customWidth="1"/>
    <col min="9" max="9" width="14.875" style="3750" customWidth="1"/>
    <col min="10" max="10" width="10.625" style="3750" customWidth="1"/>
    <col min="11" max="11" width="15.125" style="3750" customWidth="1"/>
    <col min="12" max="13" width="9" style="3750"/>
    <col min="14" max="14" width="13.125" style="3750" customWidth="1"/>
    <col min="15" max="16384" width="9" style="3750"/>
  </cols>
  <sheetData>
    <row r="1" spans="1:14" ht="29.25" customHeight="1">
      <c r="A1" s="4097" t="s">
        <v>4707</v>
      </c>
      <c r="B1" s="4097" t="s">
        <v>4708</v>
      </c>
      <c r="C1" s="4097" t="s">
        <v>4709</v>
      </c>
      <c r="D1" s="4097" t="s">
        <v>4929</v>
      </c>
      <c r="E1" s="4097" t="s">
        <v>4930</v>
      </c>
      <c r="F1" s="4736" t="s">
        <v>4711</v>
      </c>
      <c r="G1" s="4736"/>
      <c r="H1" s="4736"/>
      <c r="I1" s="4097" t="s">
        <v>4934</v>
      </c>
      <c r="J1" s="4097" t="s">
        <v>4936</v>
      </c>
      <c r="K1" s="4097" t="s">
        <v>4712</v>
      </c>
    </row>
    <row r="2" spans="1:14" ht="30" customHeight="1">
      <c r="A2" s="3750">
        <v>1</v>
      </c>
      <c r="B2" s="4097" t="s">
        <v>4931</v>
      </c>
      <c r="C2" s="4097" t="s">
        <v>4932</v>
      </c>
      <c r="D2" s="3750">
        <v>34.590000000000003</v>
      </c>
      <c r="E2" s="4097" t="s">
        <v>4979</v>
      </c>
      <c r="F2" s="4097" t="s">
        <v>4933</v>
      </c>
      <c r="G2" s="4098">
        <v>42841</v>
      </c>
      <c r="H2" s="4098">
        <v>42931</v>
      </c>
      <c r="I2" s="4097">
        <v>5</v>
      </c>
      <c r="J2" s="3750">
        <f>5-1.2</f>
        <v>3.8</v>
      </c>
      <c r="K2" s="4097" t="s">
        <v>4935</v>
      </c>
    </row>
    <row r="3" spans="1:14" ht="15.75" customHeight="1">
      <c r="A3" s="4737">
        <v>2</v>
      </c>
      <c r="B3" s="4736" t="s">
        <v>4937</v>
      </c>
      <c r="C3" s="4736" t="s">
        <v>4938</v>
      </c>
      <c r="D3" s="4737">
        <v>209.76</v>
      </c>
      <c r="E3" s="4736" t="s">
        <v>4979</v>
      </c>
      <c r="F3" s="4736" t="s">
        <v>4939</v>
      </c>
      <c r="G3" s="4151">
        <v>42353</v>
      </c>
      <c r="H3" s="4111">
        <v>43083</v>
      </c>
      <c r="I3" s="4112">
        <v>4.5</v>
      </c>
      <c r="J3" s="4113">
        <f>I3-1.2</f>
        <v>3.3</v>
      </c>
      <c r="K3" s="4097"/>
    </row>
    <row r="4" spans="1:14" ht="15" customHeight="1">
      <c r="A4" s="4737"/>
      <c r="B4" s="4736"/>
      <c r="C4" s="4736"/>
      <c r="D4" s="4737"/>
      <c r="E4" s="4736"/>
      <c r="F4" s="4736"/>
      <c r="G4" s="4098">
        <v>43084</v>
      </c>
      <c r="H4" s="4098">
        <v>43448</v>
      </c>
      <c r="I4" s="4097">
        <v>5</v>
      </c>
      <c r="J4" s="3750">
        <f t="shared" ref="J4:J7" si="0">5-1.2</f>
        <v>3.8</v>
      </c>
      <c r="K4" s="4097"/>
    </row>
    <row r="5" spans="1:14" ht="33.75" customHeight="1">
      <c r="A5" s="3750">
        <v>3</v>
      </c>
      <c r="B5" s="4097" t="s">
        <v>4940</v>
      </c>
      <c r="C5" s="4097" t="s">
        <v>4941</v>
      </c>
      <c r="D5" s="3750">
        <v>18</v>
      </c>
      <c r="E5" s="4097" t="s">
        <v>4979</v>
      </c>
      <c r="F5" s="4097" t="s">
        <v>4933</v>
      </c>
      <c r="G5" s="4098">
        <v>42856</v>
      </c>
      <c r="H5" s="4098">
        <v>42947</v>
      </c>
      <c r="I5" s="4097">
        <v>5</v>
      </c>
      <c r="J5" s="3750">
        <f>I5-1.2</f>
        <v>3.8</v>
      </c>
      <c r="K5" s="4097"/>
    </row>
    <row r="6" spans="1:14" ht="16.5" customHeight="1">
      <c r="A6" s="4737">
        <v>4</v>
      </c>
      <c r="B6" s="4736" t="s">
        <v>4942</v>
      </c>
      <c r="C6" s="4736" t="s">
        <v>4943</v>
      </c>
      <c r="D6" s="4737">
        <v>839.02</v>
      </c>
      <c r="E6" s="4736" t="s">
        <v>4979</v>
      </c>
      <c r="F6" s="4736" t="s">
        <v>4939</v>
      </c>
      <c r="G6" s="4151">
        <v>42353</v>
      </c>
      <c r="H6" s="4111">
        <v>43083</v>
      </c>
      <c r="I6" s="4112">
        <v>4.5</v>
      </c>
      <c r="J6" s="4113">
        <f>I6-1.2</f>
        <v>3.3</v>
      </c>
      <c r="K6" s="4097"/>
    </row>
    <row r="7" spans="1:14" ht="14.25" customHeight="1">
      <c r="A7" s="4737"/>
      <c r="B7" s="4736"/>
      <c r="C7" s="4736"/>
      <c r="D7" s="4737"/>
      <c r="E7" s="4736"/>
      <c r="F7" s="4736"/>
      <c r="G7" s="4098">
        <v>43084</v>
      </c>
      <c r="H7" s="4098">
        <v>43448</v>
      </c>
      <c r="I7" s="4097">
        <v>5</v>
      </c>
      <c r="J7" s="3750">
        <f t="shared" si="0"/>
        <v>3.8</v>
      </c>
      <c r="K7" s="4097"/>
      <c r="L7" s="3750">
        <v>2016</v>
      </c>
      <c r="M7" s="3750">
        <v>3.3</v>
      </c>
    </row>
    <row r="8" spans="1:14" ht="33" customHeight="1">
      <c r="A8" s="3750">
        <v>5</v>
      </c>
      <c r="B8" s="4097" t="s">
        <v>4944</v>
      </c>
      <c r="C8" s="4097" t="s">
        <v>4945</v>
      </c>
      <c r="D8" s="3750">
        <v>1195.33</v>
      </c>
      <c r="E8" s="4097" t="s">
        <v>4979</v>
      </c>
      <c r="F8" s="4097" t="s">
        <v>4946</v>
      </c>
      <c r="G8" s="4098">
        <v>42522</v>
      </c>
      <c r="H8" s="4098">
        <v>43251</v>
      </c>
      <c r="I8" s="3750">
        <v>4.5999999999999996</v>
      </c>
      <c r="J8" s="3750">
        <v>3.4</v>
      </c>
      <c r="K8" s="4097"/>
      <c r="L8" s="3750">
        <v>2017</v>
      </c>
      <c r="M8" s="3750">
        <v>3.3</v>
      </c>
      <c r="N8" s="4146">
        <f>ROUND((M8-M7)/M7,0)</f>
        <v>0</v>
      </c>
    </row>
    <row r="9" spans="1:14" ht="14.25" customHeight="1">
      <c r="A9" s="4737">
        <v>6</v>
      </c>
      <c r="B9" s="4736" t="s">
        <v>4947</v>
      </c>
      <c r="C9" s="4736" t="s">
        <v>4951</v>
      </c>
      <c r="D9" s="4737">
        <v>188.24</v>
      </c>
      <c r="E9" s="4736" t="s">
        <v>4948</v>
      </c>
      <c r="F9" s="4736" t="s">
        <v>4949</v>
      </c>
      <c r="G9" s="4152">
        <v>43078</v>
      </c>
      <c r="H9" s="4149">
        <v>43442</v>
      </c>
      <c r="I9" s="4150">
        <v>8.5</v>
      </c>
      <c r="J9" s="4150">
        <f>I9-1.2</f>
        <v>7.3</v>
      </c>
      <c r="L9" s="3750">
        <v>2018</v>
      </c>
      <c r="M9" s="3750">
        <v>7.3</v>
      </c>
      <c r="N9" s="4146">
        <f t="shared" ref="N9:N14" si="1">ROUND((M9-M8)/M8,2)</f>
        <v>1.21</v>
      </c>
    </row>
    <row r="10" spans="1:14" ht="14.25" customHeight="1">
      <c r="A10" s="4737"/>
      <c r="B10" s="4736"/>
      <c r="C10" s="4736"/>
      <c r="D10" s="4737"/>
      <c r="E10" s="4736"/>
      <c r="F10" s="4736"/>
      <c r="G10" s="4098">
        <v>43443</v>
      </c>
      <c r="H10" s="4098">
        <v>43807</v>
      </c>
      <c r="I10" s="3750">
        <v>8.93</v>
      </c>
      <c r="J10" s="3750">
        <f t="shared" ref="J10:J67" si="2">I10-1.2</f>
        <v>7.7299999999999995</v>
      </c>
      <c r="L10" s="3750">
        <v>2019</v>
      </c>
      <c r="M10" s="3750">
        <v>7.73</v>
      </c>
      <c r="N10" s="4146">
        <f t="shared" si="1"/>
        <v>0.06</v>
      </c>
    </row>
    <row r="11" spans="1:14" ht="14.25" customHeight="1">
      <c r="A11" s="4737"/>
      <c r="B11" s="4736"/>
      <c r="C11" s="4736"/>
      <c r="D11" s="4737"/>
      <c r="E11" s="4736"/>
      <c r="F11" s="4736"/>
      <c r="G11" s="4098">
        <v>43808</v>
      </c>
      <c r="H11" s="4098">
        <v>44173</v>
      </c>
      <c r="I11" s="3750">
        <v>9.3800000000000008</v>
      </c>
      <c r="J11" s="3750">
        <f t="shared" si="2"/>
        <v>8.1800000000000015</v>
      </c>
      <c r="L11" s="3750">
        <v>2020</v>
      </c>
      <c r="M11" s="3750">
        <v>8.18</v>
      </c>
      <c r="N11" s="4146">
        <f t="shared" si="1"/>
        <v>0.06</v>
      </c>
    </row>
    <row r="12" spans="1:14" ht="14.25" customHeight="1">
      <c r="A12" s="4737"/>
      <c r="B12" s="4736"/>
      <c r="C12" s="4736"/>
      <c r="D12" s="4737"/>
      <c r="E12" s="4736"/>
      <c r="F12" s="4736"/>
      <c r="G12" s="4098">
        <v>44174</v>
      </c>
      <c r="H12" s="4098">
        <v>44538</v>
      </c>
      <c r="I12" s="3750">
        <v>9.85</v>
      </c>
      <c r="J12" s="3750">
        <f t="shared" si="2"/>
        <v>8.65</v>
      </c>
      <c r="L12" s="3750">
        <v>2021</v>
      </c>
      <c r="M12" s="3750">
        <v>8.65</v>
      </c>
      <c r="N12" s="4146">
        <f t="shared" si="1"/>
        <v>0.06</v>
      </c>
    </row>
    <row r="13" spans="1:14" ht="14.25" customHeight="1">
      <c r="A13" s="4737"/>
      <c r="B13" s="4736"/>
      <c r="C13" s="4736"/>
      <c r="D13" s="4737"/>
      <c r="E13" s="4736"/>
      <c r="F13" s="4736"/>
      <c r="G13" s="4098">
        <v>44539</v>
      </c>
      <c r="H13" s="4098">
        <v>44903</v>
      </c>
      <c r="I13" s="3750">
        <v>10.34</v>
      </c>
      <c r="J13" s="3750">
        <f t="shared" si="2"/>
        <v>9.14</v>
      </c>
      <c r="L13" s="3750">
        <v>2022</v>
      </c>
      <c r="M13" s="3750">
        <v>9.14</v>
      </c>
      <c r="N13" s="4146">
        <f t="shared" si="1"/>
        <v>0.06</v>
      </c>
    </row>
    <row r="14" spans="1:14" ht="14.25" customHeight="1">
      <c r="A14" s="4737">
        <v>7</v>
      </c>
      <c r="B14" s="4736" t="s">
        <v>4950</v>
      </c>
      <c r="C14" s="4736" t="s">
        <v>4952</v>
      </c>
      <c r="D14" s="4737">
        <v>188.24</v>
      </c>
      <c r="E14" s="4736" t="s">
        <v>4948</v>
      </c>
      <c r="F14" s="4736" t="s">
        <v>4949</v>
      </c>
      <c r="G14" s="4152">
        <v>43101</v>
      </c>
      <c r="H14" s="4149">
        <v>43465</v>
      </c>
      <c r="I14" s="4150">
        <v>8.5</v>
      </c>
      <c r="J14" s="4150">
        <f t="shared" si="2"/>
        <v>7.3</v>
      </c>
      <c r="L14" s="3750">
        <v>2023</v>
      </c>
      <c r="M14" s="3750">
        <v>9.66</v>
      </c>
      <c r="N14" s="4146">
        <f t="shared" si="1"/>
        <v>0.06</v>
      </c>
    </row>
    <row r="15" spans="1:14" ht="14.25" customHeight="1">
      <c r="A15" s="4737"/>
      <c r="B15" s="4736"/>
      <c r="C15" s="4736"/>
      <c r="D15" s="4737"/>
      <c r="E15" s="4736"/>
      <c r="F15" s="4736"/>
      <c r="G15" s="4098">
        <v>43466</v>
      </c>
      <c r="H15" s="4098">
        <v>43830</v>
      </c>
      <c r="I15" s="3750">
        <v>8.93</v>
      </c>
      <c r="J15" s="3750">
        <f t="shared" si="2"/>
        <v>7.7299999999999995</v>
      </c>
    </row>
    <row r="16" spans="1:14" ht="14.25" customHeight="1">
      <c r="A16" s="4737"/>
      <c r="B16" s="4736"/>
      <c r="C16" s="4736"/>
      <c r="D16" s="4737"/>
      <c r="E16" s="4736"/>
      <c r="F16" s="4736"/>
      <c r="G16" s="4098">
        <v>43831</v>
      </c>
      <c r="H16" s="4098">
        <v>44196</v>
      </c>
      <c r="I16" s="3750">
        <v>9.3800000000000008</v>
      </c>
      <c r="J16" s="3750">
        <f t="shared" si="2"/>
        <v>8.1800000000000015</v>
      </c>
    </row>
    <row r="17" spans="1:10" ht="14.25" customHeight="1">
      <c r="A17" s="4737"/>
      <c r="B17" s="4736"/>
      <c r="C17" s="4736"/>
      <c r="D17" s="4737"/>
      <c r="E17" s="4736"/>
      <c r="F17" s="4736"/>
      <c r="G17" s="4098">
        <v>44197</v>
      </c>
      <c r="H17" s="4098">
        <v>44561</v>
      </c>
      <c r="I17" s="3750">
        <v>9.85</v>
      </c>
      <c r="J17" s="3750">
        <f t="shared" si="2"/>
        <v>8.65</v>
      </c>
    </row>
    <row r="18" spans="1:10" ht="14.25" customHeight="1">
      <c r="A18" s="4737"/>
      <c r="B18" s="4736"/>
      <c r="C18" s="4736"/>
      <c r="D18" s="4737"/>
      <c r="E18" s="4736"/>
      <c r="F18" s="4736"/>
      <c r="G18" s="4098">
        <v>44562</v>
      </c>
      <c r="H18" s="4098">
        <v>44926</v>
      </c>
      <c r="I18" s="3750">
        <v>10.34</v>
      </c>
      <c r="J18" s="3750">
        <f t="shared" si="2"/>
        <v>9.14</v>
      </c>
    </row>
    <row r="19" spans="1:10" ht="14.25" customHeight="1">
      <c r="A19" s="4737">
        <v>8</v>
      </c>
      <c r="B19" s="4736" t="s">
        <v>4954</v>
      </c>
      <c r="C19" s="4736" t="s">
        <v>4953</v>
      </c>
      <c r="D19" s="4737">
        <v>188.24</v>
      </c>
      <c r="E19" s="4736" t="s">
        <v>4948</v>
      </c>
      <c r="F19" s="4736" t="s">
        <v>4949</v>
      </c>
      <c r="G19" s="4120">
        <v>43101</v>
      </c>
      <c r="H19" s="4120">
        <v>43465</v>
      </c>
      <c r="I19" s="3750">
        <v>8.5</v>
      </c>
      <c r="J19" s="3750">
        <f t="shared" si="2"/>
        <v>7.3</v>
      </c>
    </row>
    <row r="20" spans="1:10" ht="14.25" customHeight="1">
      <c r="A20" s="4737"/>
      <c r="B20" s="4736"/>
      <c r="C20" s="4736"/>
      <c r="D20" s="4737"/>
      <c r="E20" s="4736"/>
      <c r="F20" s="4736"/>
      <c r="G20" s="4098">
        <v>43466</v>
      </c>
      <c r="H20" s="4098">
        <v>43830</v>
      </c>
      <c r="I20" s="3750">
        <v>8.93</v>
      </c>
      <c r="J20" s="3750">
        <f t="shared" si="2"/>
        <v>7.7299999999999995</v>
      </c>
    </row>
    <row r="21" spans="1:10" ht="14.25" customHeight="1">
      <c r="A21" s="4737"/>
      <c r="B21" s="4736"/>
      <c r="C21" s="4736"/>
      <c r="D21" s="4737"/>
      <c r="E21" s="4736"/>
      <c r="F21" s="4736"/>
      <c r="G21" s="4098">
        <v>43831</v>
      </c>
      <c r="H21" s="4098">
        <v>44196</v>
      </c>
      <c r="I21" s="3750">
        <v>9.3800000000000008</v>
      </c>
      <c r="J21" s="3750">
        <f t="shared" si="2"/>
        <v>8.1800000000000015</v>
      </c>
    </row>
    <row r="22" spans="1:10" ht="14.25" customHeight="1">
      <c r="A22" s="4737"/>
      <c r="B22" s="4736"/>
      <c r="C22" s="4736"/>
      <c r="D22" s="4737"/>
      <c r="E22" s="4736"/>
      <c r="F22" s="4736"/>
      <c r="G22" s="4098">
        <v>44197</v>
      </c>
      <c r="H22" s="4098">
        <v>44561</v>
      </c>
      <c r="I22" s="3750">
        <v>9.85</v>
      </c>
      <c r="J22" s="3750">
        <f t="shared" si="2"/>
        <v>8.65</v>
      </c>
    </row>
    <row r="23" spans="1:10" ht="14.25" customHeight="1">
      <c r="A23" s="4737"/>
      <c r="B23" s="4736"/>
      <c r="C23" s="4736"/>
      <c r="D23" s="4737"/>
      <c r="E23" s="4736"/>
      <c r="F23" s="4736"/>
      <c r="G23" s="4098">
        <v>44562</v>
      </c>
      <c r="H23" s="4098">
        <v>44926</v>
      </c>
      <c r="I23" s="3750">
        <v>10.34</v>
      </c>
      <c r="J23" s="3750">
        <f t="shared" si="2"/>
        <v>9.14</v>
      </c>
    </row>
    <row r="24" spans="1:10" ht="14.25" customHeight="1">
      <c r="A24" s="4737">
        <v>9</v>
      </c>
      <c r="B24" s="4736" t="s">
        <v>4957</v>
      </c>
      <c r="C24" s="4736" t="s">
        <v>4955</v>
      </c>
      <c r="D24" s="4737">
        <v>278.18</v>
      </c>
      <c r="E24" s="4736" t="s">
        <v>4956</v>
      </c>
      <c r="F24" s="4736" t="s">
        <v>4949</v>
      </c>
      <c r="G24" s="4152">
        <v>43087</v>
      </c>
      <c r="H24" s="4149">
        <v>43451</v>
      </c>
      <c r="I24" s="4150">
        <v>8.5</v>
      </c>
      <c r="J24" s="4150">
        <f t="shared" si="2"/>
        <v>7.3</v>
      </c>
    </row>
    <row r="25" spans="1:10" ht="14.25" customHeight="1">
      <c r="A25" s="4737"/>
      <c r="B25" s="4736"/>
      <c r="C25" s="4736"/>
      <c r="D25" s="4737"/>
      <c r="E25" s="4736"/>
      <c r="F25" s="4736"/>
      <c r="G25" s="4098">
        <v>43452</v>
      </c>
      <c r="H25" s="4098">
        <v>43816</v>
      </c>
      <c r="I25" s="3750">
        <v>8.93</v>
      </c>
      <c r="J25" s="3750">
        <f t="shared" si="2"/>
        <v>7.7299999999999995</v>
      </c>
    </row>
    <row r="26" spans="1:10" ht="14.25" customHeight="1">
      <c r="A26" s="4737"/>
      <c r="B26" s="4736"/>
      <c r="C26" s="4736"/>
      <c r="D26" s="4737"/>
      <c r="E26" s="4736"/>
      <c r="F26" s="4736"/>
      <c r="G26" s="4098">
        <v>43817</v>
      </c>
      <c r="H26" s="4098">
        <v>44182</v>
      </c>
      <c r="I26" s="3750">
        <v>9.3800000000000008</v>
      </c>
      <c r="J26" s="3750">
        <f t="shared" si="2"/>
        <v>8.1800000000000015</v>
      </c>
    </row>
    <row r="27" spans="1:10" ht="14.25" customHeight="1">
      <c r="A27" s="4737"/>
      <c r="B27" s="4736"/>
      <c r="C27" s="4736"/>
      <c r="D27" s="4737"/>
      <c r="E27" s="4736"/>
      <c r="F27" s="4736"/>
      <c r="G27" s="4098">
        <v>44183</v>
      </c>
      <c r="H27" s="4098">
        <v>44547</v>
      </c>
      <c r="I27" s="3750">
        <v>9.85</v>
      </c>
      <c r="J27" s="3750">
        <f t="shared" si="2"/>
        <v>8.65</v>
      </c>
    </row>
    <row r="28" spans="1:10" ht="14.25" customHeight="1">
      <c r="A28" s="4737"/>
      <c r="B28" s="4736"/>
      <c r="C28" s="4736"/>
      <c r="D28" s="4737"/>
      <c r="E28" s="4736"/>
      <c r="F28" s="4736"/>
      <c r="G28" s="4098">
        <v>44548</v>
      </c>
      <c r="H28" s="4098">
        <v>44912</v>
      </c>
      <c r="I28" s="3750">
        <v>10.34</v>
      </c>
      <c r="J28" s="3750">
        <f t="shared" si="2"/>
        <v>9.14</v>
      </c>
    </row>
    <row r="29" spans="1:10" ht="14.25" customHeight="1">
      <c r="A29" s="4737">
        <v>10</v>
      </c>
      <c r="B29" s="4736" t="s">
        <v>4978</v>
      </c>
      <c r="C29" s="4736" t="s">
        <v>4958</v>
      </c>
      <c r="D29" s="4737">
        <v>425.96</v>
      </c>
      <c r="E29" s="4736" t="s">
        <v>4959</v>
      </c>
      <c r="F29" s="4736" t="s">
        <v>4960</v>
      </c>
      <c r="G29" s="4151">
        <v>42314</v>
      </c>
      <c r="H29" s="4111">
        <v>43044</v>
      </c>
      <c r="I29" s="4113">
        <v>4.8</v>
      </c>
      <c r="J29" s="4113">
        <f>I29-1.2</f>
        <v>3.5999999999999996</v>
      </c>
    </row>
    <row r="30" spans="1:10" ht="14.25" customHeight="1">
      <c r="A30" s="4737"/>
      <c r="B30" s="4736"/>
      <c r="C30" s="4736"/>
      <c r="D30" s="4737"/>
      <c r="E30" s="4736"/>
      <c r="F30" s="4736"/>
      <c r="G30" s="4098">
        <v>43045</v>
      </c>
      <c r="H30" s="4098">
        <v>43409</v>
      </c>
      <c r="I30" s="3750">
        <v>5</v>
      </c>
      <c r="J30" s="3750">
        <f t="shared" si="2"/>
        <v>3.8</v>
      </c>
    </row>
    <row r="31" spans="1:10" ht="14.25" customHeight="1">
      <c r="A31" s="4737"/>
      <c r="B31" s="4736"/>
      <c r="C31" s="4736"/>
      <c r="D31" s="4737"/>
      <c r="E31" s="4736"/>
      <c r="F31" s="4736"/>
      <c r="G31" s="4098">
        <v>43410</v>
      </c>
      <c r="H31" s="4098">
        <v>43774</v>
      </c>
      <c r="I31" s="3750">
        <v>5.2</v>
      </c>
      <c r="J31" s="3750">
        <f t="shared" si="2"/>
        <v>4</v>
      </c>
    </row>
    <row r="32" spans="1:10" ht="14.25" customHeight="1">
      <c r="A32" s="4737"/>
      <c r="B32" s="4736"/>
      <c r="C32" s="4736"/>
      <c r="D32" s="4737"/>
      <c r="E32" s="4736"/>
      <c r="F32" s="4736"/>
      <c r="G32" s="4098">
        <v>43775</v>
      </c>
      <c r="H32" s="4098">
        <v>44140</v>
      </c>
      <c r="I32" s="3750">
        <v>5.3</v>
      </c>
      <c r="J32" s="3750">
        <f t="shared" si="2"/>
        <v>4.0999999999999996</v>
      </c>
    </row>
    <row r="33" spans="1:10" ht="14.25" customHeight="1">
      <c r="A33" s="4737">
        <v>11</v>
      </c>
      <c r="B33" s="4736" t="s">
        <v>4961</v>
      </c>
      <c r="C33" s="4736" t="s">
        <v>4962</v>
      </c>
      <c r="D33" s="4737">
        <v>1089.1099999999999</v>
      </c>
      <c r="E33" s="4736" t="s">
        <v>4963</v>
      </c>
      <c r="F33" s="4736" t="s">
        <v>4964</v>
      </c>
      <c r="G33" s="4098">
        <v>43252</v>
      </c>
      <c r="H33" s="4098">
        <v>43616</v>
      </c>
      <c r="I33" s="3750">
        <v>6.2</v>
      </c>
      <c r="J33" s="3750">
        <f t="shared" si="2"/>
        <v>5</v>
      </c>
    </row>
    <row r="34" spans="1:10" ht="14.25" customHeight="1">
      <c r="A34" s="4737"/>
      <c r="B34" s="4736"/>
      <c r="C34" s="4736"/>
      <c r="D34" s="4737"/>
      <c r="E34" s="4736"/>
      <c r="F34" s="4736"/>
      <c r="G34" s="4098">
        <v>43617</v>
      </c>
      <c r="H34" s="4098">
        <v>43982</v>
      </c>
      <c r="I34" s="3750">
        <v>6.51</v>
      </c>
      <c r="J34" s="3750">
        <f t="shared" si="2"/>
        <v>5.31</v>
      </c>
    </row>
    <row r="35" spans="1:10" ht="14.25" customHeight="1">
      <c r="A35" s="4737"/>
      <c r="B35" s="4736"/>
      <c r="C35" s="4736"/>
      <c r="D35" s="4737"/>
      <c r="E35" s="4736"/>
      <c r="F35" s="4736"/>
      <c r="G35" s="4098">
        <v>43983</v>
      </c>
      <c r="H35" s="4098">
        <v>44347</v>
      </c>
      <c r="I35" s="3750">
        <v>6.84</v>
      </c>
      <c r="J35" s="3750">
        <f t="shared" si="2"/>
        <v>5.64</v>
      </c>
    </row>
    <row r="36" spans="1:10" ht="14.25" customHeight="1">
      <c r="A36" s="4737">
        <v>12</v>
      </c>
      <c r="B36" s="4738" t="s">
        <v>4967</v>
      </c>
      <c r="C36" s="4738" t="s">
        <v>4965</v>
      </c>
      <c r="D36" s="4738">
        <v>80.150000000000006</v>
      </c>
      <c r="E36" s="4738" t="s">
        <v>4966</v>
      </c>
      <c r="F36" s="4738" t="s">
        <v>5008</v>
      </c>
      <c r="G36" s="4144">
        <v>43318</v>
      </c>
      <c r="H36" s="4144">
        <v>43682</v>
      </c>
      <c r="I36" s="4145">
        <v>10</v>
      </c>
      <c r="J36" s="4145">
        <f t="shared" si="2"/>
        <v>8.8000000000000007</v>
      </c>
    </row>
    <row r="37" spans="1:10" ht="14.25" customHeight="1">
      <c r="A37" s="4737"/>
      <c r="B37" s="4738"/>
      <c r="C37" s="4738"/>
      <c r="D37" s="4738"/>
      <c r="E37" s="4738"/>
      <c r="F37" s="4738"/>
      <c r="G37" s="4144">
        <v>43683</v>
      </c>
      <c r="H37" s="4144">
        <v>44048</v>
      </c>
      <c r="I37" s="4145">
        <v>10.5</v>
      </c>
      <c r="J37" s="4145">
        <f t="shared" si="2"/>
        <v>9.3000000000000007</v>
      </c>
    </row>
    <row r="38" spans="1:10" ht="14.25" customHeight="1">
      <c r="A38" s="4737"/>
      <c r="B38" s="4738"/>
      <c r="C38" s="4738"/>
      <c r="D38" s="4738"/>
      <c r="E38" s="4738"/>
      <c r="F38" s="4738"/>
      <c r="G38" s="4144">
        <v>44049</v>
      </c>
      <c r="H38" s="4144">
        <v>44413</v>
      </c>
      <c r="I38" s="4145">
        <v>11.03</v>
      </c>
      <c r="J38" s="4145">
        <f t="shared" si="2"/>
        <v>9.83</v>
      </c>
    </row>
    <row r="39" spans="1:10" ht="14.25" customHeight="1">
      <c r="A39" s="4737">
        <v>13</v>
      </c>
      <c r="B39" s="4736" t="s">
        <v>4968</v>
      </c>
      <c r="C39" s="4736" t="s">
        <v>4969</v>
      </c>
      <c r="D39" s="4737">
        <v>278.18</v>
      </c>
      <c r="E39" s="4736" t="s">
        <v>4963</v>
      </c>
      <c r="F39" s="4736" t="s">
        <v>4970</v>
      </c>
      <c r="G39" s="4098">
        <v>44835</v>
      </c>
      <c r="H39" s="4098">
        <v>45016</v>
      </c>
      <c r="I39" s="3750">
        <f>ROUND(304607.1/D39/6/30,2)</f>
        <v>6.08</v>
      </c>
      <c r="J39" s="3750">
        <f t="shared" si="2"/>
        <v>4.88</v>
      </c>
    </row>
    <row r="40" spans="1:10" ht="14.25" customHeight="1">
      <c r="A40" s="4737"/>
      <c r="B40" s="4736"/>
      <c r="C40" s="4736"/>
      <c r="D40" s="4737"/>
      <c r="E40" s="4736"/>
      <c r="F40" s="4736"/>
      <c r="G40" s="4098">
        <v>45017</v>
      </c>
      <c r="H40" s="4098">
        <v>45565</v>
      </c>
      <c r="I40" s="3750">
        <v>10.8</v>
      </c>
      <c r="J40" s="3750">
        <f t="shared" si="2"/>
        <v>9.6000000000000014</v>
      </c>
    </row>
    <row r="41" spans="1:10" ht="14.25" customHeight="1">
      <c r="A41" s="4737"/>
      <c r="B41" s="4736"/>
      <c r="C41" s="4736"/>
      <c r="D41" s="4737"/>
      <c r="E41" s="4736"/>
      <c r="F41" s="4736"/>
      <c r="G41" s="4098">
        <v>45566</v>
      </c>
      <c r="H41" s="4098">
        <v>46295</v>
      </c>
      <c r="I41" s="3750">
        <v>11.45</v>
      </c>
      <c r="J41" s="3750">
        <f t="shared" si="2"/>
        <v>10.25</v>
      </c>
    </row>
    <row r="42" spans="1:10" ht="14.25" customHeight="1">
      <c r="A42" s="4737"/>
      <c r="B42" s="4736"/>
      <c r="C42" s="4736"/>
      <c r="D42" s="4737"/>
      <c r="E42" s="4736"/>
      <c r="F42" s="4736"/>
      <c r="G42" s="4098">
        <v>46296</v>
      </c>
      <c r="H42" s="4098">
        <v>46660</v>
      </c>
      <c r="I42" s="3750">
        <v>12.14</v>
      </c>
      <c r="J42" s="3750">
        <f t="shared" si="2"/>
        <v>10.940000000000001</v>
      </c>
    </row>
    <row r="43" spans="1:10" ht="14.25" customHeight="1">
      <c r="A43" s="4737">
        <v>14</v>
      </c>
      <c r="B43" s="4738" t="s">
        <v>4972</v>
      </c>
      <c r="C43" s="4738" t="s">
        <v>4971</v>
      </c>
      <c r="D43" s="4738">
        <v>80.150000000000006</v>
      </c>
      <c r="E43" s="4738" t="s">
        <v>4963</v>
      </c>
      <c r="F43" s="4738" t="s">
        <v>5009</v>
      </c>
      <c r="G43" s="4144">
        <v>44440</v>
      </c>
      <c r="H43" s="4144">
        <v>44530</v>
      </c>
      <c r="I43" s="4145">
        <f>ROUND(95077.94/D43/4/30,2)</f>
        <v>9.89</v>
      </c>
      <c r="J43" s="4145">
        <f t="shared" si="2"/>
        <v>8.6900000000000013</v>
      </c>
    </row>
    <row r="44" spans="1:10" ht="14.25" customHeight="1">
      <c r="A44" s="4737"/>
      <c r="B44" s="4738"/>
      <c r="C44" s="4738"/>
      <c r="D44" s="4738"/>
      <c r="E44" s="4738"/>
      <c r="F44" s="4738"/>
      <c r="G44" s="4144">
        <v>44531</v>
      </c>
      <c r="H44" s="4144">
        <v>44804</v>
      </c>
      <c r="I44" s="4145">
        <v>13</v>
      </c>
      <c r="J44" s="4145">
        <f t="shared" si="2"/>
        <v>11.8</v>
      </c>
    </row>
    <row r="45" spans="1:10" ht="14.25" customHeight="1">
      <c r="A45" s="4737"/>
      <c r="B45" s="4738"/>
      <c r="C45" s="4738"/>
      <c r="D45" s="4738"/>
      <c r="E45" s="4738"/>
      <c r="F45" s="4738"/>
      <c r="G45" s="4144">
        <v>44805</v>
      </c>
      <c r="H45" s="4144">
        <v>45169</v>
      </c>
      <c r="I45" s="4145">
        <v>13.39</v>
      </c>
      <c r="J45" s="4145">
        <f t="shared" si="2"/>
        <v>12.190000000000001</v>
      </c>
    </row>
    <row r="46" spans="1:10" ht="14.25" customHeight="1">
      <c r="A46" s="4737"/>
      <c r="B46" s="4738"/>
      <c r="C46" s="4738"/>
      <c r="D46" s="4738"/>
      <c r="E46" s="4738"/>
      <c r="F46" s="4738"/>
      <c r="G46" s="4144">
        <v>45170</v>
      </c>
      <c r="H46" s="4144">
        <v>45535</v>
      </c>
      <c r="I46" s="4145">
        <v>13.79</v>
      </c>
      <c r="J46" s="4145">
        <f t="shared" si="2"/>
        <v>12.59</v>
      </c>
    </row>
    <row r="47" spans="1:10" ht="14.25" customHeight="1">
      <c r="A47" s="4737"/>
      <c r="B47" s="4738"/>
      <c r="C47" s="4738"/>
      <c r="D47" s="4738"/>
      <c r="E47" s="4738"/>
      <c r="F47" s="4738"/>
      <c r="G47" s="4144">
        <v>45536</v>
      </c>
      <c r="H47" s="4144">
        <v>45900</v>
      </c>
      <c r="I47" s="4145">
        <v>14.2</v>
      </c>
      <c r="J47" s="4145">
        <f t="shared" si="2"/>
        <v>13</v>
      </c>
    </row>
    <row r="48" spans="1:10" ht="14.25" customHeight="1">
      <c r="A48" s="4737"/>
      <c r="B48" s="4738"/>
      <c r="C48" s="4738"/>
      <c r="D48" s="4738"/>
      <c r="E48" s="4738"/>
      <c r="F48" s="4738"/>
      <c r="G48" s="4144">
        <v>45901</v>
      </c>
      <c r="H48" s="4144">
        <v>46265</v>
      </c>
      <c r="I48" s="4145">
        <v>14.63</v>
      </c>
      <c r="J48" s="4145">
        <f t="shared" si="2"/>
        <v>13.430000000000001</v>
      </c>
    </row>
    <row r="49" spans="1:10" ht="14.25" customHeight="1">
      <c r="A49" s="4737">
        <v>15</v>
      </c>
      <c r="B49" s="4736" t="s">
        <v>4974</v>
      </c>
      <c r="C49" s="4736" t="s">
        <v>4973</v>
      </c>
      <c r="D49" s="4737">
        <v>205.88</v>
      </c>
      <c r="E49" s="4736" t="s">
        <v>4948</v>
      </c>
      <c r="F49" s="4736" t="s">
        <v>4970</v>
      </c>
      <c r="G49" s="4098">
        <v>43252</v>
      </c>
      <c r="H49" s="4098">
        <v>43616</v>
      </c>
      <c r="I49" s="3750">
        <v>8.5</v>
      </c>
      <c r="J49" s="3750">
        <f t="shared" si="2"/>
        <v>7.3</v>
      </c>
    </row>
    <row r="50" spans="1:10" ht="14.25" customHeight="1">
      <c r="A50" s="4737"/>
      <c r="B50" s="4736"/>
      <c r="C50" s="4736"/>
      <c r="D50" s="4737"/>
      <c r="E50" s="4736"/>
      <c r="F50" s="4736"/>
      <c r="G50" s="4098">
        <v>43617</v>
      </c>
      <c r="H50" s="4098">
        <v>43982</v>
      </c>
      <c r="I50" s="3750">
        <v>8.93</v>
      </c>
      <c r="J50" s="3750">
        <f t="shared" si="2"/>
        <v>7.7299999999999995</v>
      </c>
    </row>
    <row r="51" spans="1:10" ht="14.25" customHeight="1">
      <c r="A51" s="4737"/>
      <c r="B51" s="4736"/>
      <c r="C51" s="4736"/>
      <c r="D51" s="4737"/>
      <c r="E51" s="4736"/>
      <c r="F51" s="4736"/>
      <c r="G51" s="4098">
        <v>43983</v>
      </c>
      <c r="H51" s="4098">
        <v>44347</v>
      </c>
      <c r="I51" s="3750">
        <v>9.3800000000000008</v>
      </c>
      <c r="J51" s="3750">
        <f t="shared" si="2"/>
        <v>8.1800000000000015</v>
      </c>
    </row>
    <row r="52" spans="1:10" ht="14.25" customHeight="1">
      <c r="A52" s="4737"/>
      <c r="B52" s="4736"/>
      <c r="C52" s="4736"/>
      <c r="D52" s="4737"/>
      <c r="E52" s="4736"/>
      <c r="F52" s="4736"/>
      <c r="G52" s="4098">
        <v>44348</v>
      </c>
      <c r="H52" s="4098">
        <v>44712</v>
      </c>
      <c r="I52" s="3750">
        <v>9.85</v>
      </c>
      <c r="J52" s="3750">
        <f t="shared" si="2"/>
        <v>8.65</v>
      </c>
    </row>
    <row r="53" spans="1:10" ht="14.25" customHeight="1">
      <c r="A53" s="4737"/>
      <c r="B53" s="4736"/>
      <c r="C53" s="4736"/>
      <c r="D53" s="4737"/>
      <c r="E53" s="4736"/>
      <c r="F53" s="4736"/>
      <c r="G53" s="4098">
        <v>44713</v>
      </c>
      <c r="H53" s="4098">
        <v>45077</v>
      </c>
      <c r="I53" s="3750">
        <v>10.34</v>
      </c>
      <c r="J53" s="3750">
        <f t="shared" si="2"/>
        <v>9.14</v>
      </c>
    </row>
    <row r="54" spans="1:10" ht="14.25" customHeight="1">
      <c r="A54" s="4737">
        <v>16</v>
      </c>
      <c r="B54" s="4736" t="s">
        <v>4947</v>
      </c>
      <c r="C54" s="4736" t="s">
        <v>4951</v>
      </c>
      <c r="D54" s="4737">
        <v>188.24</v>
      </c>
      <c r="E54" s="4736" t="s">
        <v>4948</v>
      </c>
      <c r="F54" s="4736" t="s">
        <v>4970</v>
      </c>
      <c r="G54" s="4098">
        <v>44904</v>
      </c>
      <c r="H54" s="4098">
        <v>44993</v>
      </c>
      <c r="I54" s="3750">
        <f>ROUND(171769/D54/3/30,2)</f>
        <v>10.14</v>
      </c>
      <c r="J54" s="3750">
        <f t="shared" si="2"/>
        <v>8.9400000000000013</v>
      </c>
    </row>
    <row r="55" spans="1:10" ht="14.25" customHeight="1">
      <c r="A55" s="4737"/>
      <c r="B55" s="4736"/>
      <c r="C55" s="4736"/>
      <c r="D55" s="4737"/>
      <c r="E55" s="4736"/>
      <c r="F55" s="4736"/>
      <c r="G55" s="4098">
        <v>44994</v>
      </c>
      <c r="H55" s="4098">
        <v>45634</v>
      </c>
      <c r="I55" s="3750">
        <v>10</v>
      </c>
      <c r="J55" s="3750">
        <f t="shared" si="2"/>
        <v>8.8000000000000007</v>
      </c>
    </row>
    <row r="56" spans="1:10" ht="14.25" customHeight="1">
      <c r="A56" s="4737"/>
      <c r="B56" s="4736"/>
      <c r="C56" s="4736"/>
      <c r="D56" s="4737"/>
      <c r="E56" s="4736"/>
      <c r="F56" s="4736"/>
      <c r="G56" s="4098">
        <v>45635</v>
      </c>
      <c r="H56" s="4098">
        <v>46364</v>
      </c>
      <c r="I56" s="3750">
        <v>10.5</v>
      </c>
      <c r="J56" s="3750">
        <f t="shared" si="2"/>
        <v>9.3000000000000007</v>
      </c>
    </row>
    <row r="57" spans="1:10" ht="14.25" customHeight="1">
      <c r="A57" s="4737"/>
      <c r="B57" s="4736"/>
      <c r="C57" s="4736"/>
      <c r="D57" s="4737"/>
      <c r="E57" s="4736"/>
      <c r="F57" s="4736"/>
      <c r="G57" s="4098">
        <v>46365</v>
      </c>
      <c r="H57" s="4098">
        <v>46729</v>
      </c>
      <c r="I57" s="3750">
        <v>11.03</v>
      </c>
      <c r="J57" s="3750">
        <f t="shared" si="2"/>
        <v>9.83</v>
      </c>
    </row>
    <row r="58" spans="1:10" ht="14.25" customHeight="1">
      <c r="A58" s="4737">
        <v>17</v>
      </c>
      <c r="B58" s="4736" t="s">
        <v>4975</v>
      </c>
      <c r="C58" s="4736" t="s">
        <v>4976</v>
      </c>
      <c r="D58" s="4737">
        <v>188.24</v>
      </c>
      <c r="E58" s="4736" t="s">
        <v>4963</v>
      </c>
      <c r="F58" s="4736" t="s">
        <v>4970</v>
      </c>
      <c r="G58" s="4098">
        <v>44958</v>
      </c>
      <c r="H58" s="4098">
        <v>45138</v>
      </c>
      <c r="I58" s="3750">
        <f>ROUND(141995.71/D58/30/6,2)</f>
        <v>4.1900000000000004</v>
      </c>
      <c r="J58" s="3750">
        <f t="shared" si="2"/>
        <v>2.99</v>
      </c>
    </row>
    <row r="59" spans="1:10" ht="14.25" customHeight="1">
      <c r="A59" s="4737"/>
      <c r="B59" s="4736"/>
      <c r="C59" s="4736"/>
      <c r="D59" s="4737"/>
      <c r="E59" s="4736"/>
      <c r="F59" s="4736"/>
      <c r="G59" s="4098">
        <v>45139</v>
      </c>
      <c r="H59" s="4098">
        <v>45688</v>
      </c>
      <c r="I59" s="3750">
        <v>10</v>
      </c>
      <c r="J59" s="3750">
        <f t="shared" si="2"/>
        <v>8.8000000000000007</v>
      </c>
    </row>
    <row r="60" spans="1:10" ht="14.25" customHeight="1">
      <c r="A60" s="4737"/>
      <c r="B60" s="4736"/>
      <c r="C60" s="4736"/>
      <c r="D60" s="4737"/>
      <c r="E60" s="4736"/>
      <c r="F60" s="4736"/>
      <c r="G60" s="4098">
        <v>45689</v>
      </c>
      <c r="H60" s="4098">
        <v>46418</v>
      </c>
      <c r="I60" s="3750">
        <v>10.6</v>
      </c>
      <c r="J60" s="3750">
        <f t="shared" si="2"/>
        <v>9.4</v>
      </c>
    </row>
    <row r="61" spans="1:10" ht="14.25" customHeight="1">
      <c r="A61" s="4737"/>
      <c r="B61" s="4736"/>
      <c r="C61" s="4736"/>
      <c r="D61" s="4737"/>
      <c r="E61" s="4736"/>
      <c r="F61" s="4736"/>
      <c r="G61" s="4098">
        <v>46419</v>
      </c>
      <c r="H61" s="4098">
        <v>46783</v>
      </c>
      <c r="I61" s="3750">
        <v>11.24</v>
      </c>
      <c r="J61" s="3750">
        <f t="shared" si="2"/>
        <v>10.040000000000001</v>
      </c>
    </row>
    <row r="62" spans="1:10" ht="14.25" customHeight="1">
      <c r="A62" s="4737">
        <v>18</v>
      </c>
      <c r="B62" s="4736" t="s">
        <v>4978</v>
      </c>
      <c r="C62" s="4736" t="s">
        <v>4977</v>
      </c>
      <c r="D62" s="4737">
        <v>425.96</v>
      </c>
      <c r="E62" s="4736" t="s">
        <v>4963</v>
      </c>
      <c r="F62" s="4736" t="s">
        <v>4970</v>
      </c>
      <c r="G62" s="4098">
        <v>44202</v>
      </c>
      <c r="H62" s="4098">
        <v>44291</v>
      </c>
      <c r="I62" s="3750">
        <v>9.85</v>
      </c>
      <c r="J62" s="3750">
        <f t="shared" si="2"/>
        <v>8.65</v>
      </c>
    </row>
    <row r="63" spans="1:10" ht="14.25" customHeight="1">
      <c r="A63" s="4737"/>
      <c r="B63" s="4736"/>
      <c r="C63" s="4736"/>
      <c r="D63" s="4737"/>
      <c r="E63" s="4736"/>
      <c r="F63" s="4736"/>
      <c r="G63" s="4098">
        <v>44202</v>
      </c>
      <c r="H63" s="4098">
        <v>44566</v>
      </c>
      <c r="I63" s="3750">
        <v>9.85</v>
      </c>
      <c r="J63" s="3750">
        <f t="shared" si="2"/>
        <v>8.65</v>
      </c>
    </row>
    <row r="64" spans="1:10" ht="14.25" customHeight="1">
      <c r="A64" s="4737"/>
      <c r="B64" s="4736"/>
      <c r="C64" s="4736"/>
      <c r="D64" s="4737"/>
      <c r="E64" s="4736"/>
      <c r="F64" s="4736"/>
      <c r="G64" s="4098">
        <v>44567</v>
      </c>
      <c r="H64" s="4098">
        <v>44931</v>
      </c>
      <c r="I64" s="3750">
        <v>10.34</v>
      </c>
      <c r="J64" s="3750">
        <f t="shared" si="2"/>
        <v>9.14</v>
      </c>
    </row>
    <row r="65" spans="1:10" ht="14.25" customHeight="1">
      <c r="A65" s="4737"/>
      <c r="B65" s="4736"/>
      <c r="C65" s="4736"/>
      <c r="D65" s="4737"/>
      <c r="E65" s="4736"/>
      <c r="F65" s="4736"/>
      <c r="G65" s="4144">
        <v>44932</v>
      </c>
      <c r="H65" s="4144">
        <v>45296</v>
      </c>
      <c r="I65" s="4145">
        <v>10.86</v>
      </c>
      <c r="J65" s="4145">
        <f t="shared" si="2"/>
        <v>9.66</v>
      </c>
    </row>
    <row r="66" spans="1:10" ht="14.25" customHeight="1">
      <c r="A66" s="4737"/>
      <c r="B66" s="4736"/>
      <c r="C66" s="4736"/>
      <c r="D66" s="4737"/>
      <c r="E66" s="4736"/>
      <c r="F66" s="4736"/>
      <c r="G66" s="4098">
        <v>45297</v>
      </c>
      <c r="H66" s="4098">
        <v>45662</v>
      </c>
      <c r="I66" s="3750">
        <v>11.4</v>
      </c>
      <c r="J66" s="3750">
        <f t="shared" si="2"/>
        <v>10.200000000000001</v>
      </c>
    </row>
    <row r="67" spans="1:10" ht="14.25" customHeight="1">
      <c r="A67" s="4737"/>
      <c r="B67" s="4736"/>
      <c r="C67" s="4736"/>
      <c r="D67" s="4737"/>
      <c r="E67" s="4736"/>
      <c r="F67" s="4736"/>
      <c r="G67" s="4098">
        <v>45663</v>
      </c>
      <c r="H67" s="4098">
        <v>46027</v>
      </c>
      <c r="I67" s="3750">
        <v>11.97</v>
      </c>
      <c r="J67" s="3750">
        <f t="shared" si="2"/>
        <v>10.770000000000001</v>
      </c>
    </row>
  </sheetData>
  <mergeCells count="91">
    <mergeCell ref="F1:H1"/>
    <mergeCell ref="A6:A7"/>
    <mergeCell ref="B6:B7"/>
    <mergeCell ref="C6:C7"/>
    <mergeCell ref="D6:D7"/>
    <mergeCell ref="E6:E7"/>
    <mergeCell ref="B3:B4"/>
    <mergeCell ref="F6:F7"/>
    <mergeCell ref="C3:C4"/>
    <mergeCell ref="D3:D4"/>
    <mergeCell ref="E3:E4"/>
    <mergeCell ref="F3:F4"/>
    <mergeCell ref="A49:A53"/>
    <mergeCell ref="A54:A57"/>
    <mergeCell ref="A58:A61"/>
    <mergeCell ref="A62:A67"/>
    <mergeCell ref="A3:A4"/>
    <mergeCell ref="A24:A28"/>
    <mergeCell ref="A29:A32"/>
    <mergeCell ref="A33:A35"/>
    <mergeCell ref="A36:A38"/>
    <mergeCell ref="A39:A42"/>
    <mergeCell ref="A43:A48"/>
    <mergeCell ref="A9:A13"/>
    <mergeCell ref="B39:B42"/>
    <mergeCell ref="C39:C42"/>
    <mergeCell ref="D39:D42"/>
    <mergeCell ref="E39:E42"/>
    <mergeCell ref="F39:F42"/>
    <mergeCell ref="B36:B38"/>
    <mergeCell ref="C36:C38"/>
    <mergeCell ref="D36:D38"/>
    <mergeCell ref="E36:E38"/>
    <mergeCell ref="F36:F38"/>
    <mergeCell ref="B49:B53"/>
    <mergeCell ref="C49:C53"/>
    <mergeCell ref="D49:D53"/>
    <mergeCell ref="E49:E53"/>
    <mergeCell ref="F49:F53"/>
    <mergeCell ref="B43:B48"/>
    <mergeCell ref="C43:C48"/>
    <mergeCell ref="D43:D48"/>
    <mergeCell ref="E43:E48"/>
    <mergeCell ref="F43:F48"/>
    <mergeCell ref="B58:B61"/>
    <mergeCell ref="C58:C61"/>
    <mergeCell ref="D58:D61"/>
    <mergeCell ref="E58:E61"/>
    <mergeCell ref="F58:F61"/>
    <mergeCell ref="B54:B57"/>
    <mergeCell ref="C54:C57"/>
    <mergeCell ref="D54:D57"/>
    <mergeCell ref="E54:E57"/>
    <mergeCell ref="F54:F57"/>
    <mergeCell ref="B33:B35"/>
    <mergeCell ref="C33:C35"/>
    <mergeCell ref="D33:D35"/>
    <mergeCell ref="E33:E35"/>
    <mergeCell ref="F33:F35"/>
    <mergeCell ref="B62:B67"/>
    <mergeCell ref="C62:C67"/>
    <mergeCell ref="D62:D67"/>
    <mergeCell ref="E62:E67"/>
    <mergeCell ref="F62:F67"/>
    <mergeCell ref="B24:B28"/>
    <mergeCell ref="C24:C28"/>
    <mergeCell ref="D24:D28"/>
    <mergeCell ref="E24:E28"/>
    <mergeCell ref="F24:F28"/>
    <mergeCell ref="B29:B32"/>
    <mergeCell ref="C29:C32"/>
    <mergeCell ref="D29:D32"/>
    <mergeCell ref="E29:E32"/>
    <mergeCell ref="F29:F32"/>
    <mergeCell ref="F19:F23"/>
    <mergeCell ref="A14:A18"/>
    <mergeCell ref="B14:B18"/>
    <mergeCell ref="C14:C18"/>
    <mergeCell ref="D14:D18"/>
    <mergeCell ref="E14:E18"/>
    <mergeCell ref="F14:F18"/>
    <mergeCell ref="B19:B23"/>
    <mergeCell ref="A19:A23"/>
    <mergeCell ref="C19:C23"/>
    <mergeCell ref="D19:D23"/>
    <mergeCell ref="E19:E23"/>
    <mergeCell ref="F9:F13"/>
    <mergeCell ref="E9:E13"/>
    <mergeCell ref="D9:D13"/>
    <mergeCell ref="C9:C13"/>
    <mergeCell ref="B9:B13"/>
  </mergeCells>
  <phoneticPr fontId="14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tabColor rgb="FF92D050"/>
    <pageSetUpPr fitToPage="1"/>
  </sheetPr>
  <dimension ref="A1:AC132"/>
  <sheetViews>
    <sheetView view="pageBreakPreview" topLeftCell="B27" zoomScale="85" zoomScaleNormal="60" zoomScaleSheetLayoutView="85" workbookViewId="0">
      <selection activeCell="E53" sqref="E53"/>
    </sheetView>
  </sheetViews>
  <sheetFormatPr defaultColWidth="9" defaultRowHeight="14.25"/>
  <cols>
    <col min="1" max="1" width="10.5" style="1666" customWidth="1"/>
    <col min="2" max="2" width="15.625" style="1666" customWidth="1"/>
    <col min="3" max="3" width="18" style="1666" customWidth="1"/>
    <col min="4" max="4" width="12.125" style="1666" customWidth="1"/>
    <col min="5" max="5" width="14.375" style="1666" customWidth="1"/>
    <col min="6" max="6" width="12.125" style="1666" customWidth="1"/>
    <col min="7" max="7" width="14.5" style="1666" customWidth="1"/>
    <col min="8" max="8" width="12.125" style="1666" customWidth="1"/>
    <col min="9" max="9" width="14.5" style="1666" customWidth="1"/>
    <col min="10" max="10" width="12.125" style="1666" customWidth="1"/>
    <col min="11" max="11" width="12.125" style="1909" customWidth="1"/>
    <col min="12" max="12" width="12.125" style="1910" customWidth="1"/>
    <col min="13" max="15" width="12.125" style="1666" customWidth="1"/>
    <col min="16" max="16" width="4.625" style="1666" customWidth="1"/>
    <col min="17" max="17" width="19.5" style="1666" customWidth="1"/>
    <col min="18" max="22" width="6.125" style="1666" customWidth="1"/>
    <col min="23" max="23" width="5.625" style="1666" customWidth="1"/>
    <col min="24" max="24" width="4.125" style="1666" customWidth="1"/>
    <col min="25" max="25" width="3.5" style="1666" customWidth="1"/>
    <col min="26" max="26" width="19.625" style="1666" customWidth="1"/>
    <col min="27" max="28" width="9.375" style="1666" customWidth="1"/>
    <col min="29" max="16384" width="9" style="1666"/>
  </cols>
  <sheetData>
    <row r="1" spans="1:29" s="1647" customFormat="1" ht="28.5" customHeight="1" thickBot="1">
      <c r="A1" s="1636" t="s">
        <v>2240</v>
      </c>
      <c r="B1" s="1637" t="s">
        <v>2382</v>
      </c>
      <c r="C1" s="1638" t="s">
        <v>2741</v>
      </c>
      <c r="D1" s="1637"/>
      <c r="E1" s="1640" t="s">
        <v>1224</v>
      </c>
      <c r="F1" s="1641" t="s">
        <v>2242</v>
      </c>
      <c r="G1" s="1637"/>
      <c r="H1" s="1637"/>
      <c r="I1" s="1637"/>
      <c r="J1" s="1637"/>
      <c r="K1" s="1642"/>
      <c r="L1" s="1643"/>
      <c r="M1" s="1637"/>
      <c r="N1" s="1637"/>
      <c r="O1" s="1637"/>
      <c r="P1" s="1637"/>
      <c r="Q1" s="1637"/>
      <c r="R1" s="1637"/>
      <c r="S1" s="1637"/>
      <c r="T1" s="1637"/>
      <c r="U1" s="1637"/>
      <c r="V1" s="1637"/>
      <c r="W1" s="1637"/>
      <c r="X1" s="1637"/>
      <c r="Y1" s="1637"/>
      <c r="Z1" s="1637"/>
      <c r="AA1" s="1637"/>
      <c r="AB1" s="2485"/>
      <c r="AC1" s="1646"/>
    </row>
    <row r="2" spans="1:29" s="1959" customFormat="1" ht="28.5" customHeight="1" thickTop="1">
      <c r="A2" s="1648" t="s">
        <v>1912</v>
      </c>
      <c r="B2" s="1649">
        <f>IF(D2="——",IF(C2="元",ROUND(C50*D3,0),ROUND(C50*D3/10000,0)),IF(C2="元",ROUND(C50*D3,0),ROUND(C50*D3/10000,0))-E2)</f>
        <v>4789</v>
      </c>
      <c r="C2" s="1650" t="str">
        <f>'数据-取费表'!B3</f>
        <v>元</v>
      </c>
      <c r="D2" s="1651" t="s">
        <v>1240</v>
      </c>
      <c r="E2" s="2486" t="e">
        <f ca="1">SUMIF(INDIRECT("'"&amp;G2&amp;"'"&amp;"!A:A"),"承租人权益价值",INDIRECT("'"&amp;G2&amp;"'"&amp;"!c:c"))</f>
        <v>#REF!</v>
      </c>
      <c r="F2" s="1653" t="str">
        <f>C2</f>
        <v>元</v>
      </c>
      <c r="G2" s="1654"/>
      <c r="H2" s="3010"/>
      <c r="I2" s="3010"/>
      <c r="J2" s="3010"/>
      <c r="K2" s="3010"/>
      <c r="L2" s="3012"/>
      <c r="M2" s="3010"/>
      <c r="N2" s="3010"/>
      <c r="O2" s="3010"/>
      <c r="P2" s="1956"/>
      <c r="Q2" s="1956"/>
      <c r="R2" s="1956"/>
      <c r="S2" s="1956"/>
      <c r="T2" s="1956"/>
      <c r="U2" s="1956"/>
      <c r="V2" s="1956"/>
      <c r="W2" s="1956"/>
      <c r="X2" s="1956"/>
      <c r="Y2" s="1956"/>
      <c r="Z2" s="1956"/>
      <c r="AA2" s="1956"/>
      <c r="AB2" s="2487"/>
      <c r="AC2" s="1964"/>
    </row>
    <row r="3" spans="1:29" s="1959" customFormat="1" ht="28.5" customHeight="1" thickBot="1">
      <c r="A3" s="1658" t="s">
        <v>1913</v>
      </c>
      <c r="B3" s="1962">
        <f>ROUND(IF(D2="——",C50,IF(C2="万元",B2*10000/D3,B2/D3)),0)</f>
        <v>4</v>
      </c>
      <c r="C3" s="1659" t="s">
        <v>2243</v>
      </c>
      <c r="D3" s="1659">
        <f>IF(C1="仅计算典型户型",'数据-取费表'!E5,'数据-取费表'!B5)</f>
        <v>1088.48</v>
      </c>
      <c r="F3" s="3009"/>
      <c r="G3" s="3010"/>
      <c r="H3" s="3010"/>
      <c r="I3" s="3010"/>
      <c r="J3" s="3010"/>
      <c r="K3" s="3011"/>
      <c r="L3" s="3012"/>
      <c r="M3" s="3010"/>
      <c r="N3" s="3010"/>
      <c r="O3" s="3010"/>
      <c r="P3" s="3017"/>
      <c r="Q3" s="1951"/>
      <c r="R3" s="1951"/>
      <c r="S3" s="1951"/>
      <c r="T3" s="1951"/>
      <c r="U3" s="1951"/>
      <c r="V3" s="1951"/>
      <c r="W3" s="1951"/>
      <c r="X3" s="1956"/>
      <c r="Y3" s="1951"/>
      <c r="Z3" s="1951"/>
      <c r="AA3" s="1951"/>
      <c r="AB3" s="2488"/>
      <c r="AC3" s="1964"/>
    </row>
    <row r="4" spans="1:29" ht="15">
      <c r="A4" s="1662" t="s">
        <v>2244</v>
      </c>
      <c r="B4" s="1663"/>
      <c r="C4" s="4515" t="s">
        <v>2245</v>
      </c>
      <c r="D4" s="4516"/>
      <c r="E4" s="4517" t="s">
        <v>2246</v>
      </c>
      <c r="F4" s="4518"/>
      <c r="G4" s="4515" t="s">
        <v>2247</v>
      </c>
      <c r="H4" s="4516"/>
      <c r="I4" s="4515" t="s">
        <v>2248</v>
      </c>
      <c r="J4" s="4516"/>
      <c r="K4" s="1965" t="s">
        <v>2249</v>
      </c>
      <c r="L4" s="2995"/>
      <c r="M4" s="2996"/>
      <c r="N4" s="2996"/>
      <c r="O4" s="2996"/>
      <c r="P4" s="4519" t="s">
        <v>2250</v>
      </c>
      <c r="Q4" s="4520"/>
      <c r="R4" s="4504" t="s">
        <v>2246</v>
      </c>
      <c r="S4" s="4505"/>
      <c r="T4" s="4504" t="s">
        <v>2247</v>
      </c>
      <c r="U4" s="4505"/>
      <c r="V4" s="4525" t="s">
        <v>2248</v>
      </c>
      <c r="W4" s="4525"/>
      <c r="X4" s="2074"/>
      <c r="Y4" s="4504" t="s">
        <v>2250</v>
      </c>
      <c r="Z4" s="4505"/>
      <c r="AA4" s="4512" t="s">
        <v>2246</v>
      </c>
      <c r="AB4" s="4512" t="s">
        <v>2247</v>
      </c>
      <c r="AC4" s="4512" t="s">
        <v>2248</v>
      </c>
    </row>
    <row r="5" spans="1:29" ht="15">
      <c r="A5" s="1667"/>
      <c r="B5" s="1668"/>
      <c r="C5" s="4739" t="s">
        <v>4982</v>
      </c>
      <c r="D5" s="4527"/>
      <c r="E5" s="4739" t="s">
        <v>4982</v>
      </c>
      <c r="F5" s="4527"/>
      <c r="G5" s="4742" t="str">
        <f>E5</f>
        <v>数字传媒大厦</v>
      </c>
      <c r="H5" s="4501"/>
      <c r="I5" s="4742" t="str">
        <f>E5</f>
        <v>数字传媒大厦</v>
      </c>
      <c r="J5" s="4501"/>
      <c r="K5" s="1965"/>
      <c r="L5" s="2995"/>
      <c r="M5" s="2996"/>
      <c r="N5" s="2996"/>
      <c r="O5" s="2996"/>
      <c r="P5" s="4521"/>
      <c r="Q5" s="4522"/>
      <c r="R5" s="4506"/>
      <c r="S5" s="4507"/>
      <c r="T5" s="4506"/>
      <c r="U5" s="4507"/>
      <c r="V5" s="4525"/>
      <c r="W5" s="4525"/>
      <c r="X5" s="2074"/>
      <c r="Y5" s="4506"/>
      <c r="Z5" s="4507"/>
      <c r="AA5" s="4513"/>
      <c r="AB5" s="4513"/>
      <c r="AC5" s="4513"/>
    </row>
    <row r="6" spans="1:29" ht="30" customHeight="1" thickBot="1">
      <c r="A6" s="1670"/>
      <c r="B6" s="1671"/>
      <c r="C6" s="4498" t="s">
        <v>4981</v>
      </c>
      <c r="D6" s="4499"/>
      <c r="E6" s="4528" t="str">
        <f>'2016租金台账'!B38</f>
        <v>北京正奇联讯科技有限公司</v>
      </c>
      <c r="F6" s="4529"/>
      <c r="G6" s="4740" t="s">
        <v>5015</v>
      </c>
      <c r="H6" s="4741"/>
      <c r="I6" s="4740" t="s">
        <v>5016</v>
      </c>
      <c r="J6" s="4741"/>
      <c r="K6" s="1965" t="s">
        <v>2256</v>
      </c>
      <c r="L6" s="2995"/>
      <c r="M6" s="2996"/>
      <c r="N6" s="2996"/>
      <c r="O6" s="2996"/>
      <c r="P6" s="4523"/>
      <c r="Q6" s="4524"/>
      <c r="R6" s="4506"/>
      <c r="S6" s="4507"/>
      <c r="T6" s="4508"/>
      <c r="U6" s="4509"/>
      <c r="V6" s="4525"/>
      <c r="W6" s="4525"/>
      <c r="X6" s="2074"/>
      <c r="Y6" s="4508"/>
      <c r="Z6" s="4509"/>
      <c r="AA6" s="4514"/>
      <c r="AB6" s="4514"/>
      <c r="AC6" s="4514"/>
    </row>
    <row r="7" spans="1:29" s="1684" customFormat="1" ht="15.75" thickBot="1">
      <c r="A7" s="1672" t="s">
        <v>2257</v>
      </c>
      <c r="B7" s="1673"/>
      <c r="C7" s="1674">
        <f>'数据-取费表'!B2</f>
        <v>42402</v>
      </c>
      <c r="D7" s="1675">
        <v>100</v>
      </c>
      <c r="E7" s="1676">
        <f>合同租金汇总!G3</f>
        <v>42353</v>
      </c>
      <c r="F7" s="1677">
        <f>SUMIF(59:59,YEAR(E7)&amp;"-"&amp;MONTH(E7),60:60)</f>
        <v>99.8</v>
      </c>
      <c r="G7" s="1966">
        <f>合同租金汇总!G6</f>
        <v>42353</v>
      </c>
      <c r="H7" s="1675">
        <f>SUMIF(59:59,YEAR(G7)&amp;"-"&amp;MONTH(G7),60:60)</f>
        <v>99.8</v>
      </c>
      <c r="I7" s="1966">
        <f>合同租金汇总!G29</f>
        <v>42314</v>
      </c>
      <c r="J7" s="1675">
        <f>SUMIF(59:59,YEAR(I7)&amp;"-"&amp;MONTH(I7),60:60)</f>
        <v>99.8</v>
      </c>
      <c r="K7" s="1967"/>
      <c r="L7" s="2995" t="s">
        <v>2905</v>
      </c>
      <c r="M7" s="2968"/>
      <c r="N7" s="2968"/>
      <c r="O7" s="2968"/>
      <c r="P7" s="4502" t="s">
        <v>2258</v>
      </c>
      <c r="Q7" s="4510"/>
      <c r="R7" s="1680" t="s">
        <v>25</v>
      </c>
      <c r="S7" s="1681">
        <f t="shared" ref="S7:S15" si="0">F7</f>
        <v>99.8</v>
      </c>
      <c r="T7" s="1680" t="s">
        <v>25</v>
      </c>
      <c r="U7" s="1681">
        <f t="shared" ref="U7:U15" si="1">H7</f>
        <v>99.8</v>
      </c>
      <c r="V7" s="1680" t="s">
        <v>25</v>
      </c>
      <c r="W7" s="1681">
        <f t="shared" ref="W7:W15" si="2">J7</f>
        <v>99.8</v>
      </c>
      <c r="X7" s="1682"/>
      <c r="Y7" s="4502" t="s">
        <v>2258</v>
      </c>
      <c r="Z7" s="4503"/>
      <c r="AA7" s="1683">
        <f>D7/F7</f>
        <v>1.0020040080160322</v>
      </c>
      <c r="AB7" s="1683">
        <f>D7/H7</f>
        <v>1.0020040080160322</v>
      </c>
      <c r="AC7" s="1683">
        <f>D7/J7</f>
        <v>1.0020040080160322</v>
      </c>
    </row>
    <row r="8" spans="1:29" s="1684" customFormat="1" ht="15.75" thickBot="1">
      <c r="A8" s="1672" t="s">
        <v>2259</v>
      </c>
      <c r="B8" s="1673"/>
      <c r="C8" s="1685" t="s">
        <v>2873</v>
      </c>
      <c r="D8" s="1675">
        <v>100</v>
      </c>
      <c r="E8" s="1685" t="s">
        <v>2873</v>
      </c>
      <c r="F8" s="1677">
        <f>SUMIF(62:62,E8,63:63)-SUMIF(62:62,C8,63:63)+100</f>
        <v>100</v>
      </c>
      <c r="G8" s="1685" t="s">
        <v>2873</v>
      </c>
      <c r="H8" s="1675">
        <f>SUMIF(62:62,G8,63:63)-SUMIF(62:62,C8,63:63)+100</f>
        <v>100</v>
      </c>
      <c r="I8" s="1685" t="s">
        <v>2873</v>
      </c>
      <c r="J8" s="1675">
        <f>SUMIF(62:62,I8,63:63)-SUMIF(62:62,C8,63:63)+100</f>
        <v>100</v>
      </c>
      <c r="K8" s="1967"/>
      <c r="L8" s="2995"/>
      <c r="M8" s="2968"/>
      <c r="N8" s="2968"/>
      <c r="O8" s="2968"/>
      <c r="P8" s="4502" t="s">
        <v>2261</v>
      </c>
      <c r="Q8" s="4503"/>
      <c r="R8" s="1680" t="s">
        <v>25</v>
      </c>
      <c r="S8" s="1681">
        <f t="shared" si="0"/>
        <v>100</v>
      </c>
      <c r="T8" s="1680" t="s">
        <v>25</v>
      </c>
      <c r="U8" s="1681">
        <f t="shared" si="1"/>
        <v>100</v>
      </c>
      <c r="V8" s="1680" t="s">
        <v>25</v>
      </c>
      <c r="W8" s="1681">
        <f t="shared" si="2"/>
        <v>100</v>
      </c>
      <c r="X8" s="1682"/>
      <c r="Y8" s="4502" t="s">
        <v>2261</v>
      </c>
      <c r="Z8" s="4503"/>
      <c r="AA8" s="1683">
        <f t="shared" ref="AA8:AA47" si="3">D8/F8</f>
        <v>1</v>
      </c>
      <c r="AB8" s="1683">
        <f t="shared" ref="AB8:AB47" si="4">D8/H8</f>
        <v>1</v>
      </c>
      <c r="AC8" s="1683">
        <f t="shared" ref="AC8:AC47" si="5">D8/J8</f>
        <v>1</v>
      </c>
    </row>
    <row r="9" spans="1:29" s="1684" customFormat="1" ht="15" thickBot="1">
      <c r="A9" s="2066" t="s">
        <v>2262</v>
      </c>
      <c r="B9" s="1687" t="s">
        <v>2263</v>
      </c>
      <c r="C9" s="3450" t="s">
        <v>3351</v>
      </c>
      <c r="D9" s="1689">
        <v>100</v>
      </c>
      <c r="E9" s="1692" t="s">
        <v>2929</v>
      </c>
      <c r="F9" s="1689">
        <f>SUMIF(64:64,E9,65:65)-SUMIF(64:64,C9,65:65)+100</f>
        <v>100</v>
      </c>
      <c r="G9" s="1692" t="s">
        <v>2929</v>
      </c>
      <c r="H9" s="1689">
        <f>SUMIF(64:64,G9,65:65)-SUMIF(64:64,C9,65:65)+100</f>
        <v>100</v>
      </c>
      <c r="I9" s="1692" t="s">
        <v>2929</v>
      </c>
      <c r="J9" s="1689">
        <f>SUMIF(64:64,I9,65:65)-SUMIF(64:64,C9,65:65)+100</f>
        <v>100</v>
      </c>
      <c r="K9" s="1967"/>
      <c r="L9" s="2995"/>
      <c r="M9" s="2968"/>
      <c r="N9" s="2968"/>
      <c r="O9" s="2968"/>
      <c r="P9" s="4488" t="s">
        <v>2264</v>
      </c>
      <c r="Q9" s="2913" t="str">
        <f t="shared" ref="Q9:Q15" si="6">B9</f>
        <v>用途</v>
      </c>
      <c r="R9" s="1680" t="s">
        <v>25</v>
      </c>
      <c r="S9" s="1681">
        <f t="shared" si="0"/>
        <v>100</v>
      </c>
      <c r="T9" s="1680" t="s">
        <v>25</v>
      </c>
      <c r="U9" s="1681">
        <f t="shared" si="1"/>
        <v>100</v>
      </c>
      <c r="V9" s="1680" t="s">
        <v>25</v>
      </c>
      <c r="W9" s="1681">
        <f t="shared" si="2"/>
        <v>100</v>
      </c>
      <c r="X9" s="1682"/>
      <c r="Y9" s="4349" t="s">
        <v>2265</v>
      </c>
      <c r="Z9" s="1693" t="str">
        <f t="shared" ref="Z9:Z15" si="7">Q9</f>
        <v>用途</v>
      </c>
      <c r="AA9" s="1683">
        <f t="shared" si="3"/>
        <v>1</v>
      </c>
      <c r="AB9" s="1683">
        <f t="shared" si="4"/>
        <v>1</v>
      </c>
      <c r="AC9" s="1683">
        <f t="shared" si="5"/>
        <v>1</v>
      </c>
    </row>
    <row r="10" spans="1:29" s="1701" customFormat="1" ht="27" hidden="1">
      <c r="A10" s="1694"/>
      <c r="B10" s="1695" t="s">
        <v>2266</v>
      </c>
      <c r="C10" s="1696"/>
      <c r="D10" s="1697">
        <v>100</v>
      </c>
      <c r="E10" s="1696"/>
      <c r="F10" s="1697">
        <f>SUMIF(66:66,E10,67:67)-SUMIF(66:66,C10,67:67)+100</f>
        <v>100</v>
      </c>
      <c r="G10" s="1698"/>
      <c r="H10" s="1697">
        <f>SUMIF(66:66,G10,67:67)-SUMIF(66:66,C10,67:67)+100</f>
        <v>100</v>
      </c>
      <c r="I10" s="1696"/>
      <c r="J10" s="1697">
        <f>SUMIF(66:66,I10,67:67)-SUMIF(66:66,C10,67:67)+100</f>
        <v>100</v>
      </c>
      <c r="K10" s="1992"/>
      <c r="L10" s="2997"/>
      <c r="M10" s="2998"/>
      <c r="N10" s="2998"/>
      <c r="O10" s="2998"/>
      <c r="P10" s="4488"/>
      <c r="Q10" s="2913" t="str">
        <f t="shared" si="6"/>
        <v>土地使用年限（年）</v>
      </c>
      <c r="R10" s="1680" t="s">
        <v>25</v>
      </c>
      <c r="S10" s="1681">
        <f t="shared" si="0"/>
        <v>100</v>
      </c>
      <c r="T10" s="1680" t="s">
        <v>25</v>
      </c>
      <c r="U10" s="1681">
        <f t="shared" si="1"/>
        <v>100</v>
      </c>
      <c r="V10" s="1680" t="s">
        <v>25</v>
      </c>
      <c r="W10" s="1681">
        <f t="shared" si="2"/>
        <v>100</v>
      </c>
      <c r="X10" s="1682"/>
      <c r="Y10" s="4349"/>
      <c r="Z10" s="1693" t="str">
        <f t="shared" si="7"/>
        <v>土地使用年限（年）</v>
      </c>
      <c r="AA10" s="1683">
        <f t="shared" si="3"/>
        <v>1</v>
      </c>
      <c r="AB10" s="1683">
        <f t="shared" si="4"/>
        <v>1</v>
      </c>
      <c r="AC10" s="1683">
        <f t="shared" si="5"/>
        <v>1</v>
      </c>
    </row>
    <row r="11" spans="1:29" ht="15" hidden="1">
      <c r="A11" s="1702"/>
      <c r="B11" s="1695" t="s">
        <v>2267</v>
      </c>
      <c r="C11" s="1703"/>
      <c r="D11" s="1697">
        <v>100</v>
      </c>
      <c r="E11" s="1703"/>
      <c r="F11" s="1697">
        <f>LOOKUP(E11,69:69,70:70)-LOOKUP(C11,69:69,70:70)+100</f>
        <v>100</v>
      </c>
      <c r="G11" s="1704"/>
      <c r="H11" s="1697">
        <f>LOOKUP(G11,69:69,70:70)-LOOKUP(C11,69:69,70:70)+100</f>
        <v>100</v>
      </c>
      <c r="I11" s="1703"/>
      <c r="J11" s="1697">
        <f>LOOKUP(I11,69:69,70:70)-LOOKUP(C11,69:69,70:70)+100</f>
        <v>100</v>
      </c>
      <c r="K11" s="1992"/>
      <c r="L11" s="2999"/>
      <c r="M11" s="2996"/>
      <c r="N11" s="2996"/>
      <c r="O11" s="2996"/>
      <c r="P11" s="4488"/>
      <c r="Q11" s="2913" t="str">
        <f t="shared" si="6"/>
        <v>容积率</v>
      </c>
      <c r="R11" s="1680" t="s">
        <v>25</v>
      </c>
      <c r="S11" s="1681">
        <f t="shared" si="0"/>
        <v>100</v>
      </c>
      <c r="T11" s="1680" t="s">
        <v>25</v>
      </c>
      <c r="U11" s="1681">
        <f t="shared" si="1"/>
        <v>100</v>
      </c>
      <c r="V11" s="1680" t="s">
        <v>25</v>
      </c>
      <c r="W11" s="1681">
        <f t="shared" si="2"/>
        <v>100</v>
      </c>
      <c r="X11" s="1682"/>
      <c r="Y11" s="4349"/>
      <c r="Z11" s="1693" t="str">
        <f t="shared" si="7"/>
        <v>容积率</v>
      </c>
      <c r="AA11" s="1683">
        <f t="shared" si="3"/>
        <v>1</v>
      </c>
      <c r="AB11" s="1683">
        <f t="shared" si="4"/>
        <v>1</v>
      </c>
      <c r="AC11" s="1683">
        <f t="shared" si="5"/>
        <v>1</v>
      </c>
    </row>
    <row r="12" spans="1:29" s="1684" customFormat="1" ht="15" hidden="1">
      <c r="A12" s="1705"/>
      <c r="B12" s="1706">
        <v>111</v>
      </c>
      <c r="C12" s="1707"/>
      <c r="D12" s="1708">
        <v>100</v>
      </c>
      <c r="E12" s="1707"/>
      <c r="F12" s="1697">
        <f>SUMIF(71:71,E12,72:72)-SUMIF(71:71,C12,72:72)+100</f>
        <v>100</v>
      </c>
      <c r="G12" s="2489"/>
      <c r="H12" s="1697">
        <f>SUMIF(71:71,G12,72:72)-SUMIF(71:71,C12,72:72)+100</f>
        <v>100</v>
      </c>
      <c r="I12" s="1707"/>
      <c r="J12" s="1697">
        <f>SUMIF(71:71,I12,72:72)-SUMIF(71:71,C12,72:72)+100</f>
        <v>100</v>
      </c>
      <c r="K12" s="1989"/>
      <c r="L12" s="2995"/>
      <c r="M12" s="2968"/>
      <c r="N12" s="2968"/>
      <c r="O12" s="2968"/>
      <c r="P12" s="4488"/>
      <c r="Q12" s="2913">
        <f t="shared" si="6"/>
        <v>111</v>
      </c>
      <c r="R12" s="1680" t="s">
        <v>25</v>
      </c>
      <c r="S12" s="1681">
        <f t="shared" si="0"/>
        <v>100</v>
      </c>
      <c r="T12" s="1680" t="s">
        <v>25</v>
      </c>
      <c r="U12" s="1681">
        <f t="shared" si="1"/>
        <v>100</v>
      </c>
      <c r="V12" s="1680" t="s">
        <v>25</v>
      </c>
      <c r="W12" s="1681">
        <f t="shared" si="2"/>
        <v>100</v>
      </c>
      <c r="X12" s="1682"/>
      <c r="Y12" s="4349"/>
      <c r="Z12" s="1693">
        <f t="shared" si="7"/>
        <v>111</v>
      </c>
      <c r="AA12" s="1683">
        <f>D12/F12</f>
        <v>1</v>
      </c>
      <c r="AB12" s="1683">
        <f>D12/H12</f>
        <v>1</v>
      </c>
      <c r="AC12" s="1683">
        <f>D12/J12</f>
        <v>1</v>
      </c>
    </row>
    <row r="13" spans="1:29" ht="15" hidden="1">
      <c r="A13" s="1702"/>
      <c r="B13" s="1706">
        <v>111</v>
      </c>
      <c r="C13" s="1710"/>
      <c r="D13" s="1711">
        <v>100</v>
      </c>
      <c r="E13" s="1707"/>
      <c r="F13" s="1697">
        <f>SUMIF(73:73,E13,74:74)-SUMIF(73:73,C13,74:74)+100</f>
        <v>100</v>
      </c>
      <c r="G13" s="2489"/>
      <c r="H13" s="1711">
        <f>SUMIF(73:73,G13,74:74)-SUMIF(73:73,C13,74:74)+100</f>
        <v>100</v>
      </c>
      <c r="I13" s="1707"/>
      <c r="J13" s="1711">
        <f>SUMIF(73:73,I13,74:74)-SUMIF(73:73,C13,74:74)+100</f>
        <v>100</v>
      </c>
      <c r="K13" s="1989"/>
      <c r="L13" s="3000"/>
      <c r="M13" s="2996"/>
      <c r="N13" s="2996"/>
      <c r="O13" s="2996"/>
      <c r="P13" s="4488"/>
      <c r="Q13" s="2913">
        <f t="shared" si="6"/>
        <v>111</v>
      </c>
      <c r="R13" s="1680" t="s">
        <v>25</v>
      </c>
      <c r="S13" s="1681">
        <f t="shared" si="0"/>
        <v>100</v>
      </c>
      <c r="T13" s="1680" t="s">
        <v>25</v>
      </c>
      <c r="U13" s="1681">
        <f t="shared" si="1"/>
        <v>100</v>
      </c>
      <c r="V13" s="1680" t="s">
        <v>25</v>
      </c>
      <c r="W13" s="1681">
        <f t="shared" si="2"/>
        <v>100</v>
      </c>
      <c r="X13" s="1682"/>
      <c r="Y13" s="4349"/>
      <c r="Z13" s="1693">
        <f t="shared" si="7"/>
        <v>111</v>
      </c>
      <c r="AA13" s="1683">
        <f t="shared" si="3"/>
        <v>1</v>
      </c>
      <c r="AB13" s="1683">
        <f t="shared" si="4"/>
        <v>1</v>
      </c>
      <c r="AC13" s="1683">
        <f t="shared" si="5"/>
        <v>1</v>
      </c>
    </row>
    <row r="14" spans="1:29" ht="15.75" hidden="1" thickBot="1">
      <c r="A14" s="1712"/>
      <c r="B14" s="1713">
        <v>111</v>
      </c>
      <c r="C14" s="1714"/>
      <c r="D14" s="1715">
        <v>100</v>
      </c>
      <c r="E14" s="2490"/>
      <c r="F14" s="1715">
        <f>SUMIF(75:75,E14,76:76)-SUMIF(75:75,C14,76:76)+100</f>
        <v>100</v>
      </c>
      <c r="G14" s="2489"/>
      <c r="H14" s="1715">
        <f>SUMIF(75:75,G14,76:76)-SUMIF(75:75,C14,76:76)+100</f>
        <v>100</v>
      </c>
      <c r="I14" s="1707"/>
      <c r="J14" s="1715">
        <f>SUMIF(75:75,I14,76:76)-SUMIF(75:75,C14,76:76)+100</f>
        <v>100</v>
      </c>
      <c r="K14" s="1989"/>
      <c r="L14" s="3000"/>
      <c r="M14" s="2996"/>
      <c r="N14" s="2996"/>
      <c r="O14" s="2996"/>
      <c r="P14" s="4488"/>
      <c r="Q14" s="2913">
        <f t="shared" si="6"/>
        <v>111</v>
      </c>
      <c r="R14" s="1680" t="s">
        <v>25</v>
      </c>
      <c r="S14" s="1681">
        <f t="shared" si="0"/>
        <v>100</v>
      </c>
      <c r="T14" s="1680" t="s">
        <v>25</v>
      </c>
      <c r="U14" s="1681">
        <f t="shared" si="1"/>
        <v>100</v>
      </c>
      <c r="V14" s="1680" t="s">
        <v>25</v>
      </c>
      <c r="W14" s="1681">
        <f t="shared" si="2"/>
        <v>100</v>
      </c>
      <c r="X14" s="1682"/>
      <c r="Y14" s="4349"/>
      <c r="Z14" s="1693">
        <f t="shared" si="7"/>
        <v>111</v>
      </c>
      <c r="AA14" s="1683">
        <f t="shared" si="3"/>
        <v>1</v>
      </c>
      <c r="AB14" s="1683">
        <f t="shared" si="4"/>
        <v>1</v>
      </c>
      <c r="AC14" s="1683">
        <f t="shared" si="5"/>
        <v>1</v>
      </c>
    </row>
    <row r="15" spans="1:29" ht="31.5" customHeight="1">
      <c r="A15" s="1717" t="s">
        <v>2268</v>
      </c>
      <c r="B15" s="2491" t="s">
        <v>2383</v>
      </c>
      <c r="C15" s="1973" t="str">
        <f>估价对象房地状况!C5</f>
        <v>估价对象位于上地商圈，周边办公楼项目有上地研华科技大厦、许继大厦、华为大厦、华环大厦、自主创新大厦等，入驻率高，办公集聚程度较好。</v>
      </c>
      <c r="D15" s="1720">
        <v>100</v>
      </c>
      <c r="E15" s="3728"/>
      <c r="F15" s="1720">
        <f>SUMIF(77:77,E16,78:78)-SUMIF(77:77,C16,78:78)+100</f>
        <v>100</v>
      </c>
      <c r="G15" s="3728"/>
      <c r="H15" s="1720">
        <f>SUMIF(77:77,G16,78:78)-SUMIF(77:77,C16,78:78)+100</f>
        <v>100</v>
      </c>
      <c r="I15" s="3728"/>
      <c r="J15" s="1720">
        <f>SUMIF(77:77,I16,78:78)-SUMIF(77:77,C16,78:78)+100</f>
        <v>100</v>
      </c>
      <c r="K15" s="2471">
        <v>2</v>
      </c>
      <c r="L15" s="3000"/>
      <c r="M15" s="2996"/>
      <c r="N15" s="2996"/>
      <c r="O15" s="2996"/>
      <c r="P15" s="4491" t="s">
        <v>2269</v>
      </c>
      <c r="Q15" s="2914" t="str">
        <f t="shared" si="6"/>
        <v>办公集聚程度</v>
      </c>
      <c r="R15" s="1725" t="s">
        <v>25</v>
      </c>
      <c r="S15" s="1726">
        <f t="shared" si="0"/>
        <v>100</v>
      </c>
      <c r="T15" s="1725" t="s">
        <v>25</v>
      </c>
      <c r="U15" s="1726">
        <f t="shared" si="1"/>
        <v>100</v>
      </c>
      <c r="V15" s="1725" t="s">
        <v>25</v>
      </c>
      <c r="W15" s="1726">
        <f t="shared" si="2"/>
        <v>100</v>
      </c>
      <c r="X15" s="2074"/>
      <c r="Y15" s="4491" t="s">
        <v>2269</v>
      </c>
      <c r="Z15" s="2078" t="str">
        <f t="shared" si="7"/>
        <v>办公集聚程度</v>
      </c>
      <c r="AA15" s="2069">
        <f t="shared" si="3"/>
        <v>1</v>
      </c>
      <c r="AB15" s="2069">
        <f t="shared" si="4"/>
        <v>1</v>
      </c>
      <c r="AC15" s="2069">
        <f t="shared" si="5"/>
        <v>1</v>
      </c>
    </row>
    <row r="16" spans="1:29" ht="15">
      <c r="A16" s="1702"/>
      <c r="B16" s="2492"/>
      <c r="C16" s="1975" t="s">
        <v>30</v>
      </c>
      <c r="D16" s="1731"/>
      <c r="E16" s="1975" t="s">
        <v>30</v>
      </c>
      <c r="F16" s="1731"/>
      <c r="G16" s="1975" t="s">
        <v>30</v>
      </c>
      <c r="H16" s="1735"/>
      <c r="I16" s="1975" t="s">
        <v>30</v>
      </c>
      <c r="J16" s="1731"/>
      <c r="K16" s="2472"/>
      <c r="L16" s="3000"/>
      <c r="M16" s="2996"/>
      <c r="N16" s="2996"/>
      <c r="O16" s="2996"/>
      <c r="P16" s="4492"/>
      <c r="Q16" s="2914"/>
      <c r="R16" s="1725"/>
      <c r="S16" s="1726"/>
      <c r="T16" s="1725"/>
      <c r="U16" s="1726"/>
      <c r="V16" s="1725"/>
      <c r="W16" s="1726"/>
      <c r="X16" s="2074"/>
      <c r="Y16" s="4492"/>
      <c r="Z16" s="2078"/>
      <c r="AA16" s="2069">
        <v>1</v>
      </c>
      <c r="AB16" s="2069">
        <v>1</v>
      </c>
      <c r="AC16" s="2069">
        <v>1</v>
      </c>
    </row>
    <row r="17" spans="1:29" ht="36.75" customHeight="1">
      <c r="A17" s="1702"/>
      <c r="B17" s="2493" t="s">
        <v>1704</v>
      </c>
      <c r="C17" s="1980" t="str">
        <f>估价对象房地状况!C6</f>
        <v>估价对象临近高速路-京新高速，紧邻城市主干道-信息路，距离清河火车站、地铁昌平线、13号线清河站约900米，周边有320路、365路、446路、447路、495路等公交线路通达，停车便捷程度较好，综合评价交通便捷度好。</v>
      </c>
      <c r="D17" s="1735">
        <v>100</v>
      </c>
      <c r="E17" s="3730"/>
      <c r="F17" s="1735">
        <f>SUMIF(79:79,E18,80:80)-SUMIF(79:79,C18,80:80)+100</f>
        <v>100</v>
      </c>
      <c r="G17" s="3730"/>
      <c r="H17" s="1742">
        <f>SUMIF(79:79,G18,80:80)-SUMIF(79:79,C18,80:80)+100</f>
        <v>100</v>
      </c>
      <c r="I17" s="3730"/>
      <c r="J17" s="1742">
        <f>SUMIF(79:79,I18,80:80)-SUMIF(79:79,C18,80:80)+100</f>
        <v>100</v>
      </c>
      <c r="K17" s="2471">
        <v>2</v>
      </c>
      <c r="L17" s="3000"/>
      <c r="M17" s="2996"/>
      <c r="N17" s="2996"/>
      <c r="O17" s="2996"/>
      <c r="P17" s="4492"/>
      <c r="Q17" s="2914" t="str">
        <f>B17</f>
        <v>交通便捷度</v>
      </c>
      <c r="R17" s="1725" t="s">
        <v>25</v>
      </c>
      <c r="S17" s="1726">
        <f>F17</f>
        <v>100</v>
      </c>
      <c r="T17" s="1725" t="s">
        <v>25</v>
      </c>
      <c r="U17" s="1726">
        <f>H17</f>
        <v>100</v>
      </c>
      <c r="V17" s="1725" t="s">
        <v>25</v>
      </c>
      <c r="W17" s="1726">
        <f>J17</f>
        <v>100</v>
      </c>
      <c r="X17" s="2074"/>
      <c r="Y17" s="4492"/>
      <c r="Z17" s="2078" t="str">
        <f>Q17</f>
        <v>交通便捷度</v>
      </c>
      <c r="AA17" s="2069">
        <f t="shared" si="3"/>
        <v>1</v>
      </c>
      <c r="AB17" s="2069">
        <f t="shared" si="4"/>
        <v>1</v>
      </c>
      <c r="AC17" s="2069">
        <f t="shared" si="5"/>
        <v>1</v>
      </c>
    </row>
    <row r="18" spans="1:29" ht="15">
      <c r="A18" s="1702"/>
      <c r="B18" s="2494"/>
      <c r="C18" s="1979" t="s">
        <v>30</v>
      </c>
      <c r="D18" s="1735"/>
      <c r="E18" s="1979" t="s">
        <v>30</v>
      </c>
      <c r="F18" s="1735"/>
      <c r="G18" s="1979" t="s">
        <v>30</v>
      </c>
      <c r="H18" s="1731"/>
      <c r="I18" s="1979" t="s">
        <v>30</v>
      </c>
      <c r="J18" s="1731"/>
      <c r="K18" s="2472"/>
      <c r="L18" s="3000"/>
      <c r="M18" s="2996"/>
      <c r="N18" s="2996"/>
      <c r="O18" s="2996"/>
      <c r="P18" s="4492"/>
      <c r="Q18" s="2914"/>
      <c r="R18" s="1725"/>
      <c r="S18" s="1726"/>
      <c r="T18" s="1725"/>
      <c r="U18" s="1726"/>
      <c r="V18" s="1725"/>
      <c r="W18" s="1726"/>
      <c r="X18" s="2074"/>
      <c r="Y18" s="4492"/>
      <c r="Z18" s="2078"/>
      <c r="AA18" s="2069">
        <v>1</v>
      </c>
      <c r="AB18" s="2069">
        <v>1</v>
      </c>
      <c r="AC18" s="2069">
        <v>1</v>
      </c>
    </row>
    <row r="19" spans="1:29" ht="36" customHeight="1">
      <c r="A19" s="1702"/>
      <c r="B19" s="2493" t="s">
        <v>2384</v>
      </c>
      <c r="C19" s="1980" t="str">
        <f>估价对象房地状况!C7</f>
        <v>银行：农村商业银行、北京银行（上地支行）、中国工商银行（北京中关村支行）、中国银行（北京上地信息路支行）等金融场所；
商业设施：北京华联上地购物中心、数字山谷下沉商业广场等商业设施；
教育机构：北京八维研修学院、北京市上地实验学校、中关村第一小学（西二旗分校）、北京市海淀区第二实验小学（当代校区）、美和园幼儿园（智学苑分园）等教育机构；
医疗机构：北京市上地医院、北京市海淀区清河街道西二旗社区卫生服务站等医疗机构；
估价对象所在区域公共配套设施齐备情况较好。</v>
      </c>
      <c r="D19" s="1742">
        <v>100</v>
      </c>
      <c r="E19" s="3729"/>
      <c r="F19" s="1742">
        <f>SUMIF(81:81,E20,82:82)-SUMIF(81:81,C20,82:82)+100</f>
        <v>100</v>
      </c>
      <c r="G19" s="3729"/>
      <c r="H19" s="1735">
        <f>SUMIF(81:81,G20,82:82)-SUMIF(81:81,C20,82:82)+100</f>
        <v>100</v>
      </c>
      <c r="I19" s="3729"/>
      <c r="J19" s="1735">
        <f>SUMIF(81:81,I20,82:82)-SUMIF(81:81,C20,82:82)+100</f>
        <v>100</v>
      </c>
      <c r="K19" s="2471">
        <v>2</v>
      </c>
      <c r="L19" s="3000"/>
      <c r="M19" s="2996"/>
      <c r="N19" s="2996"/>
      <c r="O19" s="2996"/>
      <c r="P19" s="4492"/>
      <c r="Q19" s="2914" t="str">
        <f>B19</f>
        <v>公共配套设施</v>
      </c>
      <c r="R19" s="1725" t="s">
        <v>25</v>
      </c>
      <c r="S19" s="1726">
        <f>F19</f>
        <v>100</v>
      </c>
      <c r="T19" s="1725" t="s">
        <v>25</v>
      </c>
      <c r="U19" s="1726">
        <f>H19</f>
        <v>100</v>
      </c>
      <c r="V19" s="1725" t="s">
        <v>25</v>
      </c>
      <c r="W19" s="1726">
        <f>J19</f>
        <v>100</v>
      </c>
      <c r="X19" s="2074"/>
      <c r="Y19" s="4492"/>
      <c r="Z19" s="2078" t="str">
        <f>Q19</f>
        <v>公共配套设施</v>
      </c>
      <c r="AA19" s="2069">
        <f t="shared" si="3"/>
        <v>1</v>
      </c>
      <c r="AB19" s="2069">
        <f t="shared" si="4"/>
        <v>1</v>
      </c>
      <c r="AC19" s="2069">
        <f t="shared" si="5"/>
        <v>1</v>
      </c>
    </row>
    <row r="20" spans="1:29" ht="15">
      <c r="A20" s="1702"/>
      <c r="B20" s="2494"/>
      <c r="C20" s="1975" t="s">
        <v>31</v>
      </c>
      <c r="D20" s="1731"/>
      <c r="E20" s="1975" t="s">
        <v>31</v>
      </c>
      <c r="F20" s="1731"/>
      <c r="G20" s="1975" t="s">
        <v>31</v>
      </c>
      <c r="H20" s="1731"/>
      <c r="I20" s="1975" t="s">
        <v>31</v>
      </c>
      <c r="J20" s="1731"/>
      <c r="K20" s="2472"/>
      <c r="L20" s="3000"/>
      <c r="M20" s="2996"/>
      <c r="N20" s="2996"/>
      <c r="O20" s="2996"/>
      <c r="P20" s="4492"/>
      <c r="Q20" s="2914"/>
      <c r="R20" s="1725"/>
      <c r="S20" s="1726"/>
      <c r="T20" s="1725"/>
      <c r="U20" s="1726"/>
      <c r="V20" s="1725"/>
      <c r="W20" s="1726"/>
      <c r="X20" s="2074"/>
      <c r="Y20" s="4492"/>
      <c r="Z20" s="2078"/>
      <c r="AA20" s="2069">
        <v>1</v>
      </c>
      <c r="AB20" s="2069">
        <v>1</v>
      </c>
      <c r="AC20" s="2069">
        <v>1</v>
      </c>
    </row>
    <row r="21" spans="1:29" ht="36" customHeight="1">
      <c r="A21" s="1702"/>
      <c r="B21" s="2495" t="s">
        <v>2385</v>
      </c>
      <c r="C21" s="1980" t="str">
        <f>估价对象房地状况!C8</f>
        <v>估价对象所在区域基础设施水平-七通</v>
      </c>
      <c r="D21" s="1742">
        <v>100</v>
      </c>
      <c r="E21" s="3731"/>
      <c r="F21" s="1742">
        <f>SUMIF(83:83,E22,84:84)-SUMIF(83:83,C22,84:84)+100</f>
        <v>100</v>
      </c>
      <c r="G21" s="3731"/>
      <c r="H21" s="1735">
        <f>SUMIF(83:83,G22,84:84)-SUMIF(83:83,C22,84:84)+100</f>
        <v>100</v>
      </c>
      <c r="I21" s="3731"/>
      <c r="J21" s="1735">
        <f>SUMIF(83:83,I22,84:84)-SUMIF(83:83,C22,84:84)+100</f>
        <v>100</v>
      </c>
      <c r="K21" s="2471">
        <v>1</v>
      </c>
      <c r="L21" s="3000"/>
      <c r="M21" s="2996"/>
      <c r="N21" s="2996"/>
      <c r="O21" s="2996"/>
      <c r="P21" s="4492"/>
      <c r="Q21" s="2914" t="str">
        <f>B21</f>
        <v>基础设施水平</v>
      </c>
      <c r="R21" s="1725" t="s">
        <v>25</v>
      </c>
      <c r="S21" s="1726">
        <f>F21</f>
        <v>100</v>
      </c>
      <c r="T21" s="1725" t="s">
        <v>25</v>
      </c>
      <c r="U21" s="1726">
        <f>H21</f>
        <v>100</v>
      </c>
      <c r="V21" s="1725" t="s">
        <v>25</v>
      </c>
      <c r="W21" s="1726">
        <f>J21</f>
        <v>100</v>
      </c>
      <c r="X21" s="2074"/>
      <c r="Y21" s="4492"/>
      <c r="Z21" s="2078" t="str">
        <f>Q21</f>
        <v>基础设施水平</v>
      </c>
      <c r="AA21" s="2069">
        <f t="shared" ref="AA21" si="8">D21/F21</f>
        <v>1</v>
      </c>
      <c r="AB21" s="2069">
        <f t="shared" ref="AB21" si="9">D21/H21</f>
        <v>1</v>
      </c>
      <c r="AC21" s="2069">
        <f t="shared" ref="AC21" si="10">D21/J21</f>
        <v>1</v>
      </c>
    </row>
    <row r="22" spans="1:29" ht="15">
      <c r="A22" s="1702"/>
      <c r="B22" s="2495"/>
      <c r="C22" s="1979" t="s">
        <v>2921</v>
      </c>
      <c r="D22" s="1731"/>
      <c r="E22" s="1979" t="s">
        <v>2921</v>
      </c>
      <c r="F22" s="1731"/>
      <c r="G22" s="1979" t="s">
        <v>2921</v>
      </c>
      <c r="H22" s="1731"/>
      <c r="I22" s="1979" t="s">
        <v>2921</v>
      </c>
      <c r="J22" s="1731"/>
      <c r="K22" s="2473"/>
      <c r="L22" s="3000"/>
      <c r="M22" s="2996"/>
      <c r="N22" s="2996"/>
      <c r="O22" s="2996"/>
      <c r="P22" s="4492"/>
      <c r="Q22" s="2914"/>
      <c r="R22" s="1725"/>
      <c r="S22" s="1726"/>
      <c r="T22" s="1725"/>
      <c r="U22" s="1726"/>
      <c r="V22" s="1725"/>
      <c r="W22" s="1726"/>
      <c r="X22" s="2074"/>
      <c r="Y22" s="4492"/>
      <c r="Z22" s="2078"/>
      <c r="AA22" s="2069">
        <v>1</v>
      </c>
      <c r="AB22" s="2069">
        <v>1</v>
      </c>
      <c r="AC22" s="2069">
        <v>1</v>
      </c>
    </row>
    <row r="23" spans="1:29" ht="44.25" customHeight="1">
      <c r="A23" s="1702"/>
      <c r="B23" s="2493" t="s">
        <v>2386</v>
      </c>
      <c r="C23" s="1980" t="str">
        <f>估价对象房地状况!C9</f>
        <v>区域自然环境：上地公园、快乐成长家庭人口文化园等；人文环境；周边人文设施较少；
综合评价环境状况一般。</v>
      </c>
      <c r="D23" s="1735">
        <v>100</v>
      </c>
      <c r="E23" s="3729"/>
      <c r="F23" s="1735">
        <f>SUMIF(85:85,E24,86:86)-SUMIF(85:85,C24,86:86)+100</f>
        <v>100</v>
      </c>
      <c r="G23" s="3729"/>
      <c r="H23" s="1735">
        <f>SUMIF(85:85,G24,86:86)-SUMIF(85:85,C24,86:86)+100</f>
        <v>100</v>
      </c>
      <c r="I23" s="3729"/>
      <c r="J23" s="1735">
        <f>SUMIF(85:85,I24,86:86)-SUMIF(85:85,C24,86:86)+100</f>
        <v>100</v>
      </c>
      <c r="K23" s="2471">
        <v>2</v>
      </c>
      <c r="L23" s="3000"/>
      <c r="M23" s="2996"/>
      <c r="N23" s="2996"/>
      <c r="O23" s="2996"/>
      <c r="P23" s="4492"/>
      <c r="Q23" s="2914" t="str">
        <f>B23</f>
        <v>环境质量</v>
      </c>
      <c r="R23" s="1725" t="s">
        <v>25</v>
      </c>
      <c r="S23" s="1726">
        <f>F23</f>
        <v>100</v>
      </c>
      <c r="T23" s="1725" t="s">
        <v>25</v>
      </c>
      <c r="U23" s="1726">
        <f>H23</f>
        <v>100</v>
      </c>
      <c r="V23" s="1725" t="s">
        <v>25</v>
      </c>
      <c r="W23" s="1726">
        <f>J23</f>
        <v>100</v>
      </c>
      <c r="X23" s="2074"/>
      <c r="Y23" s="4492"/>
      <c r="Z23" s="2078" t="str">
        <f>Q23</f>
        <v>环境质量</v>
      </c>
      <c r="AA23" s="2069">
        <f t="shared" si="3"/>
        <v>1</v>
      </c>
      <c r="AB23" s="2069">
        <f t="shared" si="4"/>
        <v>1</v>
      </c>
      <c r="AC23" s="2069">
        <f t="shared" si="5"/>
        <v>1</v>
      </c>
    </row>
    <row r="24" spans="1:29" ht="15">
      <c r="A24" s="1702"/>
      <c r="B24" s="2495"/>
      <c r="C24" s="1975" t="s">
        <v>31</v>
      </c>
      <c r="D24" s="1731"/>
      <c r="E24" s="1975" t="s">
        <v>31</v>
      </c>
      <c r="F24" s="1731"/>
      <c r="G24" s="1975" t="s">
        <v>31</v>
      </c>
      <c r="H24" s="1731"/>
      <c r="I24" s="1975" t="s">
        <v>31</v>
      </c>
      <c r="J24" s="1731"/>
      <c r="K24" s="2472"/>
      <c r="L24" s="3000"/>
      <c r="M24" s="2996"/>
      <c r="N24" s="2996"/>
      <c r="O24" s="2996"/>
      <c r="P24" s="4492"/>
      <c r="Q24" s="2914"/>
      <c r="R24" s="1725"/>
      <c r="S24" s="1726"/>
      <c r="T24" s="1725"/>
      <c r="U24" s="1726"/>
      <c r="V24" s="1725"/>
      <c r="W24" s="1726"/>
      <c r="X24" s="2074"/>
      <c r="Y24" s="4492"/>
      <c r="Z24" s="2078"/>
      <c r="AA24" s="2069">
        <v>1</v>
      </c>
      <c r="AB24" s="2069">
        <v>1</v>
      </c>
      <c r="AC24" s="2069">
        <v>1</v>
      </c>
    </row>
    <row r="25" spans="1:29" ht="27">
      <c r="A25" s="1667"/>
      <c r="B25" s="2493" t="s">
        <v>2387</v>
      </c>
      <c r="C25" s="3732" t="s">
        <v>4988</v>
      </c>
      <c r="D25" s="1711">
        <v>100</v>
      </c>
      <c r="E25" s="3727" t="s">
        <v>4984</v>
      </c>
      <c r="F25" s="1711">
        <f>SUMIF(87:87,E26,88:88)-SUMIF(87:87,C26,88:88)+100</f>
        <v>96</v>
      </c>
      <c r="G25" s="3732" t="str">
        <f>E25</f>
        <v>城市支路-上地六街</v>
      </c>
      <c r="H25" s="1711">
        <f>SUMIF(87:87,G26,88:88)-SUMIF(87:87,C26,88:88)+100</f>
        <v>96</v>
      </c>
      <c r="I25" s="3732" t="str">
        <f>E25</f>
        <v>城市支路-上地六街</v>
      </c>
      <c r="J25" s="1711">
        <f>SUMIF(87:87,I26,88:88)-SUMIF(87:87,C26,88:88)+100</f>
        <v>96</v>
      </c>
      <c r="K25" s="2471">
        <v>2</v>
      </c>
      <c r="L25" s="3000"/>
      <c r="M25" s="2996"/>
      <c r="N25" s="2996"/>
      <c r="O25" s="2996"/>
      <c r="P25" s="4492"/>
      <c r="Q25" s="2914" t="str">
        <f>B25</f>
        <v>毗邻道路的类型与等级</v>
      </c>
      <c r="R25" s="1725" t="s">
        <v>25</v>
      </c>
      <c r="S25" s="1726">
        <f>F25</f>
        <v>96</v>
      </c>
      <c r="T25" s="1725" t="s">
        <v>25</v>
      </c>
      <c r="U25" s="1726">
        <f>H25</f>
        <v>96</v>
      </c>
      <c r="V25" s="1725" t="s">
        <v>25</v>
      </c>
      <c r="W25" s="1726">
        <f>J25</f>
        <v>96</v>
      </c>
      <c r="X25" s="2074"/>
      <c r="Y25" s="4492"/>
      <c r="Z25" s="2078" t="str">
        <f>Q25</f>
        <v>毗邻道路的类型与等级</v>
      </c>
      <c r="AA25" s="2069">
        <f t="shared" si="3"/>
        <v>1.0416666666666667</v>
      </c>
      <c r="AB25" s="2069">
        <f t="shared" si="4"/>
        <v>1.0416666666666667</v>
      </c>
      <c r="AC25" s="2069">
        <f t="shared" si="5"/>
        <v>1.0416666666666667</v>
      </c>
    </row>
    <row r="26" spans="1:29" ht="15">
      <c r="A26" s="1667"/>
      <c r="B26" s="2494"/>
      <c r="C26" s="1983" t="s">
        <v>4987</v>
      </c>
      <c r="D26" s="1711"/>
      <c r="E26" s="1991" t="s">
        <v>4985</v>
      </c>
      <c r="F26" s="1711"/>
      <c r="G26" s="1983" t="s">
        <v>4985</v>
      </c>
      <c r="H26" s="1711"/>
      <c r="I26" s="1991" t="s">
        <v>4985</v>
      </c>
      <c r="J26" s="1711"/>
      <c r="K26" s="2472"/>
      <c r="L26" s="3000"/>
      <c r="M26" s="2996"/>
      <c r="N26" s="2996"/>
      <c r="O26" s="2996"/>
      <c r="P26" s="4492"/>
      <c r="Q26" s="2914"/>
      <c r="R26" s="1725"/>
      <c r="S26" s="1726"/>
      <c r="T26" s="1725"/>
      <c r="U26" s="1726"/>
      <c r="V26" s="1725"/>
      <c r="W26" s="1726"/>
      <c r="X26" s="2074"/>
      <c r="Y26" s="4492"/>
      <c r="Z26" s="2078"/>
      <c r="AA26" s="2069">
        <v>1</v>
      </c>
      <c r="AB26" s="2069">
        <v>1</v>
      </c>
      <c r="AC26" s="2069">
        <v>1</v>
      </c>
    </row>
    <row r="27" spans="1:29" ht="15.75" thickBot="1">
      <c r="A27" s="1702"/>
      <c r="B27" s="2494" t="s">
        <v>2360</v>
      </c>
      <c r="C27" s="1983" t="s">
        <v>4593</v>
      </c>
      <c r="D27" s="1711">
        <v>100</v>
      </c>
      <c r="E27" s="1983" t="s">
        <v>4593</v>
      </c>
      <c r="F27" s="1711">
        <f>SUMIF(89:89,E27,90:90)-SUMIF(89:89,C27,90:90)+100</f>
        <v>100</v>
      </c>
      <c r="G27" s="1983" t="s">
        <v>4593</v>
      </c>
      <c r="H27" s="1711">
        <f>SUMIF(89:89,G27,90:90)-SUMIF(89:89,C27,90:90)+100</f>
        <v>100</v>
      </c>
      <c r="I27" s="1983" t="s">
        <v>4593</v>
      </c>
      <c r="J27" s="1711">
        <f>SUMIF(89:89,I27,90:90)-SUMIF(89:89,C27,90:90)+100</f>
        <v>100</v>
      </c>
      <c r="K27" s="1992">
        <v>2</v>
      </c>
      <c r="L27" s="3000"/>
      <c r="M27" s="2996"/>
      <c r="N27" s="2996"/>
      <c r="O27" s="2996"/>
      <c r="P27" s="4492"/>
      <c r="Q27" s="2914" t="str">
        <f t="shared" ref="Q27:Q45" si="11">B27</f>
        <v>楼层</v>
      </c>
      <c r="R27" s="1725" t="s">
        <v>25</v>
      </c>
      <c r="S27" s="1726">
        <f>F27</f>
        <v>100</v>
      </c>
      <c r="T27" s="1725" t="s">
        <v>25</v>
      </c>
      <c r="U27" s="1726">
        <f>H27</f>
        <v>100</v>
      </c>
      <c r="V27" s="1725" t="s">
        <v>25</v>
      </c>
      <c r="W27" s="1726">
        <f>J27</f>
        <v>100</v>
      </c>
      <c r="X27" s="2074"/>
      <c r="Y27" s="4492"/>
      <c r="Z27" s="2078" t="str">
        <f>Q27</f>
        <v>楼层</v>
      </c>
      <c r="AA27" s="2069">
        <f t="shared" si="3"/>
        <v>1</v>
      </c>
      <c r="AB27" s="2069">
        <f t="shared" si="4"/>
        <v>1</v>
      </c>
      <c r="AC27" s="2069">
        <f t="shared" si="5"/>
        <v>1</v>
      </c>
    </row>
    <row r="28" spans="1:29" s="1684" customFormat="1" ht="15" hidden="1">
      <c r="A28" s="1705"/>
      <c r="B28" s="2493" t="s">
        <v>2388</v>
      </c>
      <c r="C28" s="2497"/>
      <c r="D28" s="1756">
        <v>100</v>
      </c>
      <c r="E28" s="2475"/>
      <c r="F28" s="1756">
        <f>SUMIF(91:91,E28,92:92)-SUMIF(91:91,C28,92:92)+100</f>
        <v>100</v>
      </c>
      <c r="G28" s="2497"/>
      <c r="H28" s="1756">
        <f>SUMIF(91:91,G28,92:92)-SUMIF(91:91,C28,92:92)+100</f>
        <v>100</v>
      </c>
      <c r="I28" s="2475"/>
      <c r="J28" s="1756">
        <f>SUMIF(91:91,I28,92:92)-SUMIF(91:91,C28,92:92)+100</f>
        <v>100</v>
      </c>
      <c r="K28" s="1992">
        <v>2</v>
      </c>
      <c r="L28" s="2995"/>
      <c r="M28" s="2968"/>
      <c r="N28" s="2968"/>
      <c r="O28" s="2968"/>
      <c r="P28" s="4492"/>
      <c r="Q28" s="2913" t="str">
        <f t="shared" si="11"/>
        <v>朝向</v>
      </c>
      <c r="R28" s="1680" t="s">
        <v>25</v>
      </c>
      <c r="S28" s="1681">
        <f>F28</f>
        <v>100</v>
      </c>
      <c r="T28" s="1680" t="s">
        <v>25</v>
      </c>
      <c r="U28" s="1681">
        <f>H28</f>
        <v>100</v>
      </c>
      <c r="V28" s="1680" t="s">
        <v>25</v>
      </c>
      <c r="W28" s="1681">
        <f>J28</f>
        <v>100</v>
      </c>
      <c r="X28" s="1682"/>
      <c r="Y28" s="4492"/>
      <c r="Z28" s="1693" t="str">
        <f>Q28</f>
        <v>朝向</v>
      </c>
      <c r="AA28" s="2069">
        <f>D28/F28</f>
        <v>1</v>
      </c>
      <c r="AB28" s="2069">
        <f>D28/H28</f>
        <v>1</v>
      </c>
      <c r="AC28" s="2069">
        <f>D28/J28</f>
        <v>1</v>
      </c>
    </row>
    <row r="29" spans="1:29" ht="15" hidden="1">
      <c r="A29" s="1702"/>
      <c r="C29" s="2496"/>
      <c r="D29" s="1711">
        <v>100</v>
      </c>
      <c r="E29" s="1707"/>
      <c r="F29" s="1711">
        <f>SUMIF(93:93,E29,94:94)-SUMIF(93:93,C29,94:94)+100</f>
        <v>100</v>
      </c>
      <c r="G29" s="2489"/>
      <c r="H29" s="1711">
        <f>SUMIF(93:93,G29,94:94)-SUMIF(93:93,C29,94:94)+100</f>
        <v>100</v>
      </c>
      <c r="I29" s="1707"/>
      <c r="J29" s="1711">
        <f>SUMIF(93:93,I29,94:94)-SUMIF(93:93,C29,94:94)+100</f>
        <v>100</v>
      </c>
      <c r="K29" s="1989"/>
      <c r="L29" s="3000"/>
      <c r="M29" s="2996"/>
      <c r="N29" s="2996"/>
      <c r="O29" s="2996"/>
      <c r="P29" s="4492"/>
      <c r="Q29" s="2914">
        <f>B47</f>
        <v>0</v>
      </c>
      <c r="R29" s="1725" t="s">
        <v>25</v>
      </c>
      <c r="S29" s="1726">
        <f t="shared" ref="S29:S47" si="12">F29</f>
        <v>100</v>
      </c>
      <c r="T29" s="1725" t="s">
        <v>25</v>
      </c>
      <c r="U29" s="1726">
        <f t="shared" ref="U29:U47" si="13">H29</f>
        <v>100</v>
      </c>
      <c r="V29" s="1725" t="s">
        <v>25</v>
      </c>
      <c r="W29" s="1726">
        <f t="shared" ref="W29:W47" si="14">J29</f>
        <v>100</v>
      </c>
      <c r="X29" s="2074"/>
      <c r="Y29" s="4492"/>
      <c r="Z29" s="2078">
        <f t="shared" ref="Z29:Z47" si="15">Q29</f>
        <v>0</v>
      </c>
      <c r="AA29" s="2069">
        <f t="shared" si="3"/>
        <v>1</v>
      </c>
      <c r="AB29" s="2069">
        <f t="shared" si="4"/>
        <v>1</v>
      </c>
      <c r="AC29" s="2069">
        <f t="shared" si="5"/>
        <v>1</v>
      </c>
    </row>
    <row r="30" spans="1:29" ht="15" hidden="1">
      <c r="A30" s="1702"/>
      <c r="B30" s="2498">
        <v>111</v>
      </c>
      <c r="C30" s="2496"/>
      <c r="D30" s="1711">
        <v>100</v>
      </c>
      <c r="E30" s="1707"/>
      <c r="F30" s="1711">
        <f>SUMIF(95:95,E30,96:96)-SUMIF(95:95,C30,96:96)+100</f>
        <v>100</v>
      </c>
      <c r="G30" s="2489"/>
      <c r="H30" s="1711">
        <f>SUMIF(95:95,G30,96:96)-SUMIF(95:95,C30,96:96)+100</f>
        <v>100</v>
      </c>
      <c r="I30" s="1707"/>
      <c r="J30" s="1711">
        <f>SUMIF(95:95,I30,96:96)-SUMIF(95:95,C30,96:96)+100</f>
        <v>100</v>
      </c>
      <c r="K30" s="1989"/>
      <c r="L30" s="3000"/>
      <c r="M30" s="2996"/>
      <c r="N30" s="2996"/>
      <c r="O30" s="2996"/>
      <c r="P30" s="4492"/>
      <c r="Q30" s="2914">
        <f t="shared" si="11"/>
        <v>111</v>
      </c>
      <c r="R30" s="1725" t="s">
        <v>25</v>
      </c>
      <c r="S30" s="1726">
        <f t="shared" si="12"/>
        <v>100</v>
      </c>
      <c r="T30" s="1725" t="s">
        <v>25</v>
      </c>
      <c r="U30" s="1726">
        <f t="shared" si="13"/>
        <v>100</v>
      </c>
      <c r="V30" s="1725" t="s">
        <v>25</v>
      </c>
      <c r="W30" s="1726">
        <f t="shared" si="14"/>
        <v>100</v>
      </c>
      <c r="X30" s="2074"/>
      <c r="Y30" s="4492"/>
      <c r="Z30" s="2078">
        <f t="shared" si="15"/>
        <v>111</v>
      </c>
      <c r="AA30" s="2069">
        <f t="shared" si="3"/>
        <v>1</v>
      </c>
      <c r="AB30" s="2069">
        <f t="shared" si="4"/>
        <v>1</v>
      </c>
      <c r="AC30" s="2069">
        <f t="shared" si="5"/>
        <v>1</v>
      </c>
    </row>
    <row r="31" spans="1:29" ht="15" hidden="1">
      <c r="A31" s="1702"/>
      <c r="B31" s="2498">
        <v>111</v>
      </c>
      <c r="C31" s="2496"/>
      <c r="D31" s="1711">
        <v>100</v>
      </c>
      <c r="E31" s="1707"/>
      <c r="F31" s="1711">
        <f>SUMIF(97:97,E31,98:98)-SUMIF(97:97,C31,98:98)+100</f>
        <v>100</v>
      </c>
      <c r="G31" s="2489"/>
      <c r="H31" s="1711">
        <f>SUMIF(97:97,G31,98:98)-SUMIF(97:97,C31,98:98)+100</f>
        <v>100</v>
      </c>
      <c r="I31" s="1707"/>
      <c r="J31" s="1711">
        <f>SUMIF(97:97,I31,98:98)-SUMIF(97:97,C31,98:98)+100</f>
        <v>100</v>
      </c>
      <c r="K31" s="1989"/>
      <c r="L31" s="3000"/>
      <c r="M31" s="2996"/>
      <c r="N31" s="2996"/>
      <c r="O31" s="2996"/>
      <c r="P31" s="4492"/>
      <c r="Q31" s="2914">
        <f t="shared" si="11"/>
        <v>111</v>
      </c>
      <c r="R31" s="1725" t="s">
        <v>25</v>
      </c>
      <c r="S31" s="1726">
        <f t="shared" si="12"/>
        <v>100</v>
      </c>
      <c r="T31" s="1725" t="s">
        <v>25</v>
      </c>
      <c r="U31" s="1726">
        <f t="shared" si="13"/>
        <v>100</v>
      </c>
      <c r="V31" s="1725" t="s">
        <v>25</v>
      </c>
      <c r="W31" s="1726">
        <f t="shared" si="14"/>
        <v>100</v>
      </c>
      <c r="X31" s="2074"/>
      <c r="Y31" s="4492"/>
      <c r="Z31" s="2078">
        <f t="shared" si="15"/>
        <v>111</v>
      </c>
      <c r="AA31" s="2069">
        <f t="shared" si="3"/>
        <v>1</v>
      </c>
      <c r="AB31" s="2069">
        <f t="shared" si="4"/>
        <v>1</v>
      </c>
      <c r="AC31" s="2069">
        <f t="shared" si="5"/>
        <v>1</v>
      </c>
    </row>
    <row r="32" spans="1:29" ht="15.75" hidden="1" thickBot="1">
      <c r="A32" s="1712"/>
      <c r="B32" s="2499">
        <v>111</v>
      </c>
      <c r="C32" s="2500"/>
      <c r="D32" s="1715">
        <v>100</v>
      </c>
      <c r="E32" s="2490"/>
      <c r="F32" s="1715">
        <f>SUMIF(99:99,E32,100:100)-SUMIF(99:99,C32,100:100)+100</f>
        <v>100</v>
      </c>
      <c r="G32" s="2489"/>
      <c r="H32" s="1715">
        <f>SUMIF(99:99,G32,100:100)-SUMIF(99:99,C32,100:100)+100</f>
        <v>100</v>
      </c>
      <c r="I32" s="1707"/>
      <c r="J32" s="1715">
        <f>SUMIF(99:99,I32,100:100)-SUMIF(99:99,C32,100:100)+100</f>
        <v>100</v>
      </c>
      <c r="K32" s="1989"/>
      <c r="L32" s="3000"/>
      <c r="M32" s="2996"/>
      <c r="N32" s="2996"/>
      <c r="O32" s="2996"/>
      <c r="P32" s="4492"/>
      <c r="Q32" s="2914">
        <f t="shared" si="11"/>
        <v>111</v>
      </c>
      <c r="R32" s="1725" t="s">
        <v>25</v>
      </c>
      <c r="S32" s="1726">
        <f t="shared" si="12"/>
        <v>100</v>
      </c>
      <c r="T32" s="1725" t="s">
        <v>25</v>
      </c>
      <c r="U32" s="1726">
        <f t="shared" si="13"/>
        <v>100</v>
      </c>
      <c r="V32" s="1725" t="s">
        <v>25</v>
      </c>
      <c r="W32" s="1726">
        <f t="shared" si="14"/>
        <v>100</v>
      </c>
      <c r="X32" s="2074"/>
      <c r="Y32" s="4492"/>
      <c r="Z32" s="2078">
        <f t="shared" si="15"/>
        <v>111</v>
      </c>
      <c r="AA32" s="2069">
        <f t="shared" si="3"/>
        <v>1</v>
      </c>
      <c r="AB32" s="2069">
        <f t="shared" si="4"/>
        <v>1</v>
      </c>
      <c r="AC32" s="2069">
        <f t="shared" si="5"/>
        <v>1</v>
      </c>
    </row>
    <row r="33" spans="1:29" ht="15">
      <c r="A33" s="1717" t="s">
        <v>2273</v>
      </c>
      <c r="B33" s="1687" t="s">
        <v>2389</v>
      </c>
      <c r="C33" s="2501"/>
      <c r="D33" s="1762">
        <v>100</v>
      </c>
      <c r="E33" s="2501"/>
      <c r="F33" s="1754">
        <f>SUMIF(101:101,E33,102:102)-SUMIF(101:101,C33,102:102)+100</f>
        <v>100</v>
      </c>
      <c r="G33" s="2501"/>
      <c r="H33" s="1711">
        <f>SUMIF(101:101,G33,102:102)-SUMIF(101:101,C33,102:102)+100</f>
        <v>100</v>
      </c>
      <c r="I33" s="2501"/>
      <c r="J33" s="1762">
        <f>SUMIF(101:101,I33,102:102)-SUMIF(101:101,C33,102:102)+100</f>
        <v>100</v>
      </c>
      <c r="K33" s="1992">
        <v>1</v>
      </c>
      <c r="L33" s="3000"/>
      <c r="M33" s="2996"/>
      <c r="N33" s="2996"/>
      <c r="O33" s="2996"/>
      <c r="P33" s="4576" t="s">
        <v>2275</v>
      </c>
      <c r="Q33" s="2914" t="str">
        <f t="shared" si="11"/>
        <v>建筑类型</v>
      </c>
      <c r="R33" s="1725" t="s">
        <v>25</v>
      </c>
      <c r="S33" s="1726">
        <f t="shared" si="12"/>
        <v>100</v>
      </c>
      <c r="T33" s="1725" t="s">
        <v>25</v>
      </c>
      <c r="U33" s="1726">
        <f t="shared" si="13"/>
        <v>100</v>
      </c>
      <c r="V33" s="1725" t="s">
        <v>25</v>
      </c>
      <c r="W33" s="1726">
        <f t="shared" si="14"/>
        <v>100</v>
      </c>
      <c r="X33" s="2074"/>
      <c r="Y33" s="4496" t="s">
        <v>2275</v>
      </c>
      <c r="Z33" s="2078" t="str">
        <f t="shared" si="15"/>
        <v>建筑类型</v>
      </c>
      <c r="AA33" s="2069">
        <f t="shared" si="3"/>
        <v>1</v>
      </c>
      <c r="AB33" s="2069">
        <f t="shared" si="4"/>
        <v>1</v>
      </c>
      <c r="AC33" s="2069">
        <f t="shared" si="5"/>
        <v>1</v>
      </c>
    </row>
    <row r="34" spans="1:29" s="1771" customFormat="1" ht="15">
      <c r="A34" s="1764"/>
      <c r="B34" s="1695" t="s">
        <v>2276</v>
      </c>
      <c r="C34" s="1765">
        <f>面积表!E4+面积表!E5</f>
        <v>1394.67</v>
      </c>
      <c r="D34" s="1697">
        <v>100</v>
      </c>
      <c r="E34" s="1704">
        <f>'2016租金台账'!E38</f>
        <v>1195.33</v>
      </c>
      <c r="F34" s="1699">
        <f>LOOKUP(E34,104:104,105:105)-LOOKUP(C34,104:104,105:105)+100</f>
        <v>100</v>
      </c>
      <c r="G34" s="1703">
        <v>839.02</v>
      </c>
      <c r="H34" s="1697">
        <f>LOOKUP(G34,104:104,105:105)-LOOKUP(C34,104:104,105:105)+100</f>
        <v>101</v>
      </c>
      <c r="I34" s="1703">
        <f>合同租金汇总!D29</f>
        <v>425.96</v>
      </c>
      <c r="J34" s="1697">
        <f>LOOKUP(I34,104:104,105:105)-LOOKUP(C34,104:104,105:105)+100</f>
        <v>102</v>
      </c>
      <c r="K34" s="1989"/>
      <c r="L34" s="2999"/>
      <c r="M34" s="2059"/>
      <c r="N34" s="2059"/>
      <c r="O34" s="2059"/>
      <c r="P34" s="4496"/>
      <c r="Q34" s="1766" t="str">
        <f t="shared" si="11"/>
        <v>项目建筑规模</v>
      </c>
      <c r="R34" s="1767" t="s">
        <v>25</v>
      </c>
      <c r="S34" s="1768">
        <f t="shared" si="12"/>
        <v>100</v>
      </c>
      <c r="T34" s="1767" t="s">
        <v>25</v>
      </c>
      <c r="U34" s="1768">
        <f t="shared" si="13"/>
        <v>101</v>
      </c>
      <c r="V34" s="1767" t="s">
        <v>25</v>
      </c>
      <c r="W34" s="1768">
        <f t="shared" si="14"/>
        <v>102</v>
      </c>
      <c r="X34" s="1769"/>
      <c r="Y34" s="4496"/>
      <c r="Z34" s="1770" t="str">
        <f t="shared" si="15"/>
        <v>项目建筑规模</v>
      </c>
      <c r="AA34" s="2069">
        <f t="shared" si="3"/>
        <v>1</v>
      </c>
      <c r="AB34" s="2069">
        <f t="shared" si="4"/>
        <v>0.99009900990099009</v>
      </c>
      <c r="AC34" s="2069">
        <f t="shared" si="5"/>
        <v>0.98039215686274506</v>
      </c>
    </row>
    <row r="35" spans="1:29" ht="15">
      <c r="A35" s="1772"/>
      <c r="B35" s="1695" t="s">
        <v>2277</v>
      </c>
      <c r="C35" s="1752" t="s">
        <v>2892</v>
      </c>
      <c r="D35" s="1711">
        <v>100</v>
      </c>
      <c r="E35" s="1752" t="s">
        <v>2892</v>
      </c>
      <c r="F35" s="1754">
        <f>SUMIF(106:106,E35,107:107)-SUMIF(106:106,C35,107:107)+100</f>
        <v>100</v>
      </c>
      <c r="G35" s="1752" t="s">
        <v>2892</v>
      </c>
      <c r="H35" s="1711">
        <f>SUMIF(106:106,G35,107:107)-SUMIF(106:106,C35,107:107)+100</f>
        <v>100</v>
      </c>
      <c r="I35" s="1752" t="s">
        <v>2892</v>
      </c>
      <c r="J35" s="1711">
        <f>SUMIF(106:106,I35,107:107)-SUMIF(106:106,C35,107:107)+100</f>
        <v>100</v>
      </c>
      <c r="K35" s="1992">
        <v>1</v>
      </c>
      <c r="L35" s="3000"/>
      <c r="M35" s="2996"/>
      <c r="N35" s="2996"/>
      <c r="O35" s="2996"/>
      <c r="P35" s="4496"/>
      <c r="Q35" s="2914" t="str">
        <f t="shared" si="11"/>
        <v>建筑结构</v>
      </c>
      <c r="R35" s="1725" t="s">
        <v>25</v>
      </c>
      <c r="S35" s="1726">
        <f t="shared" si="12"/>
        <v>100</v>
      </c>
      <c r="T35" s="1725" t="s">
        <v>25</v>
      </c>
      <c r="U35" s="1726">
        <f t="shared" si="13"/>
        <v>100</v>
      </c>
      <c r="V35" s="1725" t="s">
        <v>25</v>
      </c>
      <c r="W35" s="1726">
        <f t="shared" si="14"/>
        <v>100</v>
      </c>
      <c r="X35" s="2074"/>
      <c r="Y35" s="4496"/>
      <c r="Z35" s="2078" t="str">
        <f t="shared" si="15"/>
        <v>建筑结构</v>
      </c>
      <c r="AA35" s="2069">
        <f t="shared" si="3"/>
        <v>1</v>
      </c>
      <c r="AB35" s="2069">
        <f t="shared" si="4"/>
        <v>1</v>
      </c>
      <c r="AC35" s="2069">
        <f t="shared" si="5"/>
        <v>1</v>
      </c>
    </row>
    <row r="36" spans="1:29" ht="15">
      <c r="A36" s="1772"/>
      <c r="B36" s="1695" t="s">
        <v>2362</v>
      </c>
      <c r="C36" s="1752" t="s">
        <v>2896</v>
      </c>
      <c r="D36" s="1711">
        <v>100</v>
      </c>
      <c r="E36" s="1752" t="s">
        <v>2896</v>
      </c>
      <c r="F36" s="1754">
        <f>SUMIF(108:108,E36,109:109)-SUMIF(108:108,C36,109:109)+100</f>
        <v>100</v>
      </c>
      <c r="G36" s="1752" t="s">
        <v>2896</v>
      </c>
      <c r="H36" s="1711">
        <f>SUMIF(108:108,G36,109:109)-SUMIF(108:108,C36,109:109)+100</f>
        <v>100</v>
      </c>
      <c r="I36" s="1752" t="s">
        <v>2896</v>
      </c>
      <c r="J36" s="1711">
        <f>SUMIF(108:108,I36,109:109)-SUMIF(108:108,C36,109:109)+100</f>
        <v>100</v>
      </c>
      <c r="K36" s="1992">
        <v>2</v>
      </c>
      <c r="L36" s="3000"/>
      <c r="M36" s="2996"/>
      <c r="N36" s="2996"/>
      <c r="O36" s="2996"/>
      <c r="P36" s="4496"/>
      <c r="Q36" s="2914" t="str">
        <f t="shared" si="11"/>
        <v>公共部分装修</v>
      </c>
      <c r="R36" s="1725" t="s">
        <v>25</v>
      </c>
      <c r="S36" s="1726">
        <f t="shared" si="12"/>
        <v>100</v>
      </c>
      <c r="T36" s="1725" t="s">
        <v>25</v>
      </c>
      <c r="U36" s="1726">
        <f t="shared" si="13"/>
        <v>100</v>
      </c>
      <c r="V36" s="1725" t="s">
        <v>25</v>
      </c>
      <c r="W36" s="1726">
        <f t="shared" si="14"/>
        <v>100</v>
      </c>
      <c r="X36" s="2074"/>
      <c r="Y36" s="4496"/>
      <c r="Z36" s="2078" t="str">
        <f t="shared" si="15"/>
        <v>公共部分装修</v>
      </c>
      <c r="AA36" s="2069">
        <f t="shared" si="3"/>
        <v>1</v>
      </c>
      <c r="AB36" s="2069">
        <f t="shared" si="4"/>
        <v>1</v>
      </c>
      <c r="AC36" s="2069">
        <f t="shared" si="5"/>
        <v>1</v>
      </c>
    </row>
    <row r="37" spans="1:29" ht="15">
      <c r="A37" s="1772"/>
      <c r="B37" s="1695" t="s">
        <v>2363</v>
      </c>
      <c r="C37" s="1776">
        <v>0.72</v>
      </c>
      <c r="D37" s="1711">
        <v>100</v>
      </c>
      <c r="E37" s="1776">
        <f>C37</f>
        <v>0.72</v>
      </c>
      <c r="F37" s="1754">
        <f>LOOKUP(E37,111:111,112:112)-LOOKUP(C37,111:111,112:112)+100</f>
        <v>100</v>
      </c>
      <c r="G37" s="1776">
        <f>C37</f>
        <v>0.72</v>
      </c>
      <c r="H37" s="1754">
        <f>LOOKUP(G37,111:111,112:112)-LOOKUP(C37,111:111,112:112)+100</f>
        <v>100</v>
      </c>
      <c r="I37" s="1776">
        <f>C37</f>
        <v>0.72</v>
      </c>
      <c r="J37" s="1711">
        <f>LOOKUP(I37,111:111,112:112)-LOOKUP(C37,111:111,112:112)+100</f>
        <v>100</v>
      </c>
      <c r="K37" s="1992">
        <v>1</v>
      </c>
      <c r="L37" s="3000"/>
      <c r="M37" s="2996"/>
      <c r="N37" s="2996"/>
      <c r="O37" s="2996"/>
      <c r="P37" s="4496"/>
      <c r="Q37" s="2914" t="str">
        <f t="shared" si="11"/>
        <v>成新度</v>
      </c>
      <c r="R37" s="1725" t="s">
        <v>25</v>
      </c>
      <c r="S37" s="1726">
        <f t="shared" si="12"/>
        <v>100</v>
      </c>
      <c r="T37" s="1725" t="s">
        <v>25</v>
      </c>
      <c r="U37" s="1726">
        <f t="shared" si="13"/>
        <v>100</v>
      </c>
      <c r="V37" s="1725" t="s">
        <v>25</v>
      </c>
      <c r="W37" s="1726">
        <f t="shared" si="14"/>
        <v>100</v>
      </c>
      <c r="X37" s="2074"/>
      <c r="Y37" s="4496"/>
      <c r="Z37" s="2078" t="str">
        <f t="shared" si="15"/>
        <v>成新度</v>
      </c>
      <c r="AA37" s="2069">
        <f t="shared" si="3"/>
        <v>1</v>
      </c>
      <c r="AB37" s="2069">
        <f t="shared" si="4"/>
        <v>1</v>
      </c>
      <c r="AC37" s="2069">
        <f t="shared" si="5"/>
        <v>1</v>
      </c>
    </row>
    <row r="38" spans="1:29" s="1684" customFormat="1" ht="15">
      <c r="A38" s="1775"/>
      <c r="B38" s="1695" t="s">
        <v>2390</v>
      </c>
      <c r="C38" s="1752" t="s">
        <v>5033</v>
      </c>
      <c r="D38" s="1697">
        <v>100</v>
      </c>
      <c r="E38" s="1752" t="s">
        <v>5033</v>
      </c>
      <c r="F38" s="1754">
        <f>SUMIF(113:113,E38,114:114)-SUMIF(113:113,C38,114:114)+100</f>
        <v>100</v>
      </c>
      <c r="G38" s="1752" t="s">
        <v>5033</v>
      </c>
      <c r="H38" s="1711">
        <f>SUMIF(113:113,G38,114:114)-SUMIF(113:113,C38,114:114)+100</f>
        <v>100</v>
      </c>
      <c r="I38" s="1752" t="s">
        <v>5033</v>
      </c>
      <c r="J38" s="1711">
        <f>SUMIF(113:113,I38,114:114)-SUMIF(113:113,C38,114:114)+100</f>
        <v>100</v>
      </c>
      <c r="K38" s="1992">
        <v>2</v>
      </c>
      <c r="L38" s="2995"/>
      <c r="M38" s="2968"/>
      <c r="N38" s="2968"/>
      <c r="O38" s="2968"/>
      <c r="P38" s="4496"/>
      <c r="Q38" s="2913" t="str">
        <f t="shared" si="11"/>
        <v>写字楼等级</v>
      </c>
      <c r="R38" s="1680" t="s">
        <v>25</v>
      </c>
      <c r="S38" s="1681">
        <f t="shared" si="12"/>
        <v>100</v>
      </c>
      <c r="T38" s="1680" t="s">
        <v>25</v>
      </c>
      <c r="U38" s="1681">
        <f t="shared" si="13"/>
        <v>100</v>
      </c>
      <c r="V38" s="1680" t="s">
        <v>25</v>
      </c>
      <c r="W38" s="1681">
        <f t="shared" si="14"/>
        <v>100</v>
      </c>
      <c r="X38" s="1682"/>
      <c r="Y38" s="4496"/>
      <c r="Z38" s="1693" t="str">
        <f t="shared" si="15"/>
        <v>写字楼等级</v>
      </c>
      <c r="AA38" s="1683">
        <f t="shared" si="3"/>
        <v>1</v>
      </c>
      <c r="AB38" s="1683">
        <f t="shared" si="4"/>
        <v>1</v>
      </c>
      <c r="AC38" s="1683">
        <f t="shared" si="5"/>
        <v>1</v>
      </c>
    </row>
    <row r="39" spans="1:29" ht="15">
      <c r="A39" s="1772"/>
      <c r="B39" s="1695" t="s">
        <v>2391</v>
      </c>
      <c r="C39" s="1752" t="s">
        <v>3524</v>
      </c>
      <c r="D39" s="1711">
        <v>100</v>
      </c>
      <c r="E39" s="1752" t="s">
        <v>3524</v>
      </c>
      <c r="F39" s="1754">
        <f>SUMIF(115:115,E39,116:116)-SUMIF(115:115,C39,116:116)+100</f>
        <v>100</v>
      </c>
      <c r="G39" s="1752" t="s">
        <v>3524</v>
      </c>
      <c r="H39" s="1711">
        <f>SUMIF(115:115,G39,116:116)-SUMIF(115:115,C39,116:116)+100</f>
        <v>100</v>
      </c>
      <c r="I39" s="1752" t="s">
        <v>3524</v>
      </c>
      <c r="J39" s="1711">
        <f>SUMIF(115:115,I39,116:116)-SUMIF(115:115,C39,116:116)+100</f>
        <v>100</v>
      </c>
      <c r="K39" s="1992"/>
      <c r="L39" s="3000"/>
      <c r="M39" s="2996"/>
      <c r="N39" s="2996"/>
      <c r="O39" s="2996"/>
      <c r="P39" s="4496" t="s">
        <v>2275</v>
      </c>
      <c r="Q39" s="2914" t="str">
        <f t="shared" si="11"/>
        <v>物业管理</v>
      </c>
      <c r="R39" s="1725" t="s">
        <v>25</v>
      </c>
      <c r="S39" s="1726">
        <f t="shared" si="12"/>
        <v>100</v>
      </c>
      <c r="T39" s="1725" t="s">
        <v>25</v>
      </c>
      <c r="U39" s="1726">
        <f t="shared" si="13"/>
        <v>100</v>
      </c>
      <c r="V39" s="1725" t="s">
        <v>25</v>
      </c>
      <c r="W39" s="1726">
        <f t="shared" si="14"/>
        <v>100</v>
      </c>
      <c r="X39" s="2074"/>
      <c r="Y39" s="4496" t="s">
        <v>2275</v>
      </c>
      <c r="Z39" s="2078" t="str">
        <f t="shared" si="15"/>
        <v>物业管理</v>
      </c>
      <c r="AA39" s="2069">
        <f t="shared" si="3"/>
        <v>1</v>
      </c>
      <c r="AB39" s="2069">
        <f t="shared" si="4"/>
        <v>1</v>
      </c>
      <c r="AC39" s="2069">
        <f t="shared" si="5"/>
        <v>1</v>
      </c>
    </row>
    <row r="40" spans="1:29" ht="15">
      <c r="A40" s="1772"/>
      <c r="B40" s="1695" t="s">
        <v>2364</v>
      </c>
      <c r="C40" s="1752" t="s">
        <v>3525</v>
      </c>
      <c r="D40" s="1711">
        <v>100</v>
      </c>
      <c r="E40" s="1752" t="s">
        <v>3525</v>
      </c>
      <c r="F40" s="1754">
        <f>SUMIF(117:117,E40,118:118)-SUMIF(117:117,C40,118:118)+100</f>
        <v>100</v>
      </c>
      <c r="G40" s="1752" t="s">
        <v>3525</v>
      </c>
      <c r="H40" s="1711">
        <f>SUMIF(117:117,G40,118:118)-SUMIF(117:117,C40,118:118)+100</f>
        <v>100</v>
      </c>
      <c r="I40" s="1752" t="s">
        <v>3525</v>
      </c>
      <c r="J40" s="1711">
        <f>SUMIF(117:117,I40,118:118)-SUMIF(117:117,C40,118:118)+100</f>
        <v>100</v>
      </c>
      <c r="K40" s="1992"/>
      <c r="L40" s="3000"/>
      <c r="M40" s="2996"/>
      <c r="N40" s="2996"/>
      <c r="O40" s="2996"/>
      <c r="P40" s="4496"/>
      <c r="Q40" s="2914" t="str">
        <f t="shared" si="11"/>
        <v>市政基础设施</v>
      </c>
      <c r="R40" s="1725" t="s">
        <v>25</v>
      </c>
      <c r="S40" s="1726">
        <f t="shared" si="12"/>
        <v>100</v>
      </c>
      <c r="T40" s="1725" t="s">
        <v>25</v>
      </c>
      <c r="U40" s="1726">
        <f t="shared" si="13"/>
        <v>100</v>
      </c>
      <c r="V40" s="1725" t="s">
        <v>25</v>
      </c>
      <c r="W40" s="1726">
        <f t="shared" si="14"/>
        <v>100</v>
      </c>
      <c r="X40" s="2074"/>
      <c r="Y40" s="4496"/>
      <c r="Z40" s="2078" t="str">
        <f t="shared" si="15"/>
        <v>市政基础设施</v>
      </c>
      <c r="AA40" s="2069">
        <f t="shared" si="3"/>
        <v>1</v>
      </c>
      <c r="AB40" s="2069">
        <f t="shared" si="4"/>
        <v>1</v>
      </c>
      <c r="AC40" s="2069">
        <f t="shared" si="5"/>
        <v>1</v>
      </c>
    </row>
    <row r="41" spans="1:29" ht="15">
      <c r="A41" s="1772"/>
      <c r="B41" s="1695" t="s">
        <v>2366</v>
      </c>
      <c r="C41" s="1991" t="s">
        <v>4243</v>
      </c>
      <c r="D41" s="1711">
        <v>100</v>
      </c>
      <c r="E41" s="1991" t="s">
        <v>4243</v>
      </c>
      <c r="F41" s="1754">
        <f>SUMIF(119:119,E41,120:120)-SUMIF(119:119,C41,120:120)+100</f>
        <v>100</v>
      </c>
      <c r="G41" s="1991" t="s">
        <v>4243</v>
      </c>
      <c r="H41" s="1711">
        <f>SUMIF(119:119,G41,120:120)-SUMIF(119:119,C41,120:120)+100</f>
        <v>100</v>
      </c>
      <c r="I41" s="1991" t="s">
        <v>4243</v>
      </c>
      <c r="J41" s="1711">
        <f>SUMIF(119:119,I41,120:120)-SUMIF(119:119,C41,120:120)+100</f>
        <v>100</v>
      </c>
      <c r="K41" s="1992"/>
      <c r="L41" s="3000"/>
      <c r="M41" s="2996"/>
      <c r="N41" s="2996"/>
      <c r="O41" s="2996"/>
      <c r="P41" s="4496"/>
      <c r="Q41" s="2914" t="str">
        <f t="shared" si="11"/>
        <v>层高</v>
      </c>
      <c r="R41" s="1725" t="s">
        <v>25</v>
      </c>
      <c r="S41" s="1726">
        <f t="shared" si="12"/>
        <v>100</v>
      </c>
      <c r="T41" s="1725" t="s">
        <v>25</v>
      </c>
      <c r="U41" s="1726">
        <f t="shared" si="13"/>
        <v>100</v>
      </c>
      <c r="V41" s="1725" t="s">
        <v>25</v>
      </c>
      <c r="W41" s="1726">
        <f t="shared" si="14"/>
        <v>100</v>
      </c>
      <c r="X41" s="2074"/>
      <c r="Y41" s="4496"/>
      <c r="Z41" s="2078" t="str">
        <f t="shared" si="15"/>
        <v>层高</v>
      </c>
      <c r="AA41" s="2069">
        <f t="shared" si="3"/>
        <v>1</v>
      </c>
      <c r="AB41" s="2069">
        <f t="shared" si="4"/>
        <v>1</v>
      </c>
      <c r="AC41" s="2069">
        <f t="shared" si="5"/>
        <v>1</v>
      </c>
    </row>
    <row r="42" spans="1:29" s="1771" customFormat="1" ht="15" hidden="1">
      <c r="A42" s="1764"/>
      <c r="B42" s="2070" t="s">
        <v>2392</v>
      </c>
      <c r="C42" s="1710"/>
      <c r="D42" s="1711">
        <v>100</v>
      </c>
      <c r="E42" s="1710"/>
      <c r="F42" s="1754">
        <f>SUMIF(121:121,E42,122:122)-SUMIF(121:121,C42,122:122)+100</f>
        <v>100</v>
      </c>
      <c r="G42" s="1710"/>
      <c r="H42" s="1711">
        <f>SUMIF(121:121,G42,122:122)-SUMIF(121:121,C42,122:122)+100</f>
        <v>100</v>
      </c>
      <c r="I42" s="1710"/>
      <c r="J42" s="1711">
        <f>SUMIF(121:121,I42,122:122)-SUMIF(121:121,C42,122:122)+100</f>
        <v>100</v>
      </c>
      <c r="K42" s="1989"/>
      <c r="L42" s="2999"/>
      <c r="M42" s="2059"/>
      <c r="N42" s="2059"/>
      <c r="O42" s="2059"/>
      <c r="P42" s="4496"/>
      <c r="Q42" s="1766" t="str">
        <f t="shared" si="11"/>
        <v>单套建筑面积</v>
      </c>
      <c r="R42" s="1767" t="s">
        <v>25</v>
      </c>
      <c r="S42" s="1768">
        <f t="shared" si="12"/>
        <v>100</v>
      </c>
      <c r="T42" s="1767" t="s">
        <v>25</v>
      </c>
      <c r="U42" s="1768">
        <f t="shared" si="13"/>
        <v>100</v>
      </c>
      <c r="V42" s="1767" t="s">
        <v>25</v>
      </c>
      <c r="W42" s="1768">
        <f t="shared" si="14"/>
        <v>100</v>
      </c>
      <c r="X42" s="1769"/>
      <c r="Y42" s="4496"/>
      <c r="Z42" s="1770" t="str">
        <f t="shared" si="15"/>
        <v>单套建筑面积</v>
      </c>
      <c r="AA42" s="2069">
        <f t="shared" si="3"/>
        <v>1</v>
      </c>
      <c r="AB42" s="2069">
        <f t="shared" si="4"/>
        <v>1</v>
      </c>
      <c r="AC42" s="2069">
        <f t="shared" si="5"/>
        <v>1</v>
      </c>
    </row>
    <row r="43" spans="1:29" ht="15">
      <c r="A43" s="1772"/>
      <c r="B43" s="1695" t="s">
        <v>2369</v>
      </c>
      <c r="C43" s="1752" t="s">
        <v>2896</v>
      </c>
      <c r="D43" s="1711">
        <v>100</v>
      </c>
      <c r="E43" s="1752" t="s">
        <v>2896</v>
      </c>
      <c r="F43" s="1754">
        <f>SUMIF(123:123,E43,124:124)-SUMIF(123:123,C43,124:124)+100</f>
        <v>100</v>
      </c>
      <c r="G43" s="1752" t="s">
        <v>2896</v>
      </c>
      <c r="H43" s="1711">
        <f>SUMIF(123:123,G43,124:124)-SUMIF(123:123,C43,124:124)+100</f>
        <v>100</v>
      </c>
      <c r="I43" s="1752" t="s">
        <v>2896</v>
      </c>
      <c r="J43" s="1711">
        <f>SUMIF(123:123,I43,124:124)-SUMIF(123:123,C43,124:124)+100</f>
        <v>100</v>
      </c>
      <c r="K43" s="1992">
        <v>2</v>
      </c>
      <c r="L43" s="3000"/>
      <c r="M43" s="2996"/>
      <c r="N43" s="2996"/>
      <c r="O43" s="2996"/>
      <c r="P43" s="4496"/>
      <c r="Q43" s="2914" t="str">
        <f t="shared" si="11"/>
        <v>内部装修</v>
      </c>
      <c r="R43" s="1725" t="s">
        <v>25</v>
      </c>
      <c r="S43" s="1726">
        <f t="shared" si="12"/>
        <v>100</v>
      </c>
      <c r="T43" s="1725" t="s">
        <v>25</v>
      </c>
      <c r="U43" s="1726">
        <f t="shared" si="13"/>
        <v>100</v>
      </c>
      <c r="V43" s="1725" t="s">
        <v>25</v>
      </c>
      <c r="W43" s="1726">
        <f t="shared" si="14"/>
        <v>100</v>
      </c>
      <c r="X43" s="2074"/>
      <c r="Y43" s="4496"/>
      <c r="Z43" s="2078" t="str">
        <f t="shared" si="15"/>
        <v>内部装修</v>
      </c>
      <c r="AA43" s="2069">
        <f t="shared" si="3"/>
        <v>1</v>
      </c>
      <c r="AB43" s="2069">
        <f t="shared" si="4"/>
        <v>1</v>
      </c>
      <c r="AC43" s="2069">
        <f t="shared" si="5"/>
        <v>1</v>
      </c>
    </row>
    <row r="44" spans="1:29" ht="15" hidden="1">
      <c r="A44" s="1772"/>
      <c r="B44" s="1695" t="s">
        <v>2286</v>
      </c>
      <c r="C44" s="1752" t="s">
        <v>30</v>
      </c>
      <c r="D44" s="1711">
        <v>100</v>
      </c>
      <c r="E44" s="1752" t="s">
        <v>30</v>
      </c>
      <c r="F44" s="1754">
        <f>SUMIF(125:125,E44,126:126)-SUMIF(125:125,C44,126:126)+100</f>
        <v>100</v>
      </c>
      <c r="G44" s="1752" t="s">
        <v>30</v>
      </c>
      <c r="H44" s="1711">
        <f>SUMIF(125:125,G44,126:126)-SUMIF(125:125,C44,126:126)+100</f>
        <v>100</v>
      </c>
      <c r="I44" s="1752" t="s">
        <v>30</v>
      </c>
      <c r="J44" s="1711">
        <f>SUMIF(125:125,I44,126:126)-SUMIF(125:125,C44,126:126)+100</f>
        <v>100</v>
      </c>
      <c r="K44" s="1992">
        <v>5</v>
      </c>
      <c r="L44" s="3000"/>
      <c r="M44" s="2996"/>
      <c r="N44" s="2996"/>
      <c r="O44" s="2996"/>
      <c r="P44" s="4496"/>
      <c r="Q44" s="2914" t="str">
        <f t="shared" si="11"/>
        <v>内部装修维护情况</v>
      </c>
      <c r="R44" s="1725" t="s">
        <v>25</v>
      </c>
      <c r="S44" s="1726">
        <f t="shared" si="12"/>
        <v>100</v>
      </c>
      <c r="T44" s="1725" t="s">
        <v>25</v>
      </c>
      <c r="U44" s="1726">
        <f t="shared" si="13"/>
        <v>100</v>
      </c>
      <c r="V44" s="1725" t="s">
        <v>25</v>
      </c>
      <c r="W44" s="1726">
        <f t="shared" si="14"/>
        <v>100</v>
      </c>
      <c r="X44" s="2074"/>
      <c r="Y44" s="4496"/>
      <c r="Z44" s="2078" t="str">
        <f t="shared" si="15"/>
        <v>内部装修维护情况</v>
      </c>
      <c r="AA44" s="2069">
        <f t="shared" si="3"/>
        <v>1</v>
      </c>
      <c r="AB44" s="2069">
        <f t="shared" si="4"/>
        <v>1</v>
      </c>
      <c r="AC44" s="2069">
        <f t="shared" si="5"/>
        <v>1</v>
      </c>
    </row>
    <row r="45" spans="1:29" s="1684" customFormat="1" ht="15">
      <c r="A45" s="1775"/>
      <c r="B45" s="4116" t="s">
        <v>4993</v>
      </c>
      <c r="C45" s="4117" t="s">
        <v>4994</v>
      </c>
      <c r="D45" s="1697">
        <v>100</v>
      </c>
      <c r="E45" s="4118" t="s">
        <v>4996</v>
      </c>
      <c r="F45" s="1699">
        <f>SUMIF(127:127,E45,128:128)-SUMIF(127:127,C45,128:128)+100</f>
        <v>85</v>
      </c>
      <c r="G45" s="4118" t="s">
        <v>4996</v>
      </c>
      <c r="H45" s="1697">
        <f>SUMIF(127:127,G45,128:128)-SUMIF(127:127,C45,128:128)+100</f>
        <v>85</v>
      </c>
      <c r="I45" s="4118" t="s">
        <v>4996</v>
      </c>
      <c r="J45" s="1697">
        <f>SUMIF(127:127,I45,128:128)-SUMIF(127:127,C45,128:128)+100</f>
        <v>85</v>
      </c>
      <c r="K45" s="1989"/>
      <c r="L45" s="2995"/>
      <c r="M45" s="2968"/>
      <c r="N45" s="2968"/>
      <c r="O45" s="2968"/>
      <c r="P45" s="4496"/>
      <c r="Q45" s="2913" t="str">
        <f t="shared" si="11"/>
        <v>物业类型</v>
      </c>
      <c r="R45" s="1680" t="s">
        <v>25</v>
      </c>
      <c r="S45" s="1681">
        <f t="shared" si="12"/>
        <v>85</v>
      </c>
      <c r="T45" s="1680" t="s">
        <v>25</v>
      </c>
      <c r="U45" s="1681">
        <f t="shared" si="13"/>
        <v>85</v>
      </c>
      <c r="V45" s="1680" t="s">
        <v>25</v>
      </c>
      <c r="W45" s="1681">
        <f t="shared" si="14"/>
        <v>85</v>
      </c>
      <c r="X45" s="1682"/>
      <c r="Y45" s="4496"/>
      <c r="Z45" s="1693" t="str">
        <f t="shared" si="15"/>
        <v>物业类型</v>
      </c>
      <c r="AA45" s="1683">
        <f t="shared" si="3"/>
        <v>1.1764705882352942</v>
      </c>
      <c r="AB45" s="1683">
        <f t="shared" si="4"/>
        <v>1.1764705882352942</v>
      </c>
      <c r="AC45" s="1683">
        <f t="shared" si="5"/>
        <v>1.1764705882352942</v>
      </c>
    </row>
    <row r="46" spans="1:29" ht="15">
      <c r="A46" s="1772"/>
      <c r="B46" s="3859" t="s">
        <v>4999</v>
      </c>
      <c r="C46" s="3727" t="s">
        <v>4997</v>
      </c>
      <c r="D46" s="1711">
        <v>100</v>
      </c>
      <c r="E46" s="4118" t="s">
        <v>4998</v>
      </c>
      <c r="F46" s="1754">
        <f>SUMIF(129:129,E46,130:130)-SUMIF(129:129,C46,130:130)+100</f>
        <v>95</v>
      </c>
      <c r="G46" s="4118" t="s">
        <v>4998</v>
      </c>
      <c r="H46" s="1711">
        <f>SUMIF(129:129,G46,130:130)-SUMIF(129:129,C46,130:130)+100</f>
        <v>95</v>
      </c>
      <c r="I46" s="4118" t="s">
        <v>4998</v>
      </c>
      <c r="J46" s="1711">
        <f>SUMIF(129:129,I46,130:130)-SUMIF(129:129,C46,130:130)+100</f>
        <v>95</v>
      </c>
      <c r="K46" s="1989"/>
      <c r="L46" s="3000"/>
      <c r="M46" s="2996"/>
      <c r="N46" s="2996"/>
      <c r="O46" s="2996"/>
      <c r="P46" s="4496"/>
      <c r="Q46" s="2914" t="e">
        <f>#REF!</f>
        <v>#REF!</v>
      </c>
      <c r="R46" s="1725" t="s">
        <v>25</v>
      </c>
      <c r="S46" s="1726">
        <f t="shared" si="12"/>
        <v>95</v>
      </c>
      <c r="T46" s="1725" t="s">
        <v>25</v>
      </c>
      <c r="U46" s="1726">
        <f t="shared" si="13"/>
        <v>95</v>
      </c>
      <c r="V46" s="1725" t="s">
        <v>25</v>
      </c>
      <c r="W46" s="1726">
        <f t="shared" si="14"/>
        <v>95</v>
      </c>
      <c r="X46" s="2074"/>
      <c r="Y46" s="4496"/>
      <c r="Z46" s="2078" t="e">
        <f t="shared" si="15"/>
        <v>#REF!</v>
      </c>
      <c r="AA46" s="2069">
        <f t="shared" si="3"/>
        <v>1.0526315789473684</v>
      </c>
      <c r="AB46" s="2069">
        <f t="shared" si="4"/>
        <v>1.0526315789473684</v>
      </c>
      <c r="AC46" s="2069">
        <f t="shared" si="5"/>
        <v>1.0526315789473684</v>
      </c>
    </row>
    <row r="47" spans="1:29" ht="15.75" thickBot="1">
      <c r="A47" s="1780"/>
      <c r="B47" s="4114"/>
      <c r="C47" s="1714"/>
      <c r="D47" s="1715">
        <v>100</v>
      </c>
      <c r="E47" s="1707"/>
      <c r="F47" s="1716">
        <f>SUMIF(131:131,E47,132:132)-SUMIF(131:131,C47,132:132)+100</f>
        <v>100</v>
      </c>
      <c r="G47" s="1707"/>
      <c r="H47" s="1715">
        <f>SUMIF(131:131,G47,132:132)-SUMIF(131:131,C47,132:132)+100</f>
        <v>100</v>
      </c>
      <c r="I47" s="1707"/>
      <c r="J47" s="1715">
        <f>SUMIF(131:131,I47,132:132)-SUMIF(131:131,C47,132:132)+100</f>
        <v>100</v>
      </c>
      <c r="K47" s="1989"/>
      <c r="L47" s="3000"/>
      <c r="M47" s="2996"/>
      <c r="N47" s="2996"/>
      <c r="O47" s="2996"/>
      <c r="P47" s="4497"/>
      <c r="Q47" s="2914" t="e">
        <f>#REF!</f>
        <v>#REF!</v>
      </c>
      <c r="R47" s="1725" t="s">
        <v>25</v>
      </c>
      <c r="S47" s="1726">
        <f t="shared" si="12"/>
        <v>100</v>
      </c>
      <c r="T47" s="1725" t="s">
        <v>25</v>
      </c>
      <c r="U47" s="1726">
        <f t="shared" si="13"/>
        <v>100</v>
      </c>
      <c r="V47" s="1725" t="s">
        <v>25</v>
      </c>
      <c r="W47" s="1726">
        <f t="shared" si="14"/>
        <v>100</v>
      </c>
      <c r="X47" s="2074"/>
      <c r="Y47" s="4497"/>
      <c r="Z47" s="2078" t="e">
        <f t="shared" si="15"/>
        <v>#REF!</v>
      </c>
      <c r="AA47" s="2069">
        <f t="shared" si="3"/>
        <v>1</v>
      </c>
      <c r="AB47" s="2069">
        <f t="shared" si="4"/>
        <v>1</v>
      </c>
      <c r="AC47" s="2069">
        <f t="shared" si="5"/>
        <v>1</v>
      </c>
    </row>
    <row r="48" spans="1:29" ht="15">
      <c r="A48" s="1781" t="s">
        <v>2287</v>
      </c>
      <c r="B48" s="1782"/>
      <c r="C48" s="1783" t="s">
        <v>1</v>
      </c>
      <c r="D48" s="1784"/>
      <c r="E48" s="1785">
        <f>合同租金汇总!I3-1.2</f>
        <v>3.3</v>
      </c>
      <c r="F48" s="1786"/>
      <c r="G48" s="1787">
        <f>合同租金汇总!I6-1.2</f>
        <v>3.3</v>
      </c>
      <c r="H48" s="1788"/>
      <c r="I48" s="1785">
        <f>合同租金汇总!I29-1.2</f>
        <v>3.5999999999999996</v>
      </c>
      <c r="J48" s="1788"/>
      <c r="K48" s="2013"/>
      <c r="L48" s="3001"/>
      <c r="M48" s="2996"/>
      <c r="N48" s="2996"/>
      <c r="O48" s="2996"/>
      <c r="P48" s="4488" t="str">
        <f>A48</f>
        <v>成交单价（元/平方米）</v>
      </c>
      <c r="Q48" s="4488"/>
      <c r="R48" s="4484">
        <f>E48</f>
        <v>3.3</v>
      </c>
      <c r="S48" s="4484"/>
      <c r="T48" s="4484">
        <f>G48</f>
        <v>3.3</v>
      </c>
      <c r="U48" s="4484"/>
      <c r="V48" s="4484">
        <f>I48</f>
        <v>3.5999999999999996</v>
      </c>
      <c r="W48" s="4484"/>
      <c r="X48" s="1791"/>
      <c r="Y48" s="2073"/>
      <c r="Z48" s="1791"/>
      <c r="AA48" s="1791"/>
      <c r="AB48" s="1791"/>
      <c r="AC48" s="1791"/>
    </row>
    <row r="49" spans="1:29" ht="15.75" thickBot="1">
      <c r="A49" s="1793" t="s">
        <v>2370</v>
      </c>
      <c r="B49" s="1794"/>
      <c r="C49" s="1795">
        <f>R50</f>
        <v>4.4000000000000004</v>
      </c>
      <c r="D49" s="1796" t="s">
        <v>2738</v>
      </c>
      <c r="E49" s="1797">
        <f>R49</f>
        <v>4.3</v>
      </c>
      <c r="F49" s="1798"/>
      <c r="G49" s="1795">
        <f>T49</f>
        <v>4.2</v>
      </c>
      <c r="H49" s="1798"/>
      <c r="I49" s="1797">
        <f>V49</f>
        <v>4.5999999999999996</v>
      </c>
      <c r="J49" s="1798"/>
      <c r="K49" s="2509">
        <f>F49+H49+J49</f>
        <v>0</v>
      </c>
      <c r="L49" s="3001"/>
      <c r="M49" s="2996"/>
      <c r="N49" s="2996"/>
      <c r="O49" s="2996"/>
      <c r="P49" s="4488" t="str">
        <f>A49</f>
        <v>比较价值（元/平方米）</v>
      </c>
      <c r="Q49" s="4488"/>
      <c r="R49" s="4484">
        <f>IF(E1="售价",ROUND(PRODUCT(R48,AA7:AA47),0),ROUND(PRODUCT(R48,AA7:AA47),1))</f>
        <v>4.3</v>
      </c>
      <c r="S49" s="4484"/>
      <c r="T49" s="4484">
        <f>IF(E1="售价",ROUND(PRODUCT(T48,AB7:AB47),0),ROUND(PRODUCT(T48,AB7:AB47),1))</f>
        <v>4.2</v>
      </c>
      <c r="U49" s="4484"/>
      <c r="V49" s="4484">
        <f>IF(E1="售价",ROUND(PRODUCT(V48,AC7:AC47),0),ROUND(PRODUCT(V48,AC7:AC47),1))</f>
        <v>4.5999999999999996</v>
      </c>
      <c r="W49" s="4484"/>
      <c r="X49" s="1791"/>
      <c r="Y49" s="1791"/>
      <c r="Z49" s="1791"/>
      <c r="AA49" s="1791"/>
      <c r="AB49" s="1791"/>
      <c r="AC49" s="1791"/>
    </row>
    <row r="50" spans="1:29" ht="15.75" thickBot="1">
      <c r="A50" s="1799" t="s">
        <v>2393</v>
      </c>
      <c r="B50" s="1800"/>
      <c r="C50" s="1802">
        <f>R50</f>
        <v>4.4000000000000004</v>
      </c>
      <c r="D50" s="1802"/>
      <c r="E50" s="1802"/>
      <c r="F50" s="1802"/>
      <c r="G50" s="1802"/>
      <c r="H50" s="1802"/>
      <c r="I50" s="1802"/>
      <c r="J50" s="1802"/>
      <c r="K50" s="2018"/>
      <c r="L50" s="3001"/>
      <c r="M50" s="2996"/>
      <c r="N50" s="2996"/>
      <c r="O50" s="2996"/>
      <c r="P50" s="4485" t="str">
        <f>A50</f>
        <v>估价对象XX用房的比较价值（楼面单价，元/平方米）</v>
      </c>
      <c r="Q50" s="4486"/>
      <c r="R50" s="4487">
        <f>IF(E1="售价",ROUND(IF(D49="简单平均",AVERAGE(R49:V49),R49*F49+T49*H49+V49*J49),0),ROUND(IF(D49="简单平均",AVERAGE(R49:V49),R49*F49+T49*H49+V49*J49),1))</f>
        <v>4.4000000000000004</v>
      </c>
      <c r="S50" s="4487"/>
      <c r="T50" s="4487"/>
      <c r="U50" s="4487"/>
      <c r="V50" s="4487"/>
      <c r="W50" s="4487"/>
      <c r="X50" s="1791"/>
      <c r="Y50" s="1791"/>
      <c r="Z50" s="1791"/>
      <c r="AA50" s="1791"/>
      <c r="AB50" s="1791"/>
      <c r="AC50" s="1791"/>
    </row>
    <row r="51" spans="1:29">
      <c r="C51" s="1666">
        <v>2004</v>
      </c>
      <c r="E51" s="1666">
        <v>2006</v>
      </c>
      <c r="G51" s="3007">
        <v>2000</v>
      </c>
      <c r="I51" s="1666">
        <v>2001</v>
      </c>
    </row>
    <row r="53" spans="1:29" ht="13.5" customHeight="1">
      <c r="C53" s="383" t="s">
        <v>2372</v>
      </c>
      <c r="D53" s="1807"/>
      <c r="E53" s="1808">
        <f>IF(E48&lt;E49,E49/E48-1,E48/E49-1)</f>
        <v>0.30303030303030298</v>
      </c>
      <c r="F53" s="1809" t="str">
        <f>IF(OR(E53&gt;=0.3,E53&lt;=-0.3),"超过30%","")</f>
        <v>超过30%</v>
      </c>
      <c r="G53" s="1808">
        <f>IF(G48&lt;G49,G49/G48-1,G48/G49-1)</f>
        <v>0.27272727272727293</v>
      </c>
      <c r="H53" s="1809" t="str">
        <f>IF(OR(G53&gt;=0.3,G53&lt;=-0.3),"超过30%","")</f>
        <v/>
      </c>
      <c r="I53" s="1808">
        <f>IF(I48&lt;I49,I49/I48-1,I48/I49-1)</f>
        <v>0.2777777777777779</v>
      </c>
      <c r="J53" s="1809" t="str">
        <f>IF(OR(I53&gt;=0.3,I53&lt;=-0.3),"超过30%","")</f>
        <v/>
      </c>
    </row>
    <row r="54" spans="1:29" ht="13.5" customHeight="1">
      <c r="C54" s="383" t="s">
        <v>2373</v>
      </c>
      <c r="D54" s="1810"/>
      <c r="E54" s="1808">
        <f>IF(E49&lt;G49,G49/E49-1,E49/G49-1)</f>
        <v>2.3809523809523725E-2</v>
      </c>
      <c r="F54" s="1809" t="str">
        <f>IF(OR(E54&gt;=0.2,E54&lt;=-0.2),"超过20%","")</f>
        <v/>
      </c>
      <c r="G54" s="1808">
        <f>IF(G49&lt;I49,I49/G49-1,G49/I49-1)</f>
        <v>9.5238095238095122E-2</v>
      </c>
      <c r="H54" s="1809" t="str">
        <f>IF(OR(G54&gt;=0.2,G54&lt;=-0.2),"超过20%","")</f>
        <v/>
      </c>
      <c r="I54" s="1808">
        <f>IF(I49&lt;E49,E49/I49-1,I49/E49-1)</f>
        <v>6.9767441860465018E-2</v>
      </c>
      <c r="J54" s="1809" t="str">
        <f>IF(OR(I54&gt;=0.2,I54&lt;=-0.2),"超过20%","")</f>
        <v/>
      </c>
    </row>
    <row r="55" spans="1:29" s="1813" customFormat="1" ht="13.5" customHeight="1">
      <c r="C55" s="383" t="s">
        <v>2374</v>
      </c>
      <c r="D55" s="1810"/>
      <c r="E55" s="1808">
        <f>IF(E48&lt;G48,G48/E48-1,E48/G48-1)</f>
        <v>0</v>
      </c>
      <c r="F55" s="1809" t="str">
        <f>IF(OR(E55&gt;=0.3,E55&lt;=-0.3),"超过30%","")</f>
        <v/>
      </c>
      <c r="G55" s="1808">
        <f>IF(G48&lt;I48,I48/G48-1,G48/I48-1)</f>
        <v>9.0909090909090828E-2</v>
      </c>
      <c r="H55" s="1809" t="str">
        <f>IF(OR(G55&gt;=0.3,G55&lt;=-0.3),"超过30%","")</f>
        <v/>
      </c>
      <c r="I55" s="1808">
        <f>IF(I48&lt;E48,E48/I48-1,I48/E48-1)</f>
        <v>9.0909090909090828E-2</v>
      </c>
      <c r="J55" s="1809" t="str">
        <f>IF(OR(I55&gt;=0.3,I55&lt;=-0.3),"超过30%","")</f>
        <v/>
      </c>
      <c r="K55" s="3008"/>
      <c r="L55" s="3002"/>
    </row>
    <row r="56" spans="1:29" s="1813" customFormat="1">
      <c r="B56" s="3006"/>
      <c r="C56" s="3007"/>
      <c r="K56" s="3008"/>
      <c r="L56" s="3002"/>
    </row>
    <row r="57" spans="1:29">
      <c r="B57" s="3006"/>
      <c r="C57" s="3007"/>
    </row>
    <row r="58" spans="1:29" ht="21.75" thickBot="1">
      <c r="A58" s="1816" t="s">
        <v>2375</v>
      </c>
      <c r="B58" s="1791"/>
      <c r="C58" s="1817"/>
      <c r="D58" s="1817"/>
      <c r="E58" s="1817"/>
      <c r="F58" s="1817"/>
      <c r="G58" s="1817"/>
      <c r="H58" s="1817"/>
      <c r="I58" s="1817"/>
      <c r="J58" s="1817"/>
      <c r="K58" s="1818"/>
      <c r="L58" s="1819"/>
      <c r="M58" s="1817"/>
      <c r="N58" s="3004"/>
      <c r="O58" s="3004"/>
      <c r="P58" s="2045"/>
      <c r="Q58" s="1821"/>
    </row>
    <row r="59" spans="1:29" s="1827" customFormat="1" ht="15">
      <c r="A59" s="1822" t="s">
        <v>2257</v>
      </c>
      <c r="B59" s="1823"/>
      <c r="C59" s="1824" t="str">
        <f>YEAR(C7)&amp;"-"&amp;MONTH(C7)</f>
        <v>2016-2</v>
      </c>
      <c r="D59" s="1825">
        <f>EDATE(C59,-1)</f>
        <v>42370</v>
      </c>
      <c r="E59" s="1825">
        <f t="shared" ref="E59:O59" si="16">EDATE(D59,-1)</f>
        <v>42339</v>
      </c>
      <c r="F59" s="1825">
        <f t="shared" si="16"/>
        <v>42309</v>
      </c>
      <c r="G59" s="1825">
        <f t="shared" si="16"/>
        <v>42278</v>
      </c>
      <c r="H59" s="1825">
        <f t="shared" si="16"/>
        <v>42248</v>
      </c>
      <c r="I59" s="1825">
        <f t="shared" si="16"/>
        <v>42217</v>
      </c>
      <c r="J59" s="1825">
        <f t="shared" si="16"/>
        <v>42186</v>
      </c>
      <c r="K59" s="1825">
        <f t="shared" si="16"/>
        <v>42156</v>
      </c>
      <c r="L59" s="1825">
        <f t="shared" si="16"/>
        <v>42125</v>
      </c>
      <c r="M59" s="1825">
        <f t="shared" si="16"/>
        <v>42095</v>
      </c>
      <c r="N59" s="1825">
        <f t="shared" si="16"/>
        <v>42064</v>
      </c>
      <c r="O59" s="1825">
        <f t="shared" si="16"/>
        <v>42036</v>
      </c>
      <c r="P59" s="2502"/>
    </row>
    <row r="60" spans="1:29" s="1684" customFormat="1" ht="15">
      <c r="A60" s="1828"/>
      <c r="B60" s="1829"/>
      <c r="C60" s="1830">
        <v>100</v>
      </c>
      <c r="D60" s="1831">
        <v>100</v>
      </c>
      <c r="E60" s="1831">
        <v>99.8</v>
      </c>
      <c r="F60" s="1831">
        <v>99.8</v>
      </c>
      <c r="G60" s="1831">
        <v>99.8</v>
      </c>
      <c r="H60" s="1831">
        <v>99.8</v>
      </c>
      <c r="I60" s="1831">
        <v>99.8</v>
      </c>
      <c r="J60" s="1831">
        <v>99.8</v>
      </c>
      <c r="K60" s="1831">
        <v>99.6</v>
      </c>
      <c r="L60" s="1831">
        <v>99.6</v>
      </c>
      <c r="M60" s="1832">
        <v>99.6</v>
      </c>
      <c r="N60" s="1831">
        <v>99.6</v>
      </c>
      <c r="O60" s="1845">
        <v>99.6</v>
      </c>
      <c r="P60" s="1821"/>
    </row>
    <row r="61" spans="1:29" s="1684" customFormat="1" ht="15.75" thickBot="1">
      <c r="A61" s="1834" t="s">
        <v>2295</v>
      </c>
      <c r="B61" s="1835"/>
      <c r="C61" s="1836"/>
      <c r="D61" s="1837"/>
      <c r="E61" s="1837"/>
      <c r="F61" s="1837"/>
      <c r="G61" s="1837"/>
      <c r="H61" s="1837"/>
      <c r="I61" s="1837"/>
      <c r="J61" s="1837"/>
      <c r="K61" s="1837"/>
      <c r="L61" s="1837"/>
      <c r="M61" s="1838"/>
      <c r="N61" s="1837"/>
      <c r="O61" s="2503"/>
      <c r="P61" s="1821"/>
      <c r="Q61" s="1821"/>
    </row>
    <row r="62" spans="1:29" s="1684" customFormat="1" ht="15">
      <c r="A62" s="1839" t="s">
        <v>2259</v>
      </c>
      <c r="B62" s="1829"/>
      <c r="C62" s="1840" t="s">
        <v>2260</v>
      </c>
      <c r="D62" s="409"/>
      <c r="E62" s="409"/>
      <c r="F62" s="409"/>
      <c r="G62" s="409"/>
      <c r="H62" s="409"/>
      <c r="I62" s="409"/>
      <c r="J62" s="409"/>
      <c r="K62" s="409"/>
      <c r="L62" s="409"/>
      <c r="M62" s="1841"/>
      <c r="N62" s="3013"/>
      <c r="O62" s="3013"/>
      <c r="P62" s="2056"/>
      <c r="Q62" s="1821"/>
    </row>
    <row r="63" spans="1:29" s="1684" customFormat="1" ht="15.75" thickBot="1">
      <c r="A63" s="1839"/>
      <c r="B63" s="1829"/>
      <c r="C63" s="1844">
        <v>100</v>
      </c>
      <c r="D63" s="1831"/>
      <c r="E63" s="1831"/>
      <c r="F63" s="1831"/>
      <c r="G63" s="1831"/>
      <c r="H63" s="1831"/>
      <c r="I63" s="1831"/>
      <c r="J63" s="1831"/>
      <c r="K63" s="1831"/>
      <c r="L63" s="1831"/>
      <c r="M63" s="1845"/>
      <c r="N63" s="3013"/>
      <c r="O63" s="3013"/>
      <c r="P63" s="1821"/>
      <c r="Q63" s="1821"/>
    </row>
    <row r="64" spans="1:29">
      <c r="A64" s="1846" t="s">
        <v>2298</v>
      </c>
      <c r="B64" s="1847" t="s">
        <v>2263</v>
      </c>
      <c r="C64" s="1848" t="str">
        <f>C9</f>
        <v>办公</v>
      </c>
      <c r="D64" s="1849"/>
      <c r="E64" s="1849"/>
      <c r="F64" s="1849"/>
      <c r="G64" s="1849"/>
      <c r="H64" s="1849"/>
      <c r="I64" s="1849"/>
      <c r="J64" s="1849"/>
      <c r="K64" s="417"/>
      <c r="L64" s="417"/>
      <c r="M64" s="1850"/>
      <c r="N64" s="3014"/>
      <c r="O64" s="3014"/>
      <c r="P64" s="2057"/>
      <c r="Q64" s="1821"/>
    </row>
    <row r="65" spans="1:17" ht="15.75" thickBot="1">
      <c r="A65" s="1853"/>
      <c r="B65" s="1854"/>
      <c r="C65" s="1855">
        <v>100</v>
      </c>
      <c r="D65" s="1855"/>
      <c r="E65" s="1855"/>
      <c r="F65" s="1855"/>
      <c r="G65" s="1855"/>
      <c r="H65" s="1855"/>
      <c r="I65" s="1855"/>
      <c r="J65" s="1855"/>
      <c r="K65" s="1855"/>
      <c r="L65" s="1855"/>
      <c r="M65" s="1856"/>
      <c r="N65" s="3015"/>
      <c r="O65" s="3015"/>
      <c r="P65" s="2057"/>
      <c r="Q65" s="1821"/>
    </row>
    <row r="66" spans="1:17" ht="27.75" thickTop="1">
      <c r="A66" s="1853"/>
      <c r="B66" s="1858" t="s">
        <v>2266</v>
      </c>
      <c r="C66" s="1859" t="s">
        <v>2299</v>
      </c>
      <c r="D66" s="1859" t="s">
        <v>2300</v>
      </c>
      <c r="E66" s="1859" t="s">
        <v>2301</v>
      </c>
      <c r="F66" s="1859" t="s">
        <v>2302</v>
      </c>
      <c r="G66" s="1859" t="s">
        <v>2303</v>
      </c>
      <c r="H66" s="1859" t="s">
        <v>2304</v>
      </c>
      <c r="I66" s="1859" t="s">
        <v>2305</v>
      </c>
      <c r="J66" s="1859"/>
      <c r="K66" s="428"/>
      <c r="L66" s="428"/>
      <c r="M66" s="1860"/>
      <c r="N66" s="3014"/>
      <c r="O66" s="3014"/>
      <c r="P66" s="2057"/>
      <c r="Q66" s="1821"/>
    </row>
    <row r="67" spans="1:17" ht="15.75" thickBot="1">
      <c r="A67" s="1853"/>
      <c r="B67" s="1861"/>
      <c r="C67" s="1862" t="s">
        <v>36</v>
      </c>
      <c r="D67" s="1862" t="s">
        <v>37</v>
      </c>
      <c r="E67" s="1862">
        <v>100</v>
      </c>
      <c r="F67" s="1862">
        <f>E67-$K10</f>
        <v>100</v>
      </c>
      <c r="G67" s="1862">
        <f>F67-$K10</f>
        <v>100</v>
      </c>
      <c r="H67" s="1862">
        <f>G67-$K10</f>
        <v>100</v>
      </c>
      <c r="I67" s="1862">
        <f>H67-$K10</f>
        <v>100</v>
      </c>
      <c r="J67" s="1862"/>
      <c r="K67" s="1862"/>
      <c r="L67" s="1862"/>
      <c r="M67" s="1863"/>
      <c r="N67" s="3015"/>
      <c r="O67" s="3015"/>
      <c r="P67" s="2057"/>
      <c r="Q67" s="1821"/>
    </row>
    <row r="68" spans="1:17" ht="15.75" thickTop="1">
      <c r="A68" s="1853"/>
      <c r="B68" s="1864" t="s">
        <v>2267</v>
      </c>
      <c r="C68" s="1865" t="str">
        <f>C69&amp;"（含）"&amp;"-"&amp;D69</f>
        <v>0（含）-1</v>
      </c>
      <c r="D68" s="1865" t="str">
        <f t="shared" ref="D68:L68" si="17">D69&amp;"（含）"&amp;"-"&amp;E69</f>
        <v>1（含）-2</v>
      </c>
      <c r="E68" s="1865" t="str">
        <f t="shared" si="17"/>
        <v>2（含）-3</v>
      </c>
      <c r="F68" s="1865" t="str">
        <f t="shared" si="17"/>
        <v>3（含）-</v>
      </c>
      <c r="G68" s="1865" t="str">
        <f t="shared" si="17"/>
        <v>（含）-</v>
      </c>
      <c r="H68" s="1865" t="str">
        <f t="shared" si="17"/>
        <v>（含）-</v>
      </c>
      <c r="I68" s="1865" t="str">
        <f t="shared" si="17"/>
        <v>（含）-</v>
      </c>
      <c r="J68" s="1865" t="str">
        <f t="shared" si="17"/>
        <v>（含）-</v>
      </c>
      <c r="K68" s="1865" t="str">
        <f t="shared" si="17"/>
        <v>（含）-</v>
      </c>
      <c r="L68" s="1865" t="str">
        <f t="shared" si="17"/>
        <v>（含）-</v>
      </c>
      <c r="M68" s="1731" t="str">
        <f>M69&amp;"（含）"&amp;"-"&amp;P69</f>
        <v>（含）-</v>
      </c>
      <c r="N68" s="3015"/>
      <c r="O68" s="3015"/>
      <c r="P68" s="2057"/>
      <c r="Q68" s="1821"/>
    </row>
    <row r="69" spans="1:17" ht="15">
      <c r="A69" s="1853"/>
      <c r="B69" s="1866"/>
      <c r="C69" s="1867">
        <v>0</v>
      </c>
      <c r="D69" s="1867">
        <v>1</v>
      </c>
      <c r="E69" s="1867">
        <v>2</v>
      </c>
      <c r="F69" s="1867">
        <v>3</v>
      </c>
      <c r="G69" s="1867"/>
      <c r="H69" s="1867"/>
      <c r="I69" s="1867"/>
      <c r="J69" s="1867"/>
      <c r="K69" s="438"/>
      <c r="L69" s="438"/>
      <c r="M69" s="1868"/>
      <c r="N69" s="3014"/>
      <c r="O69" s="3014"/>
      <c r="P69" s="2057"/>
      <c r="Q69" s="1821"/>
    </row>
    <row r="70" spans="1:17" ht="15.75" thickBot="1">
      <c r="A70" s="1853"/>
      <c r="B70" s="1854"/>
      <c r="C70" s="1862">
        <v>100</v>
      </c>
      <c r="D70" s="1862">
        <f t="shared" ref="D70:M70" si="18">C70-$K11</f>
        <v>100</v>
      </c>
      <c r="E70" s="1862">
        <f t="shared" si="18"/>
        <v>100</v>
      </c>
      <c r="F70" s="1862">
        <f t="shared" si="18"/>
        <v>100</v>
      </c>
      <c r="G70" s="1862">
        <f t="shared" si="18"/>
        <v>100</v>
      </c>
      <c r="H70" s="1862">
        <f t="shared" si="18"/>
        <v>100</v>
      </c>
      <c r="I70" s="1862">
        <f t="shared" si="18"/>
        <v>100</v>
      </c>
      <c r="J70" s="1862">
        <f t="shared" si="18"/>
        <v>100</v>
      </c>
      <c r="K70" s="1862">
        <f t="shared" si="18"/>
        <v>100</v>
      </c>
      <c r="L70" s="1862">
        <f t="shared" si="18"/>
        <v>100</v>
      </c>
      <c r="M70" s="1863">
        <f t="shared" si="18"/>
        <v>100</v>
      </c>
      <c r="N70" s="3015"/>
      <c r="O70" s="3015"/>
      <c r="P70" s="2057"/>
      <c r="Q70" s="1821"/>
    </row>
    <row r="71" spans="1:17" s="1771" customFormat="1" ht="15.75" thickTop="1">
      <c r="A71" s="1869"/>
      <c r="B71" s="1858">
        <f>B12</f>
        <v>111</v>
      </c>
      <c r="C71" s="468"/>
      <c r="D71" s="468"/>
      <c r="E71" s="468"/>
      <c r="F71" s="468"/>
      <c r="G71" s="468"/>
      <c r="H71" s="443"/>
      <c r="I71" s="443"/>
      <c r="J71" s="443"/>
      <c r="K71" s="443"/>
      <c r="L71" s="443"/>
      <c r="M71" s="1870"/>
      <c r="N71" s="3016"/>
      <c r="O71" s="3016"/>
      <c r="P71" s="2058"/>
      <c r="Q71" s="1873"/>
    </row>
    <row r="72" spans="1:17" s="1771" customFormat="1" ht="15.75" thickBot="1">
      <c r="A72" s="1869"/>
      <c r="B72" s="1861"/>
      <c r="C72" s="1874"/>
      <c r="D72" s="1855"/>
      <c r="E72" s="1855"/>
      <c r="F72" s="1855"/>
      <c r="G72" s="1855"/>
      <c r="H72" s="1855"/>
      <c r="I72" s="1855"/>
      <c r="J72" s="1855"/>
      <c r="K72" s="1855"/>
      <c r="L72" s="1855"/>
      <c r="M72" s="1856"/>
      <c r="N72" s="3015"/>
      <c r="O72" s="3015"/>
      <c r="P72" s="2058"/>
      <c r="Q72" s="1873"/>
    </row>
    <row r="73" spans="1:17" s="1771" customFormat="1" ht="15.75" thickTop="1">
      <c r="A73" s="1869"/>
      <c r="B73" s="1858">
        <f>B13</f>
        <v>111</v>
      </c>
      <c r="C73" s="468"/>
      <c r="D73" s="468"/>
      <c r="E73" s="468"/>
      <c r="F73" s="468"/>
      <c r="G73" s="468"/>
      <c r="H73" s="443"/>
      <c r="I73" s="443"/>
      <c r="J73" s="443"/>
      <c r="K73" s="443"/>
      <c r="L73" s="443"/>
      <c r="M73" s="1870"/>
      <c r="N73" s="3016"/>
      <c r="O73" s="3016"/>
      <c r="P73" s="2059"/>
      <c r="Q73" s="1876"/>
    </row>
    <row r="74" spans="1:17" s="1771" customFormat="1" ht="15.75" thickBot="1">
      <c r="A74" s="1869"/>
      <c r="B74" s="1861"/>
      <c r="C74" s="1874"/>
      <c r="D74" s="1874"/>
      <c r="E74" s="1874"/>
      <c r="F74" s="1874"/>
      <c r="G74" s="1874"/>
      <c r="H74" s="1877"/>
      <c r="I74" s="1877"/>
      <c r="J74" s="1877"/>
      <c r="K74" s="1877"/>
      <c r="L74" s="1877"/>
      <c r="M74" s="1878"/>
      <c r="N74" s="3016"/>
      <c r="O74" s="3016"/>
      <c r="P74" s="2058"/>
      <c r="Q74" s="1873"/>
    </row>
    <row r="75" spans="1:17" s="1771" customFormat="1" ht="15.75" thickTop="1">
      <c r="A75" s="1869"/>
      <c r="B75" s="1864">
        <f>B14</f>
        <v>111</v>
      </c>
      <c r="C75" s="409"/>
      <c r="D75" s="409"/>
      <c r="E75" s="409"/>
      <c r="F75" s="409"/>
      <c r="G75" s="409"/>
      <c r="H75" s="453"/>
      <c r="I75" s="453"/>
      <c r="J75" s="453"/>
      <c r="K75" s="453"/>
      <c r="L75" s="453"/>
      <c r="M75" s="1879"/>
      <c r="N75" s="3016"/>
      <c r="O75" s="3016"/>
      <c r="P75" s="2058"/>
      <c r="Q75" s="1873"/>
    </row>
    <row r="76" spans="1:17" s="1771" customFormat="1" ht="15.75" thickBot="1">
      <c r="A76" s="1880"/>
      <c r="B76" s="1881"/>
      <c r="C76" s="1882"/>
      <c r="D76" s="1882"/>
      <c r="E76" s="1882"/>
      <c r="F76" s="1882"/>
      <c r="G76" s="1882"/>
      <c r="H76" s="1883"/>
      <c r="I76" s="1883"/>
      <c r="J76" s="1883"/>
      <c r="K76" s="1883"/>
      <c r="L76" s="1883"/>
      <c r="M76" s="1884"/>
      <c r="N76" s="3016"/>
      <c r="O76" s="3016"/>
      <c r="P76" s="2058"/>
      <c r="Q76" s="1873"/>
    </row>
    <row r="77" spans="1:17">
      <c r="A77" s="1846" t="s">
        <v>2268</v>
      </c>
      <c r="B77" s="1847" t="s">
        <v>2394</v>
      </c>
      <c r="C77" s="1885" t="s">
        <v>2307</v>
      </c>
      <c r="D77" s="1885" t="s">
        <v>2308</v>
      </c>
      <c r="E77" s="1885" t="s">
        <v>2309</v>
      </c>
      <c r="F77" s="1885" t="s">
        <v>2310</v>
      </c>
      <c r="G77" s="1885" t="s">
        <v>2311</v>
      </c>
      <c r="H77" s="1848"/>
      <c r="I77" s="1848"/>
      <c r="J77" s="1848"/>
      <c r="K77" s="463"/>
      <c r="L77" s="463"/>
      <c r="M77" s="1886"/>
      <c r="N77" s="3014"/>
      <c r="O77" s="3014"/>
      <c r="P77" s="2057"/>
      <c r="Q77" s="1821"/>
    </row>
    <row r="78" spans="1:17" ht="15.75" thickBot="1">
      <c r="A78" s="1853"/>
      <c r="B78" s="1861"/>
      <c r="C78" s="1862">
        <v>100</v>
      </c>
      <c r="D78" s="1862">
        <f>C78-$K15</f>
        <v>98</v>
      </c>
      <c r="E78" s="1862">
        <f>D78-$K15</f>
        <v>96</v>
      </c>
      <c r="F78" s="1862">
        <f>E78-$K15</f>
        <v>94</v>
      </c>
      <c r="G78" s="1862">
        <f>F78-$K15</f>
        <v>92</v>
      </c>
      <c r="H78" s="1862"/>
      <c r="I78" s="1862"/>
      <c r="J78" s="1862"/>
      <c r="K78" s="1862"/>
      <c r="L78" s="1862"/>
      <c r="M78" s="1863"/>
      <c r="N78" s="3015"/>
      <c r="O78" s="3015"/>
      <c r="P78" s="2057"/>
      <c r="Q78" s="1821"/>
    </row>
    <row r="79" spans="1:17" ht="15.75" thickTop="1">
      <c r="A79" s="1853"/>
      <c r="B79" s="1858" t="s">
        <v>2312</v>
      </c>
      <c r="C79" s="579" t="s">
        <v>2307</v>
      </c>
      <c r="D79" s="579" t="s">
        <v>2308</v>
      </c>
      <c r="E79" s="579" t="s">
        <v>2309</v>
      </c>
      <c r="F79" s="579" t="s">
        <v>2310</v>
      </c>
      <c r="G79" s="579" t="s">
        <v>2311</v>
      </c>
      <c r="H79" s="1859"/>
      <c r="I79" s="1859"/>
      <c r="J79" s="1859"/>
      <c r="K79" s="428"/>
      <c r="L79" s="428"/>
      <c r="M79" s="1860"/>
      <c r="N79" s="3014"/>
      <c r="O79" s="3014"/>
      <c r="P79" s="2057"/>
      <c r="Q79" s="1821"/>
    </row>
    <row r="80" spans="1:17" ht="15.75" thickBot="1">
      <c r="A80" s="1853"/>
      <c r="B80" s="1861"/>
      <c r="C80" s="1862">
        <v>100</v>
      </c>
      <c r="D80" s="1862">
        <f>C80-$K17</f>
        <v>98</v>
      </c>
      <c r="E80" s="1862">
        <f>D80-$K17</f>
        <v>96</v>
      </c>
      <c r="F80" s="1862">
        <f>E80-$K17</f>
        <v>94</v>
      </c>
      <c r="G80" s="1862">
        <f>F80-$K17</f>
        <v>92</v>
      </c>
      <c r="H80" s="1862"/>
      <c r="I80" s="1862"/>
      <c r="J80" s="1862"/>
      <c r="K80" s="1862"/>
      <c r="L80" s="1862"/>
      <c r="M80" s="1863"/>
      <c r="N80" s="3015"/>
      <c r="O80" s="3015"/>
      <c r="P80" s="2057"/>
      <c r="Q80" s="1821"/>
    </row>
    <row r="81" spans="1:17" ht="15.75" thickTop="1">
      <c r="A81" s="1853"/>
      <c r="B81" s="1858" t="s">
        <v>2313</v>
      </c>
      <c r="C81" s="579" t="s">
        <v>2307</v>
      </c>
      <c r="D81" s="579" t="s">
        <v>2308</v>
      </c>
      <c r="E81" s="579" t="s">
        <v>2309</v>
      </c>
      <c r="F81" s="579" t="s">
        <v>2310</v>
      </c>
      <c r="G81" s="579" t="s">
        <v>2311</v>
      </c>
      <c r="H81" s="1859"/>
      <c r="I81" s="1859"/>
      <c r="J81" s="1859"/>
      <c r="K81" s="428"/>
      <c r="L81" s="428"/>
      <c r="M81" s="1860"/>
      <c r="N81" s="3014"/>
      <c r="O81" s="3014"/>
      <c r="P81" s="2057"/>
      <c r="Q81" s="1821"/>
    </row>
    <row r="82" spans="1:17" ht="15.75" thickBot="1">
      <c r="A82" s="1853"/>
      <c r="B82" s="1861"/>
      <c r="C82" s="1862">
        <v>100</v>
      </c>
      <c r="D82" s="1862">
        <f>C82-$K19</f>
        <v>98</v>
      </c>
      <c r="E82" s="1862">
        <f>D82-$K19</f>
        <v>96</v>
      </c>
      <c r="F82" s="1862">
        <f>E82-$K19</f>
        <v>94</v>
      </c>
      <c r="G82" s="1862">
        <f>F82-$K19</f>
        <v>92</v>
      </c>
      <c r="H82" s="1862"/>
      <c r="I82" s="1862"/>
      <c r="J82" s="1862"/>
      <c r="K82" s="1862"/>
      <c r="L82" s="1862"/>
      <c r="M82" s="1863"/>
      <c r="N82" s="3015"/>
      <c r="O82" s="3015"/>
      <c r="P82" s="2057"/>
      <c r="Q82" s="1821"/>
    </row>
    <row r="83" spans="1:17" ht="15.75" thickTop="1">
      <c r="A83" s="1853"/>
      <c r="B83" s="1864" t="s">
        <v>2356</v>
      </c>
      <c r="C83" s="1859" t="s">
        <v>2314</v>
      </c>
      <c r="D83" s="1859" t="s">
        <v>2315</v>
      </c>
      <c r="E83" s="1859" t="s">
        <v>2316</v>
      </c>
      <c r="F83" s="1859" t="s">
        <v>2317</v>
      </c>
      <c r="G83" s="1859" t="s">
        <v>2318</v>
      </c>
      <c r="H83" s="1859"/>
      <c r="I83" s="1859"/>
      <c r="J83" s="1859"/>
      <c r="K83" s="1859"/>
      <c r="L83" s="1859"/>
      <c r="M83" s="1887"/>
      <c r="N83" s="3015"/>
      <c r="O83" s="3015"/>
      <c r="P83" s="2057"/>
      <c r="Q83" s="1821"/>
    </row>
    <row r="84" spans="1:17" ht="15.75" thickBot="1">
      <c r="A84" s="1853"/>
      <c r="B84" s="1864"/>
      <c r="C84" s="1862">
        <v>100</v>
      </c>
      <c r="D84" s="1862">
        <f>C84-$K21</f>
        <v>99</v>
      </c>
      <c r="E84" s="1862">
        <f>D84-$K21</f>
        <v>98</v>
      </c>
      <c r="F84" s="1862">
        <f>E84-$K21</f>
        <v>97</v>
      </c>
      <c r="G84" s="1862">
        <f>F84-$K21</f>
        <v>96</v>
      </c>
      <c r="H84" s="1888"/>
      <c r="I84" s="1888"/>
      <c r="J84" s="1888"/>
      <c r="K84" s="1888"/>
      <c r="L84" s="1888"/>
      <c r="M84" s="1735"/>
      <c r="N84" s="3015"/>
      <c r="O84" s="3015"/>
      <c r="P84" s="2057"/>
      <c r="Q84" s="1821"/>
    </row>
    <row r="85" spans="1:17" ht="15.75" thickTop="1">
      <c r="A85" s="1853"/>
      <c r="B85" s="1858" t="s">
        <v>2395</v>
      </c>
      <c r="C85" s="579" t="s">
        <v>2307</v>
      </c>
      <c r="D85" s="579" t="s">
        <v>2308</v>
      </c>
      <c r="E85" s="579" t="s">
        <v>2309</v>
      </c>
      <c r="F85" s="579" t="s">
        <v>2310</v>
      </c>
      <c r="G85" s="579" t="s">
        <v>2311</v>
      </c>
      <c r="H85" s="1859"/>
      <c r="I85" s="1859"/>
      <c r="J85" s="1859"/>
      <c r="K85" s="428"/>
      <c r="L85" s="428"/>
      <c r="M85" s="1860"/>
      <c r="N85" s="3014"/>
      <c r="O85" s="3014"/>
      <c r="P85" s="2057"/>
      <c r="Q85" s="1821"/>
    </row>
    <row r="86" spans="1:17" ht="15.75" thickBot="1">
      <c r="A86" s="1853"/>
      <c r="B86" s="1861"/>
      <c r="C86" s="1862">
        <v>100</v>
      </c>
      <c r="D86" s="1862">
        <f>C86-$K23</f>
        <v>98</v>
      </c>
      <c r="E86" s="1862">
        <f>D86-$K23</f>
        <v>96</v>
      </c>
      <c r="F86" s="1862">
        <f>E86-$K23</f>
        <v>94</v>
      </c>
      <c r="G86" s="1862">
        <f>F86-$K23</f>
        <v>92</v>
      </c>
      <c r="H86" s="1862"/>
      <c r="I86" s="1862"/>
      <c r="J86" s="1862"/>
      <c r="K86" s="1862"/>
      <c r="L86" s="1862"/>
      <c r="M86" s="1863"/>
      <c r="N86" s="3015"/>
      <c r="O86" s="3015"/>
      <c r="P86" s="2057"/>
      <c r="Q86" s="1821"/>
    </row>
    <row r="87" spans="1:17" s="1684" customFormat="1" ht="27.75" thickTop="1">
      <c r="A87" s="1889"/>
      <c r="B87" s="1858" t="s">
        <v>2396</v>
      </c>
      <c r="C87" s="3452" t="s">
        <v>3355</v>
      </c>
      <c r="D87" s="3158" t="s">
        <v>3356</v>
      </c>
      <c r="E87" s="3158" t="s">
        <v>3357</v>
      </c>
      <c r="F87" s="3158" t="s">
        <v>4986</v>
      </c>
      <c r="G87" s="468"/>
      <c r="H87" s="468"/>
      <c r="I87" s="468"/>
      <c r="J87" s="468"/>
      <c r="K87" s="468"/>
      <c r="L87" s="468"/>
      <c r="M87" s="1890"/>
      <c r="N87" s="3013"/>
      <c r="O87" s="3013"/>
      <c r="P87" s="2057"/>
      <c r="Q87" s="1821"/>
    </row>
    <row r="88" spans="1:17" s="1684" customFormat="1" ht="15.75" thickBot="1">
      <c r="A88" s="1889"/>
      <c r="B88" s="1861"/>
      <c r="C88" s="1891">
        <v>100</v>
      </c>
      <c r="D88" s="1862">
        <f t="shared" ref="D88:M88" si="19">C88-$K25</f>
        <v>98</v>
      </c>
      <c r="E88" s="1862">
        <f t="shared" si="19"/>
        <v>96</v>
      </c>
      <c r="F88" s="1862">
        <f t="shared" si="19"/>
        <v>94</v>
      </c>
      <c r="G88" s="1862">
        <f t="shared" si="19"/>
        <v>92</v>
      </c>
      <c r="H88" s="1862">
        <f t="shared" si="19"/>
        <v>90</v>
      </c>
      <c r="I88" s="1862">
        <f t="shared" si="19"/>
        <v>88</v>
      </c>
      <c r="J88" s="1862">
        <f t="shared" si="19"/>
        <v>86</v>
      </c>
      <c r="K88" s="1862">
        <f t="shared" si="19"/>
        <v>84</v>
      </c>
      <c r="L88" s="1862">
        <f t="shared" si="19"/>
        <v>82</v>
      </c>
      <c r="M88" s="1862">
        <f t="shared" si="19"/>
        <v>80</v>
      </c>
      <c r="N88" s="3015"/>
      <c r="O88" s="3015"/>
      <c r="P88" s="2057"/>
      <c r="Q88" s="1821"/>
    </row>
    <row r="89" spans="1:17" s="1684" customFormat="1" ht="15.75" thickTop="1">
      <c r="A89" s="1889"/>
      <c r="B89" s="1858" t="str">
        <f>B27</f>
        <v>楼层</v>
      </c>
      <c r="C89" s="3158" t="s">
        <v>4989</v>
      </c>
      <c r="D89" s="3158" t="s">
        <v>4991</v>
      </c>
      <c r="E89" s="3158"/>
      <c r="F89" s="1892"/>
      <c r="G89" s="468"/>
      <c r="H89" s="468"/>
      <c r="I89" s="468"/>
      <c r="J89" s="468"/>
      <c r="K89" s="468"/>
      <c r="L89" s="468"/>
      <c r="M89" s="1890"/>
      <c r="N89" s="3013"/>
      <c r="O89" s="3013"/>
      <c r="P89" s="2057"/>
      <c r="Q89" s="1821"/>
    </row>
    <row r="90" spans="1:17" s="1684" customFormat="1" ht="15.75" thickBot="1">
      <c r="A90" s="1889"/>
      <c r="B90" s="1861"/>
      <c r="C90" s="1891">
        <v>100</v>
      </c>
      <c r="D90" s="1862">
        <f>C90-$K27</f>
        <v>98</v>
      </c>
      <c r="E90" s="1862">
        <f t="shared" ref="E90:M90" si="20">D90-$K27</f>
        <v>96</v>
      </c>
      <c r="F90" s="1862">
        <f t="shared" si="20"/>
        <v>94</v>
      </c>
      <c r="G90" s="1862">
        <f t="shared" si="20"/>
        <v>92</v>
      </c>
      <c r="H90" s="1862">
        <f t="shared" si="20"/>
        <v>90</v>
      </c>
      <c r="I90" s="1862">
        <f t="shared" si="20"/>
        <v>88</v>
      </c>
      <c r="J90" s="1862">
        <f t="shared" si="20"/>
        <v>86</v>
      </c>
      <c r="K90" s="1862">
        <f t="shared" si="20"/>
        <v>84</v>
      </c>
      <c r="L90" s="1862">
        <f t="shared" si="20"/>
        <v>82</v>
      </c>
      <c r="M90" s="1862">
        <f t="shared" si="20"/>
        <v>80</v>
      </c>
      <c r="N90" s="3015"/>
      <c r="O90" s="3015"/>
      <c r="P90" s="2057"/>
      <c r="Q90" s="1821"/>
    </row>
    <row r="91" spans="1:17" s="1771" customFormat="1" ht="15.75" thickTop="1">
      <c r="A91" s="1869"/>
      <c r="B91" s="1858" t="str">
        <f>B28</f>
        <v>朝向</v>
      </c>
      <c r="C91" s="3158" t="s">
        <v>2900</v>
      </c>
      <c r="D91" s="3158" t="s">
        <v>2901</v>
      </c>
      <c r="E91" s="3158" t="s">
        <v>2902</v>
      </c>
      <c r="F91" s="3158" t="s">
        <v>2903</v>
      </c>
      <c r="G91" s="3158" t="s">
        <v>2904</v>
      </c>
      <c r="H91" s="443"/>
      <c r="I91" s="443"/>
      <c r="J91" s="443"/>
      <c r="K91" s="443"/>
      <c r="L91" s="443"/>
      <c r="M91" s="1870"/>
      <c r="N91" s="3016"/>
      <c r="O91" s="3016"/>
      <c r="P91" s="2058"/>
      <c r="Q91" s="1873"/>
    </row>
    <row r="92" spans="1:17" s="1771" customFormat="1" ht="15.75" thickBot="1">
      <c r="A92" s="1869"/>
      <c r="B92" s="1861"/>
      <c r="C92" s="1891">
        <v>100</v>
      </c>
      <c r="D92" s="1862">
        <f t="shared" ref="D92:M92" si="21">C92-$K28</f>
        <v>98</v>
      </c>
      <c r="E92" s="1862">
        <f t="shared" si="21"/>
        <v>96</v>
      </c>
      <c r="F92" s="1862">
        <f t="shared" si="21"/>
        <v>94</v>
      </c>
      <c r="G92" s="1862">
        <f t="shared" si="21"/>
        <v>92</v>
      </c>
      <c r="H92" s="1862">
        <f t="shared" si="21"/>
        <v>90</v>
      </c>
      <c r="I92" s="1862">
        <f t="shared" si="21"/>
        <v>88</v>
      </c>
      <c r="J92" s="1862">
        <f t="shared" si="21"/>
        <v>86</v>
      </c>
      <c r="K92" s="1862">
        <f t="shared" si="21"/>
        <v>84</v>
      </c>
      <c r="L92" s="1862">
        <f t="shared" si="21"/>
        <v>82</v>
      </c>
      <c r="M92" s="1862">
        <f t="shared" si="21"/>
        <v>80</v>
      </c>
      <c r="N92" s="3016"/>
      <c r="O92" s="3016"/>
      <c r="P92" s="2058"/>
      <c r="Q92" s="1873"/>
    </row>
    <row r="93" spans="1:17" ht="15.75" thickTop="1">
      <c r="A93" s="1853"/>
      <c r="B93" s="1858">
        <f>B47</f>
        <v>0</v>
      </c>
      <c r="C93" s="468"/>
      <c r="D93" s="468"/>
      <c r="E93" s="468"/>
      <c r="F93" s="468"/>
      <c r="G93" s="468"/>
      <c r="H93" s="468"/>
      <c r="I93" s="468"/>
      <c r="J93" s="468"/>
      <c r="K93" s="468"/>
      <c r="L93" s="468"/>
      <c r="M93" s="1890"/>
      <c r="N93" s="3014"/>
      <c r="O93" s="3014"/>
      <c r="P93" s="2057"/>
      <c r="Q93" s="1821"/>
    </row>
    <row r="94" spans="1:17" ht="15.75" thickBot="1">
      <c r="A94" s="1853"/>
      <c r="B94" s="1861"/>
      <c r="C94" s="1874"/>
      <c r="D94" s="1855"/>
      <c r="E94" s="1855"/>
      <c r="F94" s="1855"/>
      <c r="G94" s="1855"/>
      <c r="H94" s="1855"/>
      <c r="I94" s="1855"/>
      <c r="J94" s="1855"/>
      <c r="K94" s="1855"/>
      <c r="L94" s="1855"/>
      <c r="M94" s="1856"/>
      <c r="N94" s="3015"/>
      <c r="O94" s="3015"/>
      <c r="P94" s="2057"/>
      <c r="Q94" s="1821"/>
    </row>
    <row r="95" spans="1:17" ht="15.75" thickTop="1">
      <c r="A95" s="1853"/>
      <c r="B95" s="1858">
        <f>B30</f>
        <v>111</v>
      </c>
      <c r="C95" s="468"/>
      <c r="D95" s="468"/>
      <c r="E95" s="468"/>
      <c r="F95" s="468"/>
      <c r="G95" s="1578"/>
      <c r="H95" s="1578"/>
      <c r="I95" s="1578"/>
      <c r="J95" s="1578"/>
      <c r="K95" s="473"/>
      <c r="L95" s="473"/>
      <c r="M95" s="1893"/>
      <c r="N95" s="3014"/>
      <c r="O95" s="3014"/>
      <c r="P95" s="2057"/>
      <c r="Q95" s="1821"/>
    </row>
    <row r="96" spans="1:17" ht="15.75" thickBot="1">
      <c r="A96" s="1853"/>
      <c r="B96" s="1861"/>
      <c r="C96" s="1874"/>
      <c r="D96" s="1874"/>
      <c r="E96" s="1874"/>
      <c r="F96" s="1874"/>
      <c r="G96" s="1855"/>
      <c r="H96" s="1855"/>
      <c r="I96" s="1855"/>
      <c r="J96" s="1855"/>
      <c r="K96" s="1855"/>
      <c r="L96" s="1855"/>
      <c r="M96" s="1856"/>
      <c r="N96" s="3015"/>
      <c r="O96" s="3015"/>
      <c r="P96" s="2057"/>
      <c r="Q96" s="1821"/>
    </row>
    <row r="97" spans="1:17" ht="15.75" thickTop="1">
      <c r="A97" s="1853"/>
      <c r="B97" s="1858">
        <f>B31</f>
        <v>111</v>
      </c>
      <c r="C97" s="468"/>
      <c r="D97" s="468"/>
      <c r="E97" s="468"/>
      <c r="F97" s="468"/>
      <c r="G97" s="1578"/>
      <c r="H97" s="1578"/>
      <c r="I97" s="1578"/>
      <c r="J97" s="1578"/>
      <c r="K97" s="473"/>
      <c r="L97" s="473"/>
      <c r="M97" s="1893"/>
      <c r="N97" s="3014"/>
      <c r="O97" s="3014"/>
      <c r="P97" s="2057"/>
      <c r="Q97" s="1821"/>
    </row>
    <row r="98" spans="1:17" ht="15.75" thickBot="1">
      <c r="A98" s="1853"/>
      <c r="B98" s="1861"/>
      <c r="C98" s="1874"/>
      <c r="D98" s="1855"/>
      <c r="E98" s="1855"/>
      <c r="F98" s="1855"/>
      <c r="G98" s="1855"/>
      <c r="H98" s="1855"/>
      <c r="I98" s="1855"/>
      <c r="J98" s="1855"/>
      <c r="K98" s="1855"/>
      <c r="L98" s="1855"/>
      <c r="M98" s="1856"/>
      <c r="N98" s="3015"/>
      <c r="O98" s="3015"/>
      <c r="P98" s="2057"/>
      <c r="Q98" s="1821"/>
    </row>
    <row r="99" spans="1:17" ht="15.75" thickTop="1">
      <c r="A99" s="1853"/>
      <c r="B99" s="1864">
        <f>B32</f>
        <v>111</v>
      </c>
      <c r="C99" s="409"/>
      <c r="D99" s="409"/>
      <c r="E99" s="409"/>
      <c r="F99" s="409"/>
      <c r="G99" s="1894"/>
      <c r="H99" s="1894"/>
      <c r="I99" s="1894"/>
      <c r="J99" s="1894"/>
      <c r="K99" s="477"/>
      <c r="L99" s="477"/>
      <c r="M99" s="1895"/>
      <c r="N99" s="3014"/>
      <c r="O99" s="3014"/>
      <c r="P99" s="2057"/>
      <c r="Q99" s="1821"/>
    </row>
    <row r="100" spans="1:17" ht="15.75" thickBot="1">
      <c r="A100" s="1896"/>
      <c r="B100" s="1881"/>
      <c r="C100" s="1882"/>
      <c r="D100" s="1882"/>
      <c r="E100" s="1882"/>
      <c r="F100" s="1882"/>
      <c r="G100" s="1897"/>
      <c r="H100" s="1897"/>
      <c r="I100" s="1897"/>
      <c r="J100" s="1897"/>
      <c r="K100" s="1897"/>
      <c r="L100" s="1897"/>
      <c r="M100" s="1898"/>
      <c r="N100" s="3015"/>
      <c r="O100" s="3015"/>
      <c r="P100" s="2057"/>
      <c r="Q100" s="1821"/>
    </row>
    <row r="101" spans="1:17">
      <c r="A101" s="1846" t="s">
        <v>2273</v>
      </c>
      <c r="B101" s="1847" t="s">
        <v>2322</v>
      </c>
      <c r="C101" s="3859" t="s">
        <v>4242</v>
      </c>
      <c r="D101" s="3451" t="s">
        <v>3352</v>
      </c>
      <c r="E101" s="3451" t="s">
        <v>3353</v>
      </c>
      <c r="F101" s="3451" t="s">
        <v>3523</v>
      </c>
      <c r="G101" s="1849"/>
      <c r="H101" s="1849"/>
      <c r="I101" s="1849"/>
      <c r="J101" s="1849"/>
      <c r="K101" s="417"/>
      <c r="L101" s="417"/>
      <c r="M101" s="1850"/>
      <c r="N101" s="3014"/>
      <c r="O101" s="3014"/>
      <c r="P101" s="2057"/>
      <c r="Q101" s="1821"/>
    </row>
    <row r="102" spans="1:17" ht="15.75" thickBot="1">
      <c r="A102" s="1853"/>
      <c r="B102" s="1861"/>
      <c r="C102" s="1862">
        <v>100</v>
      </c>
      <c r="D102" s="1862">
        <f t="shared" ref="D102:M102" si="22">C102-$K33</f>
        <v>99</v>
      </c>
      <c r="E102" s="1862">
        <f t="shared" si="22"/>
        <v>98</v>
      </c>
      <c r="F102" s="1862">
        <f t="shared" si="22"/>
        <v>97</v>
      </c>
      <c r="G102" s="1862">
        <f t="shared" si="22"/>
        <v>96</v>
      </c>
      <c r="H102" s="1862">
        <f t="shared" si="22"/>
        <v>95</v>
      </c>
      <c r="I102" s="1862">
        <f t="shared" si="22"/>
        <v>94</v>
      </c>
      <c r="J102" s="1862">
        <f t="shared" si="22"/>
        <v>93</v>
      </c>
      <c r="K102" s="1862">
        <f t="shared" si="22"/>
        <v>92</v>
      </c>
      <c r="L102" s="1862">
        <f t="shared" si="22"/>
        <v>91</v>
      </c>
      <c r="M102" s="1863">
        <f t="shared" si="22"/>
        <v>90</v>
      </c>
      <c r="N102" s="3015"/>
      <c r="O102" s="3015"/>
      <c r="P102" s="2057"/>
      <c r="Q102" s="1821"/>
    </row>
    <row r="103" spans="1:17" ht="29.25" thickTop="1">
      <c r="A103" s="1853"/>
      <c r="B103" s="1858" t="s">
        <v>2323</v>
      </c>
      <c r="C103" s="579" t="str">
        <f>C104&amp;"(含)"&amp;"-"&amp;D104</f>
        <v>0(含)-500</v>
      </c>
      <c r="D103" s="579" t="str">
        <f t="shared" ref="D103:L103" si="23">D104&amp;"(含)"&amp;"-"&amp;E104</f>
        <v>500(含)-1000</v>
      </c>
      <c r="E103" s="579" t="str">
        <f t="shared" si="23"/>
        <v>1000(含)-1500</v>
      </c>
      <c r="F103" s="579" t="str">
        <f t="shared" si="23"/>
        <v>1500(含)-2000</v>
      </c>
      <c r="G103" s="579" t="str">
        <f t="shared" si="23"/>
        <v>2000(含)-2500</v>
      </c>
      <c r="H103" s="579" t="str">
        <f t="shared" si="23"/>
        <v>2500(含)-</v>
      </c>
      <c r="I103" s="579" t="str">
        <f t="shared" si="23"/>
        <v>(含)-</v>
      </c>
      <c r="J103" s="579" t="str">
        <f t="shared" si="23"/>
        <v>(含)-</v>
      </c>
      <c r="K103" s="579" t="str">
        <f t="shared" si="23"/>
        <v>(含)-</v>
      </c>
      <c r="L103" s="579" t="str">
        <f t="shared" si="23"/>
        <v>(含)-</v>
      </c>
      <c r="M103" s="2060" t="str">
        <f>M104&amp;"(含)"&amp;"-"&amp;P104</f>
        <v>(含)-</v>
      </c>
      <c r="N103" s="3013"/>
      <c r="O103" s="3013"/>
      <c r="P103" s="2057"/>
      <c r="Q103" s="1821"/>
    </row>
    <row r="104" spans="1:17" s="1771" customFormat="1">
      <c r="A104" s="1899"/>
      <c r="B104" s="1900"/>
      <c r="C104" s="1901">
        <v>0</v>
      </c>
      <c r="D104" s="1901">
        <v>500</v>
      </c>
      <c r="E104" s="1901">
        <v>1000</v>
      </c>
      <c r="F104" s="1901">
        <v>1500</v>
      </c>
      <c r="G104" s="1901">
        <v>2000</v>
      </c>
      <c r="H104" s="1901">
        <v>2500</v>
      </c>
      <c r="I104" s="1901"/>
      <c r="J104" s="485"/>
      <c r="K104" s="485"/>
      <c r="L104" s="485"/>
      <c r="M104" s="1902"/>
      <c r="N104" s="3016"/>
      <c r="O104" s="3016"/>
      <c r="P104" s="2058"/>
      <c r="Q104" s="1873"/>
    </row>
    <row r="105" spans="1:17" s="1771" customFormat="1" ht="15.75" thickBot="1">
      <c r="A105" s="1869"/>
      <c r="B105" s="1861"/>
      <c r="C105" s="1874">
        <v>100</v>
      </c>
      <c r="D105" s="1855">
        <v>99</v>
      </c>
      <c r="E105" s="1855">
        <v>98</v>
      </c>
      <c r="F105" s="1855">
        <v>97</v>
      </c>
      <c r="G105" s="1855">
        <v>96</v>
      </c>
      <c r="H105" s="1855">
        <v>95</v>
      </c>
      <c r="I105" s="1855"/>
      <c r="J105" s="1855"/>
      <c r="K105" s="1855"/>
      <c r="L105" s="1855"/>
      <c r="M105" s="1856"/>
      <c r="N105" s="3015"/>
      <c r="O105" s="3015"/>
      <c r="P105" s="2058"/>
      <c r="Q105" s="1873"/>
    </row>
    <row r="106" spans="1:17" ht="15" thickTop="1">
      <c r="A106" s="1903"/>
      <c r="B106" s="1858" t="s">
        <v>2324</v>
      </c>
      <c r="C106" s="3158" t="s">
        <v>3354</v>
      </c>
      <c r="D106" s="468"/>
      <c r="E106" s="1578"/>
      <c r="F106" s="1578"/>
      <c r="G106" s="1578"/>
      <c r="H106" s="1578"/>
      <c r="I106" s="1578"/>
      <c r="J106" s="1578"/>
      <c r="K106" s="473"/>
      <c r="L106" s="473"/>
      <c r="M106" s="1893"/>
      <c r="N106" s="3014"/>
      <c r="O106" s="3014"/>
      <c r="P106" s="2057"/>
      <c r="Q106" s="1821"/>
    </row>
    <row r="107" spans="1:17" ht="15.75" thickBot="1">
      <c r="A107" s="1853"/>
      <c r="B107" s="1861"/>
      <c r="C107" s="1862">
        <v>100</v>
      </c>
      <c r="D107" s="1862">
        <f t="shared" ref="D107:M107" si="24">C107-$K35</f>
        <v>99</v>
      </c>
      <c r="E107" s="1862">
        <f t="shared" si="24"/>
        <v>98</v>
      </c>
      <c r="F107" s="1862">
        <f t="shared" si="24"/>
        <v>97</v>
      </c>
      <c r="G107" s="1862">
        <f t="shared" si="24"/>
        <v>96</v>
      </c>
      <c r="H107" s="1862">
        <f t="shared" si="24"/>
        <v>95</v>
      </c>
      <c r="I107" s="1862">
        <f t="shared" si="24"/>
        <v>94</v>
      </c>
      <c r="J107" s="1862">
        <f t="shared" si="24"/>
        <v>93</v>
      </c>
      <c r="K107" s="1862">
        <f t="shared" si="24"/>
        <v>92</v>
      </c>
      <c r="L107" s="1862">
        <f t="shared" si="24"/>
        <v>91</v>
      </c>
      <c r="M107" s="1863">
        <f t="shared" si="24"/>
        <v>90</v>
      </c>
      <c r="N107" s="3015"/>
      <c r="O107" s="3015"/>
      <c r="P107" s="2057"/>
      <c r="Q107" s="1821"/>
    </row>
    <row r="108" spans="1:17" ht="15" thickTop="1">
      <c r="A108" s="1903"/>
      <c r="B108" s="1858" t="s">
        <v>2326</v>
      </c>
      <c r="C108" s="3158" t="s">
        <v>3517</v>
      </c>
      <c r="D108" s="3158" t="s">
        <v>3518</v>
      </c>
      <c r="E108" s="468"/>
      <c r="F108" s="1578"/>
      <c r="G108" s="1578"/>
      <c r="H108" s="1578"/>
      <c r="I108" s="1578"/>
      <c r="J108" s="1578"/>
      <c r="K108" s="473"/>
      <c r="L108" s="473"/>
      <c r="M108" s="1893"/>
      <c r="N108" s="3014"/>
      <c r="O108" s="3014"/>
      <c r="P108" s="2057"/>
      <c r="Q108" s="1821"/>
    </row>
    <row r="109" spans="1:17" ht="15.75" thickBot="1">
      <c r="A109" s="1853"/>
      <c r="B109" s="1861"/>
      <c r="C109" s="1862">
        <v>100</v>
      </c>
      <c r="D109" s="1862">
        <f t="shared" ref="D109:M109" si="25">C109-$K36</f>
        <v>98</v>
      </c>
      <c r="E109" s="1862">
        <f t="shared" si="25"/>
        <v>96</v>
      </c>
      <c r="F109" s="1862">
        <f t="shared" si="25"/>
        <v>94</v>
      </c>
      <c r="G109" s="1862">
        <f t="shared" si="25"/>
        <v>92</v>
      </c>
      <c r="H109" s="1862">
        <f t="shared" si="25"/>
        <v>90</v>
      </c>
      <c r="I109" s="1862">
        <f t="shared" si="25"/>
        <v>88</v>
      </c>
      <c r="J109" s="1862">
        <f t="shared" si="25"/>
        <v>86</v>
      </c>
      <c r="K109" s="1862">
        <f t="shared" si="25"/>
        <v>84</v>
      </c>
      <c r="L109" s="1862">
        <f t="shared" si="25"/>
        <v>82</v>
      </c>
      <c r="M109" s="1863">
        <f t="shared" si="25"/>
        <v>80</v>
      </c>
      <c r="N109" s="3015"/>
      <c r="O109" s="3015"/>
      <c r="P109" s="2057"/>
      <c r="Q109" s="1821"/>
    </row>
    <row r="110" spans="1:17" ht="15" thickTop="1">
      <c r="A110" s="1903"/>
      <c r="B110" s="1858" t="s">
        <v>2327</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8"/>
      <c r="J110" s="1578"/>
      <c r="K110" s="473"/>
      <c r="L110" s="473"/>
      <c r="M110" s="1893"/>
      <c r="N110" s="3014"/>
      <c r="O110" s="3014"/>
      <c r="P110" s="2057"/>
      <c r="Q110" s="1821"/>
    </row>
    <row r="111" spans="1:17">
      <c r="A111" s="1903"/>
      <c r="B111" s="1864"/>
      <c r="C111" s="1905">
        <v>0.5</v>
      </c>
      <c r="D111" s="1905">
        <v>0.6</v>
      </c>
      <c r="E111" s="1905">
        <v>0.7</v>
      </c>
      <c r="F111" s="1905">
        <v>0.8</v>
      </c>
      <c r="G111" s="1905">
        <v>0.9</v>
      </c>
      <c r="H111" s="1905">
        <v>1</v>
      </c>
      <c r="I111" s="2482"/>
      <c r="J111" s="2482"/>
      <c r="K111" s="508"/>
      <c r="L111" s="508"/>
      <c r="M111" s="2483"/>
      <c r="N111" s="3014"/>
      <c r="O111" s="3014"/>
      <c r="P111" s="2057"/>
      <c r="Q111" s="1821"/>
    </row>
    <row r="112" spans="1:17" ht="15.75" thickBot="1">
      <c r="A112" s="1853"/>
      <c r="B112" s="1861"/>
      <c r="C112" s="1891">
        <v>100</v>
      </c>
      <c r="D112" s="1862">
        <f>C112+$K37</f>
        <v>101</v>
      </c>
      <c r="E112" s="1862">
        <f t="shared" ref="E112:M112" si="26">D112+$K37</f>
        <v>102</v>
      </c>
      <c r="F112" s="1862">
        <f t="shared" si="26"/>
        <v>103</v>
      </c>
      <c r="G112" s="1862">
        <f t="shared" si="26"/>
        <v>104</v>
      </c>
      <c r="H112" s="1862">
        <f t="shared" si="26"/>
        <v>105</v>
      </c>
      <c r="I112" s="1862">
        <f t="shared" si="26"/>
        <v>106</v>
      </c>
      <c r="J112" s="1862">
        <f t="shared" si="26"/>
        <v>107</v>
      </c>
      <c r="K112" s="1862">
        <f t="shared" si="26"/>
        <v>108</v>
      </c>
      <c r="L112" s="1862">
        <f t="shared" si="26"/>
        <v>109</v>
      </c>
      <c r="M112" s="1862">
        <f t="shared" si="26"/>
        <v>110</v>
      </c>
      <c r="N112" s="3015"/>
      <c r="O112" s="3015"/>
      <c r="P112" s="2057"/>
      <c r="Q112" s="1821"/>
    </row>
    <row r="113" spans="1:17" s="1771" customFormat="1" ht="15" thickTop="1">
      <c r="A113" s="1899"/>
      <c r="B113" s="1858" t="s">
        <v>2397</v>
      </c>
      <c r="C113" s="3158" t="s">
        <v>3519</v>
      </c>
      <c r="D113" s="4115" t="s">
        <v>4992</v>
      </c>
      <c r="E113" s="3158" t="s">
        <v>3520</v>
      </c>
      <c r="F113" s="468"/>
      <c r="G113" s="468"/>
      <c r="H113" s="1578"/>
      <c r="I113" s="1578"/>
      <c r="J113" s="1578"/>
      <c r="K113" s="473"/>
      <c r="L113" s="473"/>
      <c r="M113" s="1893"/>
      <c r="N113" s="3016"/>
      <c r="O113" s="3016"/>
      <c r="P113" s="2058"/>
      <c r="Q113" s="1873"/>
    </row>
    <row r="114" spans="1:17" s="1771" customFormat="1" ht="15.75" thickBot="1">
      <c r="A114" s="1869"/>
      <c r="B114" s="1861"/>
      <c r="C114" s="1862">
        <v>100</v>
      </c>
      <c r="D114" s="1862">
        <f>C114-$K38</f>
        <v>98</v>
      </c>
      <c r="E114" s="1862">
        <f t="shared" ref="E114:M114" si="27">D114-$K38</f>
        <v>96</v>
      </c>
      <c r="F114" s="1862">
        <f t="shared" si="27"/>
        <v>94</v>
      </c>
      <c r="G114" s="1862">
        <f t="shared" si="27"/>
        <v>92</v>
      </c>
      <c r="H114" s="1862">
        <f t="shared" si="27"/>
        <v>90</v>
      </c>
      <c r="I114" s="1862">
        <f t="shared" si="27"/>
        <v>88</v>
      </c>
      <c r="J114" s="1862">
        <f t="shared" si="27"/>
        <v>86</v>
      </c>
      <c r="K114" s="1862">
        <f t="shared" si="27"/>
        <v>84</v>
      </c>
      <c r="L114" s="1862">
        <f t="shared" si="27"/>
        <v>82</v>
      </c>
      <c r="M114" s="1862">
        <f t="shared" si="27"/>
        <v>80</v>
      </c>
      <c r="N114" s="3016"/>
      <c r="O114" s="3016"/>
      <c r="P114" s="2058"/>
      <c r="Q114" s="1873"/>
    </row>
    <row r="115" spans="1:17" ht="15" thickTop="1">
      <c r="A115" s="1903"/>
      <c r="B115" s="1858" t="s">
        <v>2328</v>
      </c>
      <c r="C115" s="3158" t="s">
        <v>3521</v>
      </c>
      <c r="D115" s="468"/>
      <c r="E115" s="1578"/>
      <c r="F115" s="1578"/>
      <c r="G115" s="1578"/>
      <c r="H115" s="1578"/>
      <c r="I115" s="1578"/>
      <c r="J115" s="1578"/>
      <c r="K115" s="473"/>
      <c r="L115" s="473"/>
      <c r="M115" s="1893"/>
      <c r="N115" s="3014"/>
      <c r="O115" s="3014"/>
      <c r="P115" s="2057"/>
      <c r="Q115" s="1821"/>
    </row>
    <row r="116" spans="1:17" ht="15.75" thickBot="1">
      <c r="A116" s="1853"/>
      <c r="B116" s="1861"/>
      <c r="C116" s="1862">
        <v>100</v>
      </c>
      <c r="D116" s="1862">
        <f t="shared" ref="D116:M116" si="28">C116-$K39</f>
        <v>100</v>
      </c>
      <c r="E116" s="1862">
        <f t="shared" si="28"/>
        <v>100</v>
      </c>
      <c r="F116" s="1862">
        <f t="shared" si="28"/>
        <v>100</v>
      </c>
      <c r="G116" s="1862">
        <f t="shared" si="28"/>
        <v>100</v>
      </c>
      <c r="H116" s="1862">
        <f t="shared" si="28"/>
        <v>100</v>
      </c>
      <c r="I116" s="1862">
        <f t="shared" si="28"/>
        <v>100</v>
      </c>
      <c r="J116" s="1862">
        <f t="shared" si="28"/>
        <v>100</v>
      </c>
      <c r="K116" s="1862">
        <f t="shared" si="28"/>
        <v>100</v>
      </c>
      <c r="L116" s="1862">
        <f t="shared" si="28"/>
        <v>100</v>
      </c>
      <c r="M116" s="1863">
        <f t="shared" si="28"/>
        <v>100</v>
      </c>
      <c r="N116" s="3015"/>
      <c r="O116" s="3015"/>
      <c r="P116" s="2057"/>
      <c r="Q116" s="1821"/>
    </row>
    <row r="117" spans="1:17" ht="15" thickTop="1">
      <c r="A117" s="1903"/>
      <c r="B117" s="1858" t="s">
        <v>2329</v>
      </c>
      <c r="C117" s="3158" t="s">
        <v>3522</v>
      </c>
      <c r="D117" s="468"/>
      <c r="E117" s="468"/>
      <c r="F117" s="468"/>
      <c r="G117" s="468"/>
      <c r="H117" s="1578"/>
      <c r="I117" s="1578"/>
      <c r="J117" s="1578"/>
      <c r="K117" s="473"/>
      <c r="L117" s="473"/>
      <c r="M117" s="1893"/>
      <c r="N117" s="3014"/>
      <c r="O117" s="3014"/>
      <c r="P117" s="2057"/>
      <c r="Q117" s="1821"/>
    </row>
    <row r="118" spans="1:17" ht="15.75" thickBot="1">
      <c r="A118" s="1853"/>
      <c r="B118" s="1861"/>
      <c r="C118" s="1862">
        <v>100</v>
      </c>
      <c r="D118" s="1862">
        <f>C118-$K40</f>
        <v>100</v>
      </c>
      <c r="E118" s="1862">
        <f>D118-$K40</f>
        <v>100</v>
      </c>
      <c r="F118" s="1862">
        <f>E118-$K40</f>
        <v>100</v>
      </c>
      <c r="G118" s="1862">
        <f>F118-$K40</f>
        <v>100</v>
      </c>
      <c r="H118" s="1862"/>
      <c r="I118" s="1862"/>
      <c r="J118" s="1862"/>
      <c r="K118" s="1862"/>
      <c r="L118" s="1862"/>
      <c r="M118" s="1863"/>
      <c r="N118" s="3015"/>
      <c r="O118" s="3015"/>
      <c r="P118" s="2057"/>
      <c r="Q118" s="1821"/>
    </row>
    <row r="119" spans="1:17" ht="15" thickTop="1">
      <c r="A119" s="1903"/>
      <c r="B119" s="2504" t="s">
        <v>2398</v>
      </c>
      <c r="C119" s="3159" t="s">
        <v>4244</v>
      </c>
      <c r="D119" s="1578"/>
      <c r="E119" s="1578"/>
      <c r="F119" s="1578"/>
      <c r="G119" s="1578"/>
      <c r="H119" s="1578"/>
      <c r="I119" s="1578"/>
      <c r="J119" s="1578"/>
      <c r="K119" s="1578"/>
      <c r="L119" s="1578"/>
      <c r="M119" s="2505"/>
      <c r="N119" s="3015"/>
      <c r="O119" s="3015"/>
      <c r="P119" s="2506"/>
      <c r="Q119" s="2507"/>
    </row>
    <row r="120" spans="1:17" ht="15.75" thickBot="1">
      <c r="A120" s="1853"/>
      <c r="B120" s="1861"/>
      <c r="C120" s="1891">
        <v>100</v>
      </c>
      <c r="D120" s="1862">
        <f>C120-$K41</f>
        <v>100</v>
      </c>
      <c r="E120" s="1862">
        <f t="shared" ref="E120:M120" si="29">D120-$K41</f>
        <v>100</v>
      </c>
      <c r="F120" s="1862">
        <f t="shared" si="29"/>
        <v>100</v>
      </c>
      <c r="G120" s="1862">
        <f t="shared" si="29"/>
        <v>100</v>
      </c>
      <c r="H120" s="1862">
        <f t="shared" si="29"/>
        <v>100</v>
      </c>
      <c r="I120" s="1862">
        <f t="shared" si="29"/>
        <v>100</v>
      </c>
      <c r="J120" s="1862">
        <f t="shared" si="29"/>
        <v>100</v>
      </c>
      <c r="K120" s="1862">
        <f t="shared" si="29"/>
        <v>100</v>
      </c>
      <c r="L120" s="1862">
        <f t="shared" si="29"/>
        <v>100</v>
      </c>
      <c r="M120" s="1862">
        <f t="shared" si="29"/>
        <v>100</v>
      </c>
      <c r="N120" s="3015"/>
      <c r="O120" s="3015"/>
      <c r="P120" s="2057"/>
      <c r="Q120" s="1821"/>
    </row>
    <row r="121" spans="1:17" s="1771" customFormat="1" ht="15" thickTop="1">
      <c r="A121" s="1899"/>
      <c r="B121" s="1858" t="s">
        <v>2380</v>
      </c>
      <c r="C121" s="468"/>
      <c r="D121" s="468"/>
      <c r="E121" s="468"/>
      <c r="F121" s="1578"/>
      <c r="G121" s="443"/>
      <c r="H121" s="443"/>
      <c r="I121" s="443"/>
      <c r="J121" s="443"/>
      <c r="K121" s="443"/>
      <c r="L121" s="443"/>
      <c r="M121" s="1870"/>
      <c r="N121" s="3016"/>
      <c r="O121" s="3016"/>
      <c r="P121" s="2058"/>
      <c r="Q121" s="1873"/>
    </row>
    <row r="122" spans="1:17" s="1771" customFormat="1" ht="15.75" thickBot="1">
      <c r="A122" s="1869"/>
      <c r="B122" s="1854"/>
      <c r="C122" s="1874"/>
      <c r="D122" s="1874"/>
      <c r="E122" s="1874"/>
      <c r="F122" s="1874"/>
      <c r="G122" s="1874"/>
      <c r="H122" s="1874"/>
      <c r="I122" s="1874"/>
      <c r="J122" s="1874"/>
      <c r="K122" s="1874"/>
      <c r="L122" s="1874"/>
      <c r="M122" s="1874"/>
      <c r="N122" s="3016"/>
      <c r="O122" s="3016"/>
      <c r="P122" s="2058"/>
      <c r="Q122" s="1873"/>
    </row>
    <row r="123" spans="1:17" ht="15" thickTop="1">
      <c r="A123" s="1903"/>
      <c r="B123" s="1858" t="s">
        <v>2331</v>
      </c>
      <c r="C123" s="3158" t="s">
        <v>2895</v>
      </c>
      <c r="D123" s="3158" t="s">
        <v>2897</v>
      </c>
      <c r="E123" s="3158" t="s">
        <v>2898</v>
      </c>
      <c r="F123" s="3159" t="s">
        <v>2899</v>
      </c>
      <c r="G123" s="1578"/>
      <c r="H123" s="1578"/>
      <c r="I123" s="1578"/>
      <c r="J123" s="1578"/>
      <c r="K123" s="473"/>
      <c r="L123" s="473"/>
      <c r="M123" s="1893"/>
      <c r="N123" s="3014"/>
      <c r="O123" s="3014"/>
      <c r="P123" s="2057"/>
      <c r="Q123" s="1821"/>
    </row>
    <row r="124" spans="1:17" ht="15.75" thickBot="1">
      <c r="A124" s="1853"/>
      <c r="B124" s="1861"/>
      <c r="C124" s="1862">
        <v>100</v>
      </c>
      <c r="D124" s="1862">
        <f t="shared" ref="D124:M124" si="30">C124-$K43</f>
        <v>98</v>
      </c>
      <c r="E124" s="1862">
        <f t="shared" si="30"/>
        <v>96</v>
      </c>
      <c r="F124" s="1862">
        <f t="shared" si="30"/>
        <v>94</v>
      </c>
      <c r="G124" s="1862">
        <f t="shared" si="30"/>
        <v>92</v>
      </c>
      <c r="H124" s="1862">
        <f t="shared" si="30"/>
        <v>90</v>
      </c>
      <c r="I124" s="1862">
        <f t="shared" si="30"/>
        <v>88</v>
      </c>
      <c r="J124" s="1862">
        <f t="shared" si="30"/>
        <v>86</v>
      </c>
      <c r="K124" s="1862">
        <f t="shared" si="30"/>
        <v>84</v>
      </c>
      <c r="L124" s="1862">
        <f t="shared" si="30"/>
        <v>82</v>
      </c>
      <c r="M124" s="1863">
        <f t="shared" si="30"/>
        <v>80</v>
      </c>
      <c r="N124" s="3015"/>
      <c r="O124" s="3015"/>
      <c r="P124" s="2057"/>
      <c r="Q124" s="1821"/>
    </row>
    <row r="125" spans="1:17" ht="15" thickTop="1">
      <c r="A125" s="1903"/>
      <c r="B125" s="1858" t="s">
        <v>2332</v>
      </c>
      <c r="C125" s="579" t="s">
        <v>2307</v>
      </c>
      <c r="D125" s="579" t="s">
        <v>2308</v>
      </c>
      <c r="E125" s="579" t="s">
        <v>2309</v>
      </c>
      <c r="F125" s="579" t="s">
        <v>2310</v>
      </c>
      <c r="G125" s="579" t="s">
        <v>2311</v>
      </c>
      <c r="H125" s="1859"/>
      <c r="I125" s="1859"/>
      <c r="J125" s="1859"/>
      <c r="K125" s="428"/>
      <c r="L125" s="428"/>
      <c r="M125" s="1860"/>
      <c r="N125" s="3014"/>
      <c r="O125" s="3014"/>
      <c r="P125" s="2058"/>
      <c r="Q125" s="1821"/>
    </row>
    <row r="126" spans="1:17" ht="15.75" thickBot="1">
      <c r="A126" s="1853"/>
      <c r="B126" s="1861"/>
      <c r="C126" s="1862">
        <v>100</v>
      </c>
      <c r="D126" s="1862">
        <f>C126-$K44</f>
        <v>95</v>
      </c>
      <c r="E126" s="1862">
        <f>D126-$K44</f>
        <v>90</v>
      </c>
      <c r="F126" s="1862">
        <f>E126-$K44</f>
        <v>85</v>
      </c>
      <c r="G126" s="1862">
        <f>F126-$K44</f>
        <v>80</v>
      </c>
      <c r="H126" s="1862"/>
      <c r="I126" s="1862"/>
      <c r="J126" s="1862"/>
      <c r="K126" s="1862"/>
      <c r="L126" s="1862"/>
      <c r="M126" s="1863"/>
      <c r="N126" s="3015"/>
      <c r="O126" s="3015"/>
      <c r="P126" s="2057"/>
      <c r="Q126" s="1821"/>
    </row>
    <row r="127" spans="1:17" s="1771" customFormat="1" ht="28.5" thickTop="1">
      <c r="A127" s="1899"/>
      <c r="B127" s="1858" t="str">
        <f>B45</f>
        <v>物业类型</v>
      </c>
      <c r="C127" s="3158" t="s">
        <v>4994</v>
      </c>
      <c r="D127" s="3452" t="s">
        <v>4995</v>
      </c>
      <c r="E127" s="468"/>
      <c r="F127" s="468"/>
      <c r="G127" s="468"/>
      <c r="H127" s="443"/>
      <c r="I127" s="443"/>
      <c r="J127" s="443"/>
      <c r="K127" s="443"/>
      <c r="L127" s="443"/>
      <c r="M127" s="1870"/>
      <c r="N127" s="3016"/>
      <c r="O127" s="3016"/>
      <c r="P127" s="2058"/>
      <c r="Q127" s="1873"/>
    </row>
    <row r="128" spans="1:17" s="1771" customFormat="1" ht="15.75" thickBot="1">
      <c r="A128" s="1869"/>
      <c r="B128" s="1861"/>
      <c r="C128" s="1874">
        <v>100</v>
      </c>
      <c r="D128" s="1855">
        <v>85</v>
      </c>
      <c r="E128" s="1855"/>
      <c r="F128" s="1855"/>
      <c r="G128" s="1874"/>
      <c r="H128" s="1877"/>
      <c r="I128" s="1877"/>
      <c r="J128" s="1877"/>
      <c r="K128" s="1877"/>
      <c r="L128" s="1877"/>
      <c r="M128" s="1878"/>
      <c r="N128" s="3016"/>
      <c r="O128" s="3016"/>
      <c r="P128" s="2058"/>
      <c r="Q128" s="1873"/>
    </row>
    <row r="129" spans="1:17" ht="15" thickTop="1">
      <c r="A129" s="1903"/>
      <c r="B129" s="1858" t="e">
        <f>#REF!</f>
        <v>#REF!</v>
      </c>
      <c r="C129" s="3158" t="s">
        <v>4997</v>
      </c>
      <c r="D129" s="3158" t="s">
        <v>4998</v>
      </c>
      <c r="E129" s="468"/>
      <c r="F129" s="468"/>
      <c r="G129" s="1578"/>
      <c r="H129" s="1578"/>
      <c r="I129" s="1578"/>
      <c r="J129" s="1578"/>
      <c r="K129" s="473"/>
      <c r="L129" s="473"/>
      <c r="M129" s="1893"/>
      <c r="N129" s="3014"/>
      <c r="O129" s="3014"/>
      <c r="P129" s="2057"/>
      <c r="Q129" s="1821"/>
    </row>
    <row r="130" spans="1:17" ht="15.75" thickBot="1">
      <c r="A130" s="1853"/>
      <c r="B130" s="1861"/>
      <c r="C130" s="1874">
        <v>100</v>
      </c>
      <c r="D130" s="1874">
        <v>95</v>
      </c>
      <c r="E130" s="1874"/>
      <c r="F130" s="1874"/>
      <c r="G130" s="1855"/>
      <c r="H130" s="1855"/>
      <c r="I130" s="1855"/>
      <c r="J130" s="1855"/>
      <c r="K130" s="1855"/>
      <c r="L130" s="1855"/>
      <c r="M130" s="1856"/>
      <c r="N130" s="3015"/>
      <c r="O130" s="3015"/>
      <c r="P130" s="2057"/>
      <c r="Q130" s="1821"/>
    </row>
    <row r="131" spans="1:17" ht="15" thickTop="1">
      <c r="A131" s="1903"/>
      <c r="B131" s="1864" t="e">
        <f>#REF!</f>
        <v>#REF!</v>
      </c>
      <c r="C131" s="409"/>
      <c r="D131" s="409"/>
      <c r="E131" s="409"/>
      <c r="F131" s="409"/>
      <c r="G131" s="1894"/>
      <c r="H131" s="1894"/>
      <c r="I131" s="1894"/>
      <c r="J131" s="1894"/>
      <c r="K131" s="409"/>
      <c r="L131" s="409"/>
      <c r="M131" s="1895"/>
      <c r="N131" s="3014"/>
      <c r="O131" s="3014"/>
      <c r="P131" s="2057"/>
      <c r="Q131" s="1821"/>
    </row>
    <row r="132" spans="1:17" ht="15.75" thickBot="1">
      <c r="A132" s="2508"/>
      <c r="B132" s="1881"/>
      <c r="C132" s="1882"/>
      <c r="D132" s="1882"/>
      <c r="E132" s="1882"/>
      <c r="F132" s="1882"/>
      <c r="G132" s="1897"/>
      <c r="H132" s="1897"/>
      <c r="I132" s="1897"/>
      <c r="J132" s="1897"/>
      <c r="K132" s="1897"/>
      <c r="L132" s="1897"/>
      <c r="M132" s="1898"/>
      <c r="N132" s="3015"/>
      <c r="O132" s="3015"/>
      <c r="P132" s="2057"/>
      <c r="Q132" s="1821"/>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87" priority="20" stopIfTrue="1" operator="containsText" text="超过">
      <formula>NOT(ISERROR(SEARCH("超过",F53)))</formula>
    </cfRule>
  </conditionalFormatting>
  <conditionalFormatting sqref="H55">
    <cfRule type="containsText" dxfId="86" priority="19" stopIfTrue="1" operator="containsText" text="超过">
      <formula>NOT(ISERROR(SEARCH("超过",H55)))</formula>
    </cfRule>
  </conditionalFormatting>
  <conditionalFormatting sqref="F55">
    <cfRule type="containsText" dxfId="85" priority="18" stopIfTrue="1" operator="containsText" text="超过">
      <formula>NOT(ISERROR(SEARCH("超过",F55)))</formula>
    </cfRule>
  </conditionalFormatting>
  <conditionalFormatting sqref="F54 H54">
    <cfRule type="containsText" dxfId="84" priority="17" stopIfTrue="1" operator="containsText" text="超过">
      <formula>NOT(ISERROR(SEARCH("超过",F54)))</formula>
    </cfRule>
  </conditionalFormatting>
  <conditionalFormatting sqref="E53">
    <cfRule type="expression" dxfId="83" priority="16" stopIfTrue="1">
      <formula>$F$53="超过30%"</formula>
    </cfRule>
  </conditionalFormatting>
  <conditionalFormatting sqref="E54">
    <cfRule type="expression" dxfId="82" priority="15" stopIfTrue="1">
      <formula>$F$54="超过20%"</formula>
    </cfRule>
  </conditionalFormatting>
  <conditionalFormatting sqref="E55">
    <cfRule type="expression" dxfId="81" priority="14" stopIfTrue="1">
      <formula>$F$55="超过30%"</formula>
    </cfRule>
  </conditionalFormatting>
  <conditionalFormatting sqref="G55">
    <cfRule type="expression" dxfId="80" priority="13" stopIfTrue="1">
      <formula>$H$55="超过30%"</formula>
    </cfRule>
  </conditionalFormatting>
  <conditionalFormatting sqref="G53">
    <cfRule type="expression" dxfId="79" priority="12" stopIfTrue="1">
      <formula>$H$53="超过30%"</formula>
    </cfRule>
  </conditionalFormatting>
  <conditionalFormatting sqref="G54">
    <cfRule type="expression" dxfId="78" priority="11" stopIfTrue="1">
      <formula>$H$54="超过20%"</formula>
    </cfRule>
  </conditionalFormatting>
  <conditionalFormatting sqref="J53">
    <cfRule type="containsText" dxfId="77" priority="10" stopIfTrue="1" operator="containsText" text="超过">
      <formula>NOT(ISERROR(SEARCH("超过",J53)))</formula>
    </cfRule>
  </conditionalFormatting>
  <conditionalFormatting sqref="J55">
    <cfRule type="containsText" dxfId="76" priority="9" stopIfTrue="1" operator="containsText" text="超过">
      <formula>NOT(ISERROR(SEARCH("超过",J55)))</formula>
    </cfRule>
  </conditionalFormatting>
  <conditionalFormatting sqref="J54">
    <cfRule type="containsText" dxfId="75" priority="8" stopIfTrue="1" operator="containsText" text="超过">
      <formula>NOT(ISERROR(SEARCH("超过",J54)))</formula>
    </cfRule>
  </conditionalFormatting>
  <conditionalFormatting sqref="I53">
    <cfRule type="expression" dxfId="74" priority="7" stopIfTrue="1">
      <formula>$J$53="超过30%"</formula>
    </cfRule>
  </conditionalFormatting>
  <conditionalFormatting sqref="I54">
    <cfRule type="expression" dxfId="73" priority="6" stopIfTrue="1">
      <formula>$J$53+$J$54="超过20%"</formula>
    </cfRule>
  </conditionalFormatting>
  <conditionalFormatting sqref="I55">
    <cfRule type="expression" dxfId="72" priority="5" stopIfTrue="1">
      <formula>$J$55="超过30%"</formula>
    </cfRule>
  </conditionalFormatting>
  <conditionalFormatting sqref="F49">
    <cfRule type="expression" dxfId="71" priority="4">
      <formula>$D$49="简单平均"</formula>
    </cfRule>
  </conditionalFormatting>
  <conditionalFormatting sqref="H49">
    <cfRule type="expression" dxfId="70" priority="3">
      <formula>$D$49="简单平均"</formula>
    </cfRule>
  </conditionalFormatting>
  <conditionalFormatting sqref="J49">
    <cfRule type="expression" dxfId="69" priority="2">
      <formula>$D$49="简单平均"</formula>
    </cfRule>
  </conditionalFormatting>
  <conditionalFormatting sqref="F7:F47 H7:H47 J7:J47">
    <cfRule type="cellIs" dxfId="68" priority="1" operator="notEqual">
      <formula>100</formula>
    </cfRule>
  </conditionalFormatting>
  <dataValidations count="25">
    <dataValidation type="list" allowBlank="1" showInputMessage="1" showErrorMessage="1" sqref="C35 E35 G35 I35" xr:uid="{00000000-0002-0000-1F00-000000000000}">
      <formula1>办公建筑结构</formula1>
    </dataValidation>
    <dataValidation type="list" allowBlank="1" showInputMessage="1" showErrorMessage="1" sqref="E24 G24 I24 C24" xr:uid="{00000000-0002-0000-1F00-000001000000}">
      <formula1>环境</formula1>
    </dataValidation>
    <dataValidation type="list" allowBlank="1" showInputMessage="1" showErrorMessage="1" sqref="E18 G18 I18 C18" xr:uid="{00000000-0002-0000-1F00-000002000000}">
      <formula1>交通便捷度</formula1>
    </dataValidation>
    <dataValidation type="list" allowBlank="1" showInputMessage="1" showErrorMessage="1" sqref="E20 G20 C20 I20" xr:uid="{00000000-0002-0000-1F00-000003000000}">
      <formula1>公共配套设施</formula1>
    </dataValidation>
    <dataValidation type="list" allowBlank="1" showInputMessage="1" showErrorMessage="1" sqref="C44 E44 G44 I44" xr:uid="{00000000-0002-0000-1F00-000004000000}">
      <formula1>内部装修维护情况</formula1>
    </dataValidation>
    <dataValidation type="list" allowBlank="1" showInputMessage="1" showErrorMessage="1" sqref="C10 E10 G10 I10" xr:uid="{00000000-0002-0000-1F00-000005000000}">
      <formula1>土地年限区间</formula1>
    </dataValidation>
    <dataValidation type="list" allowBlank="1" showInputMessage="1" showErrorMessage="1" sqref="E9 G9 I9" xr:uid="{00000000-0002-0000-1F00-000006000000}">
      <formula1>办公用途</formula1>
    </dataValidation>
    <dataValidation type="list" allowBlank="1" showInputMessage="1" showErrorMessage="1" sqref="C16 E16 G16 I16" xr:uid="{00000000-0002-0000-1F00-000007000000}">
      <formula1>办公集聚程度</formula1>
    </dataValidation>
    <dataValidation type="list" allowBlank="1" showInputMessage="1" showErrorMessage="1" sqref="G26 C26 E26 I26" xr:uid="{00000000-0002-0000-1F00-000008000000}">
      <formula1>办公道路级别</formula1>
    </dataValidation>
    <dataValidation type="list" allowBlank="1" showInputMessage="1" showErrorMessage="1" sqref="C28 E28 G28 I28" xr:uid="{00000000-0002-0000-1F00-000009000000}">
      <formula1>办公朝向</formula1>
    </dataValidation>
    <dataValidation type="list" allowBlank="1" showInputMessage="1" showErrorMessage="1" sqref="C27 E27 G27 I27" xr:uid="{00000000-0002-0000-1F00-00000A000000}">
      <formula1>办公楼层</formula1>
    </dataValidation>
    <dataValidation type="list" allowBlank="1" showInputMessage="1" showErrorMessage="1" sqref="C33 E33 G33 I33" xr:uid="{00000000-0002-0000-1F00-00000B000000}">
      <formula1>办公建筑类型</formula1>
    </dataValidation>
    <dataValidation type="list" allowBlank="1" showInputMessage="1" showErrorMessage="1" sqref="C36 E36 G36 I36" xr:uid="{00000000-0002-0000-1F00-00000C000000}">
      <formula1>办公公共部分装修</formula1>
    </dataValidation>
    <dataValidation type="list" allowBlank="1" showInputMessage="1" showErrorMessage="1" sqref="C38 E38 G38 I38" xr:uid="{00000000-0002-0000-1F00-00000D000000}">
      <formula1>写字楼等级</formula1>
    </dataValidation>
    <dataValidation type="list" allowBlank="1" showInputMessage="1" showErrorMessage="1" sqref="C39 E39 G39 I39" xr:uid="{00000000-0002-0000-1F00-00000E000000}">
      <formula1>办公物业管理</formula1>
    </dataValidation>
    <dataValidation type="list" allowBlank="1" showInputMessage="1" showErrorMessage="1" sqref="C40 E40 G40 I40" xr:uid="{00000000-0002-0000-1F00-00000F000000}">
      <formula1>办公基础设施水平</formula1>
    </dataValidation>
    <dataValidation type="list" allowBlank="1" showInputMessage="1" showErrorMessage="1" sqref="C41 E41 G41 I41" xr:uid="{00000000-0002-0000-1F00-000010000000}">
      <formula1>办公层高</formula1>
    </dataValidation>
    <dataValidation type="list" allowBlank="1" showInputMessage="1" showErrorMessage="1" sqref="C43 E43 G43 I43" xr:uid="{00000000-0002-0000-1F00-000011000000}">
      <formula1>办公内部装修</formula1>
    </dataValidation>
    <dataValidation type="list" allowBlank="1" showInputMessage="1" showErrorMessage="1" sqref="C8 E8 G8 I8" xr:uid="{00000000-0002-0000-1F00-000012000000}">
      <formula1>办公交易情况</formula1>
    </dataValidation>
    <dataValidation type="list" allowBlank="1" showInputMessage="1" showErrorMessage="1" sqref="C1" xr:uid="{00000000-0002-0000-1F00-000013000000}">
      <formula1>"估价对象,仅计算典型户型"</formula1>
    </dataValidation>
    <dataValidation type="list" allowBlank="1" showInputMessage="1" showErrorMessage="1" sqref="C22 E22 G22 I22" xr:uid="{00000000-0002-0000-1F00-000014000000}">
      <formula1>基础设施水平</formula1>
    </dataValidation>
    <dataValidation type="list" allowBlank="1" showInputMessage="1" showErrorMessage="1" sqref="E1" xr:uid="{00000000-0002-0000-1F00-000015000000}">
      <formula1>"售价,租金"</formula1>
    </dataValidation>
    <dataValidation type="list" allowBlank="1" showInputMessage="1" showErrorMessage="1" sqref="D2" xr:uid="{00000000-0002-0000-1F00-000016000000}">
      <formula1>"需扣减承租人权益,——"</formula1>
    </dataValidation>
    <dataValidation type="list" allowBlank="1" showInputMessage="1" showErrorMessage="1" sqref="G2" xr:uid="{00000000-0002-0000-1F00-000017000000}">
      <formula1>估价方法</formula1>
    </dataValidation>
    <dataValidation type="list" allowBlank="1" showInputMessage="1" showErrorMessage="1" sqref="D49" xr:uid="{00000000-0002-0000-1F00-000018000000}">
      <formula1>"简单平均,加权平均"</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AC132"/>
  <sheetViews>
    <sheetView view="pageBreakPreview" topLeftCell="A21" zoomScale="90" zoomScaleNormal="60" zoomScaleSheetLayoutView="90" workbookViewId="0">
      <selection activeCell="I38" sqref="I38"/>
    </sheetView>
  </sheetViews>
  <sheetFormatPr defaultColWidth="9" defaultRowHeight="14.25"/>
  <cols>
    <col min="1" max="1" width="10.5" style="1666" customWidth="1"/>
    <col min="2" max="2" width="15.625" style="1666" customWidth="1"/>
    <col min="3" max="3" width="18" style="1666" customWidth="1"/>
    <col min="4" max="4" width="12.125" style="1666" customWidth="1"/>
    <col min="5" max="5" width="14.375" style="1666" customWidth="1"/>
    <col min="6" max="6" width="12.125" style="1666" customWidth="1"/>
    <col min="7" max="7" width="14.5" style="1666" customWidth="1"/>
    <col min="8" max="8" width="12.125" style="1666" customWidth="1"/>
    <col min="9" max="9" width="14.5" style="1666" customWidth="1"/>
    <col min="10" max="10" width="12.125" style="1666" customWidth="1"/>
    <col min="11" max="11" width="12.125" style="1909" customWidth="1"/>
    <col min="12" max="12" width="12.125" style="1910" customWidth="1"/>
    <col min="13" max="15" width="12.125" style="1666" customWidth="1"/>
    <col min="16" max="16" width="4.625" style="1666" customWidth="1"/>
    <col min="17" max="17" width="19.5" style="1666" customWidth="1"/>
    <col min="18" max="22" width="6.125" style="1666" customWidth="1"/>
    <col min="23" max="23" width="5.625" style="1666" customWidth="1"/>
    <col min="24" max="24" width="4.125" style="1666" customWidth="1"/>
    <col min="25" max="25" width="3.5" style="1666" customWidth="1"/>
    <col min="26" max="26" width="19.625" style="1666" customWidth="1"/>
    <col min="27" max="28" width="9.375" style="1666" customWidth="1"/>
    <col min="29" max="16384" width="9" style="1666"/>
  </cols>
  <sheetData>
    <row r="1" spans="1:29" s="1647" customFormat="1" ht="28.5" customHeight="1" thickBot="1">
      <c r="A1" s="1636" t="s">
        <v>2240</v>
      </c>
      <c r="B1" s="1637" t="s">
        <v>2382</v>
      </c>
      <c r="C1" s="1638" t="s">
        <v>2741</v>
      </c>
      <c r="D1" s="1637"/>
      <c r="E1" s="1640" t="s">
        <v>1224</v>
      </c>
      <c r="F1" s="1641" t="s">
        <v>2242</v>
      </c>
      <c r="G1" s="1637"/>
      <c r="H1" s="1637"/>
      <c r="I1" s="1637"/>
      <c r="J1" s="1637"/>
      <c r="K1" s="1642"/>
      <c r="L1" s="1643"/>
      <c r="M1" s="1637"/>
      <c r="N1" s="1637"/>
      <c r="O1" s="1637"/>
      <c r="P1" s="1637"/>
      <c r="Q1" s="1637"/>
      <c r="R1" s="1637"/>
      <c r="S1" s="1637"/>
      <c r="T1" s="1637"/>
      <c r="U1" s="1637"/>
      <c r="V1" s="1637"/>
      <c r="W1" s="1637"/>
      <c r="X1" s="1637"/>
      <c r="Y1" s="1637"/>
      <c r="Z1" s="1637"/>
      <c r="AA1" s="1637"/>
      <c r="AB1" s="2485"/>
      <c r="AC1" s="1646"/>
    </row>
    <row r="2" spans="1:29" s="1959" customFormat="1" ht="28.5" customHeight="1" thickTop="1">
      <c r="A2" s="1648" t="s">
        <v>1287</v>
      </c>
      <c r="B2" s="1649">
        <f>IF(D2="——",IF(C2="元",ROUND(C50*D3,0),ROUND(C50*D3/10000,0)),IF(C2="元",ROUND(C50*D3,0),ROUND(C50*D3/10000,0))-E2)</f>
        <v>5334</v>
      </c>
      <c r="C2" s="1650" t="str">
        <f>'数据-取费表'!B3</f>
        <v>元</v>
      </c>
      <c r="D2" s="1651" t="s">
        <v>1240</v>
      </c>
      <c r="E2" s="2486" t="e">
        <f ca="1">SUMIF(INDIRECT("'"&amp;G2&amp;"'"&amp;"!A:A"),"承租人权益价值",INDIRECT("'"&amp;G2&amp;"'"&amp;"!c:c"))</f>
        <v>#REF!</v>
      </c>
      <c r="F2" s="1653" t="str">
        <f>C2</f>
        <v>元</v>
      </c>
      <c r="G2" s="1654"/>
      <c r="H2" s="3010"/>
      <c r="I2" s="3010"/>
      <c r="J2" s="3010"/>
      <c r="K2" s="3010"/>
      <c r="L2" s="3012"/>
      <c r="M2" s="3010"/>
      <c r="N2" s="3010"/>
      <c r="O2" s="3010"/>
      <c r="P2" s="1956"/>
      <c r="Q2" s="1956"/>
      <c r="R2" s="1956"/>
      <c r="S2" s="1956"/>
      <c r="T2" s="1956"/>
      <c r="U2" s="1956"/>
      <c r="V2" s="1956"/>
      <c r="W2" s="1956"/>
      <c r="X2" s="1956"/>
      <c r="Y2" s="1956"/>
      <c r="Z2" s="1956"/>
      <c r="AA2" s="1956"/>
      <c r="AB2" s="2487"/>
      <c r="AC2" s="1964"/>
    </row>
    <row r="3" spans="1:29" s="1959" customFormat="1" ht="28.5" customHeight="1" thickBot="1">
      <c r="A3" s="1658" t="s">
        <v>1288</v>
      </c>
      <c r="B3" s="1962">
        <f>ROUND(IF(D2="——",C50,IF(C2="万元",B2*10000/D3,B2/D3)),0)</f>
        <v>5</v>
      </c>
      <c r="C3" s="1659" t="s">
        <v>2243</v>
      </c>
      <c r="D3" s="1659">
        <f>IF(C1="仅计算典型户型",'数据-取费表'!E5,'数据-取费表'!B5)</f>
        <v>1088.48</v>
      </c>
      <c r="F3" s="3009"/>
      <c r="G3" s="3010"/>
      <c r="H3" s="3010"/>
      <c r="I3" s="3010"/>
      <c r="J3" s="3010"/>
      <c r="K3" s="3011"/>
      <c r="L3" s="3012"/>
      <c r="M3" s="3010"/>
      <c r="N3" s="3010"/>
      <c r="O3" s="3010"/>
      <c r="P3" s="3017"/>
      <c r="Q3" s="1951"/>
      <c r="R3" s="1951"/>
      <c r="S3" s="1951"/>
      <c r="T3" s="1951"/>
      <c r="U3" s="1951"/>
      <c r="V3" s="1951"/>
      <c r="W3" s="1951"/>
      <c r="X3" s="1956"/>
      <c r="Y3" s="1951"/>
      <c r="Z3" s="1951"/>
      <c r="AA3" s="1951"/>
      <c r="AB3" s="2488"/>
      <c r="AC3" s="1964"/>
    </row>
    <row r="4" spans="1:29" ht="15">
      <c r="A4" s="1662" t="s">
        <v>2244</v>
      </c>
      <c r="B4" s="1663"/>
      <c r="C4" s="4515" t="s">
        <v>2245</v>
      </c>
      <c r="D4" s="4516"/>
      <c r="E4" s="4517" t="s">
        <v>2246</v>
      </c>
      <c r="F4" s="4518"/>
      <c r="G4" s="4515" t="s">
        <v>2247</v>
      </c>
      <c r="H4" s="4516"/>
      <c r="I4" s="4515" t="s">
        <v>2248</v>
      </c>
      <c r="J4" s="4516"/>
      <c r="K4" s="1965" t="s">
        <v>2249</v>
      </c>
      <c r="L4" s="2995"/>
      <c r="M4" s="2996"/>
      <c r="N4" s="2996"/>
      <c r="O4" s="2996"/>
      <c r="P4" s="4519" t="s">
        <v>2250</v>
      </c>
      <c r="Q4" s="4520"/>
      <c r="R4" s="4504" t="s">
        <v>2246</v>
      </c>
      <c r="S4" s="4505"/>
      <c r="T4" s="4504" t="s">
        <v>2247</v>
      </c>
      <c r="U4" s="4505"/>
      <c r="V4" s="4525" t="s">
        <v>2248</v>
      </c>
      <c r="W4" s="4525"/>
      <c r="X4" s="4102"/>
      <c r="Y4" s="4504" t="s">
        <v>2250</v>
      </c>
      <c r="Z4" s="4505"/>
      <c r="AA4" s="4512" t="s">
        <v>2246</v>
      </c>
      <c r="AB4" s="4512" t="s">
        <v>2247</v>
      </c>
      <c r="AC4" s="4512" t="s">
        <v>2248</v>
      </c>
    </row>
    <row r="5" spans="1:29" ht="15">
      <c r="A5" s="1667"/>
      <c r="B5" s="1668"/>
      <c r="C5" s="4739" t="s">
        <v>4982</v>
      </c>
      <c r="D5" s="4527"/>
      <c r="E5" s="4739" t="s">
        <v>4982</v>
      </c>
      <c r="F5" s="4527"/>
      <c r="G5" s="4742" t="str">
        <f>E5</f>
        <v>数字传媒大厦</v>
      </c>
      <c r="H5" s="4501"/>
      <c r="I5" s="4742" t="str">
        <f>E5</f>
        <v>数字传媒大厦</v>
      </c>
      <c r="J5" s="4501"/>
      <c r="K5" s="1965"/>
      <c r="L5" s="2995"/>
      <c r="M5" s="2996"/>
      <c r="N5" s="2996"/>
      <c r="O5" s="2996"/>
      <c r="P5" s="4521"/>
      <c r="Q5" s="4522"/>
      <c r="R5" s="4506"/>
      <c r="S5" s="4507"/>
      <c r="T5" s="4506"/>
      <c r="U5" s="4507"/>
      <c r="V5" s="4525"/>
      <c r="W5" s="4525"/>
      <c r="X5" s="4102"/>
      <c r="Y5" s="4506"/>
      <c r="Z5" s="4507"/>
      <c r="AA5" s="4513"/>
      <c r="AB5" s="4513"/>
      <c r="AC5" s="4513"/>
    </row>
    <row r="6" spans="1:29" ht="30" customHeight="1" thickBot="1">
      <c r="A6" s="1670"/>
      <c r="B6" s="1671"/>
      <c r="C6" s="4498" t="s">
        <v>5000</v>
      </c>
      <c r="D6" s="4499"/>
      <c r="E6" s="4743" t="s">
        <v>5017</v>
      </c>
      <c r="F6" s="4529"/>
      <c r="G6" s="4744" t="s">
        <v>5018</v>
      </c>
      <c r="H6" s="4499"/>
      <c r="I6" s="4744" t="s">
        <v>5017</v>
      </c>
      <c r="J6" s="4499"/>
      <c r="K6" s="1965" t="s">
        <v>2256</v>
      </c>
      <c r="L6" s="2995"/>
      <c r="M6" s="2996"/>
      <c r="N6" s="2996"/>
      <c r="O6" s="2996"/>
      <c r="P6" s="4523"/>
      <c r="Q6" s="4524"/>
      <c r="R6" s="4506"/>
      <c r="S6" s="4507"/>
      <c r="T6" s="4508"/>
      <c r="U6" s="4509"/>
      <c r="V6" s="4525"/>
      <c r="W6" s="4525"/>
      <c r="X6" s="4102"/>
      <c r="Y6" s="4508"/>
      <c r="Z6" s="4509"/>
      <c r="AA6" s="4514"/>
      <c r="AB6" s="4514"/>
      <c r="AC6" s="4514"/>
    </row>
    <row r="7" spans="1:29" s="1684" customFormat="1" ht="15.75" thickBot="1">
      <c r="A7" s="1672" t="s">
        <v>2257</v>
      </c>
      <c r="B7" s="1673"/>
      <c r="C7" s="1674">
        <f>'数据-取费表'!B2</f>
        <v>42402</v>
      </c>
      <c r="D7" s="1675">
        <v>100</v>
      </c>
      <c r="E7" s="1676">
        <v>42260</v>
      </c>
      <c r="F7" s="1677">
        <f>SUMIF(59:59,YEAR(E7)&amp;"-"&amp;MONTH(E7),60:60)</f>
        <v>99.8</v>
      </c>
      <c r="G7" s="1966">
        <v>42248</v>
      </c>
      <c r="H7" s="1675">
        <f>SUMIF(59:59,YEAR(G7)&amp;"-"&amp;MONTH(G7),60:60)</f>
        <v>99.8</v>
      </c>
      <c r="I7" s="1966">
        <v>42110</v>
      </c>
      <c r="J7" s="1675">
        <f>SUMIF(59:59,YEAR(I7)&amp;"-"&amp;MONTH(I7),60:60)</f>
        <v>99.6</v>
      </c>
      <c r="K7" s="1967"/>
      <c r="L7" s="2995" t="s">
        <v>2905</v>
      </c>
      <c r="M7" s="2968"/>
      <c r="N7" s="2968"/>
      <c r="O7" s="2968"/>
      <c r="P7" s="4502" t="s">
        <v>2258</v>
      </c>
      <c r="Q7" s="4510"/>
      <c r="R7" s="1680" t="s">
        <v>25</v>
      </c>
      <c r="S7" s="1681">
        <f t="shared" ref="S7:S15" si="0">F7</f>
        <v>99.8</v>
      </c>
      <c r="T7" s="1680" t="s">
        <v>25</v>
      </c>
      <c r="U7" s="1681">
        <f t="shared" ref="U7:U15" si="1">H7</f>
        <v>99.8</v>
      </c>
      <c r="V7" s="1680" t="s">
        <v>25</v>
      </c>
      <c r="W7" s="1681">
        <f t="shared" ref="W7:W15" si="2">J7</f>
        <v>99.6</v>
      </c>
      <c r="X7" s="1682"/>
      <c r="Y7" s="4502" t="s">
        <v>2258</v>
      </c>
      <c r="Z7" s="4503"/>
      <c r="AA7" s="1683">
        <f>D7/F7</f>
        <v>1.0020040080160322</v>
      </c>
      <c r="AB7" s="1683">
        <f>D7/H7</f>
        <v>1.0020040080160322</v>
      </c>
      <c r="AC7" s="1683">
        <f>D7/J7</f>
        <v>1.0040160642570282</v>
      </c>
    </row>
    <row r="8" spans="1:29" s="1684" customFormat="1" ht="15.75" thickBot="1">
      <c r="A8" s="1672" t="s">
        <v>2259</v>
      </c>
      <c r="B8" s="1673"/>
      <c r="C8" s="1685" t="s">
        <v>2873</v>
      </c>
      <c r="D8" s="1675">
        <v>100</v>
      </c>
      <c r="E8" s="1685" t="s">
        <v>2873</v>
      </c>
      <c r="F8" s="1677">
        <f>SUMIF(62:62,E8,63:63)-SUMIF(62:62,C8,63:63)+100</f>
        <v>100</v>
      </c>
      <c r="G8" s="1685" t="s">
        <v>2873</v>
      </c>
      <c r="H8" s="1675">
        <f>SUMIF(62:62,G8,63:63)-SUMIF(62:62,C8,63:63)+100</f>
        <v>100</v>
      </c>
      <c r="I8" s="1685" t="s">
        <v>2873</v>
      </c>
      <c r="J8" s="1675">
        <f>SUMIF(62:62,I8,63:63)-SUMIF(62:62,C8,63:63)+100</f>
        <v>100</v>
      </c>
      <c r="K8" s="1967"/>
      <c r="L8" s="2995"/>
      <c r="M8" s="2968"/>
      <c r="N8" s="2968"/>
      <c r="O8" s="2968"/>
      <c r="P8" s="4502" t="s">
        <v>2261</v>
      </c>
      <c r="Q8" s="4503"/>
      <c r="R8" s="1680" t="s">
        <v>25</v>
      </c>
      <c r="S8" s="1681">
        <f t="shared" si="0"/>
        <v>100</v>
      </c>
      <c r="T8" s="1680" t="s">
        <v>25</v>
      </c>
      <c r="U8" s="1681">
        <f t="shared" si="1"/>
        <v>100</v>
      </c>
      <c r="V8" s="1680" t="s">
        <v>25</v>
      </c>
      <c r="W8" s="1681">
        <f t="shared" si="2"/>
        <v>100</v>
      </c>
      <c r="X8" s="1682"/>
      <c r="Y8" s="4502" t="s">
        <v>2261</v>
      </c>
      <c r="Z8" s="4503"/>
      <c r="AA8" s="1683">
        <f t="shared" ref="AA8:AA47" si="3">D8/F8</f>
        <v>1</v>
      </c>
      <c r="AB8" s="1683">
        <f t="shared" ref="AB8:AB47" si="4">D8/H8</f>
        <v>1</v>
      </c>
      <c r="AC8" s="1683">
        <f t="shared" ref="AC8:AC47" si="5">D8/J8</f>
        <v>1</v>
      </c>
    </row>
    <row r="9" spans="1:29" s="1684" customFormat="1" ht="15" thickBot="1">
      <c r="A9" s="4100" t="s">
        <v>2262</v>
      </c>
      <c r="B9" s="1687" t="s">
        <v>2263</v>
      </c>
      <c r="C9" s="3450" t="s">
        <v>3351</v>
      </c>
      <c r="D9" s="1689">
        <v>100</v>
      </c>
      <c r="E9" s="1692" t="s">
        <v>2929</v>
      </c>
      <c r="F9" s="1689">
        <f>SUMIF(64:64,E9,65:65)-SUMIF(64:64,C9,65:65)+100</f>
        <v>100</v>
      </c>
      <c r="G9" s="1692" t="s">
        <v>2929</v>
      </c>
      <c r="H9" s="1689">
        <f>SUMIF(64:64,G9,65:65)-SUMIF(64:64,C9,65:65)+100</f>
        <v>100</v>
      </c>
      <c r="I9" s="1692" t="s">
        <v>2929</v>
      </c>
      <c r="J9" s="1689">
        <f>SUMIF(64:64,I9,65:65)-SUMIF(64:64,C9,65:65)+100</f>
        <v>100</v>
      </c>
      <c r="K9" s="1967"/>
      <c r="L9" s="2995"/>
      <c r="M9" s="2968"/>
      <c r="N9" s="2968"/>
      <c r="O9" s="2968"/>
      <c r="P9" s="4488" t="s">
        <v>2264</v>
      </c>
      <c r="Q9" s="4099" t="str">
        <f t="shared" ref="Q9:Q15" si="6">B9</f>
        <v>用途</v>
      </c>
      <c r="R9" s="1680" t="s">
        <v>25</v>
      </c>
      <c r="S9" s="1681">
        <f t="shared" si="0"/>
        <v>100</v>
      </c>
      <c r="T9" s="1680" t="s">
        <v>25</v>
      </c>
      <c r="U9" s="1681">
        <f t="shared" si="1"/>
        <v>100</v>
      </c>
      <c r="V9" s="1680" t="s">
        <v>25</v>
      </c>
      <c r="W9" s="1681">
        <f t="shared" si="2"/>
        <v>100</v>
      </c>
      <c r="X9" s="1682"/>
      <c r="Y9" s="4349" t="s">
        <v>2265</v>
      </c>
      <c r="Z9" s="1693" t="str">
        <f t="shared" ref="Z9:Z15" si="7">Q9</f>
        <v>用途</v>
      </c>
      <c r="AA9" s="1683">
        <f t="shared" si="3"/>
        <v>1</v>
      </c>
      <c r="AB9" s="1683">
        <f t="shared" si="4"/>
        <v>1</v>
      </c>
      <c r="AC9" s="1683">
        <f t="shared" si="5"/>
        <v>1</v>
      </c>
    </row>
    <row r="10" spans="1:29" s="1701" customFormat="1" ht="27.75" hidden="1" thickBot="1">
      <c r="A10" s="1694"/>
      <c r="B10" s="1695" t="s">
        <v>2266</v>
      </c>
      <c r="C10" s="1696"/>
      <c r="D10" s="1697">
        <v>100</v>
      </c>
      <c r="E10" s="1696"/>
      <c r="F10" s="1697">
        <f>SUMIF(66:66,E10,67:67)-SUMIF(66:66,C10,67:67)+100</f>
        <v>100</v>
      </c>
      <c r="G10" s="1698"/>
      <c r="H10" s="1697">
        <f>SUMIF(66:66,G10,67:67)-SUMIF(66:66,C10,67:67)+100</f>
        <v>100</v>
      </c>
      <c r="I10" s="1696"/>
      <c r="J10" s="1697">
        <f>SUMIF(66:66,I10,67:67)-SUMIF(66:66,C10,67:67)+100</f>
        <v>100</v>
      </c>
      <c r="K10" s="1992"/>
      <c r="L10" s="2997"/>
      <c r="M10" s="2998"/>
      <c r="N10" s="2998"/>
      <c r="O10" s="2998"/>
      <c r="P10" s="4488"/>
      <c r="Q10" s="4099" t="str">
        <f t="shared" si="6"/>
        <v>土地使用年限（年）</v>
      </c>
      <c r="R10" s="1680" t="s">
        <v>25</v>
      </c>
      <c r="S10" s="1681">
        <f t="shared" si="0"/>
        <v>100</v>
      </c>
      <c r="T10" s="1680" t="s">
        <v>25</v>
      </c>
      <c r="U10" s="1681">
        <f t="shared" si="1"/>
        <v>100</v>
      </c>
      <c r="V10" s="1680" t="s">
        <v>25</v>
      </c>
      <c r="W10" s="1681">
        <f t="shared" si="2"/>
        <v>100</v>
      </c>
      <c r="X10" s="1682"/>
      <c r="Y10" s="4349"/>
      <c r="Z10" s="1693" t="str">
        <f t="shared" si="7"/>
        <v>土地使用年限（年）</v>
      </c>
      <c r="AA10" s="1683">
        <f t="shared" si="3"/>
        <v>1</v>
      </c>
      <c r="AB10" s="1683">
        <f t="shared" si="4"/>
        <v>1</v>
      </c>
      <c r="AC10" s="1683">
        <f t="shared" si="5"/>
        <v>1</v>
      </c>
    </row>
    <row r="11" spans="1:29" ht="15.75" hidden="1" thickBot="1">
      <c r="A11" s="1702"/>
      <c r="B11" s="1695" t="s">
        <v>2267</v>
      </c>
      <c r="C11" s="1703"/>
      <c r="D11" s="1697">
        <v>100</v>
      </c>
      <c r="E11" s="1703"/>
      <c r="F11" s="1697">
        <f>LOOKUP(E11,69:69,70:70)-LOOKUP(C11,69:69,70:70)+100</f>
        <v>100</v>
      </c>
      <c r="G11" s="1704"/>
      <c r="H11" s="1697">
        <f>LOOKUP(G11,69:69,70:70)-LOOKUP(C11,69:69,70:70)+100</f>
        <v>100</v>
      </c>
      <c r="I11" s="1703"/>
      <c r="J11" s="1697">
        <f>LOOKUP(I11,69:69,70:70)-LOOKUP(C11,69:69,70:70)+100</f>
        <v>100</v>
      </c>
      <c r="K11" s="1992"/>
      <c r="L11" s="2999"/>
      <c r="M11" s="2996"/>
      <c r="N11" s="2996"/>
      <c r="O11" s="2996"/>
      <c r="P11" s="4488"/>
      <c r="Q11" s="4099" t="str">
        <f t="shared" si="6"/>
        <v>容积率</v>
      </c>
      <c r="R11" s="1680" t="s">
        <v>25</v>
      </c>
      <c r="S11" s="1681">
        <f t="shared" si="0"/>
        <v>100</v>
      </c>
      <c r="T11" s="1680" t="s">
        <v>25</v>
      </c>
      <c r="U11" s="1681">
        <f t="shared" si="1"/>
        <v>100</v>
      </c>
      <c r="V11" s="1680" t="s">
        <v>25</v>
      </c>
      <c r="W11" s="1681">
        <f t="shared" si="2"/>
        <v>100</v>
      </c>
      <c r="X11" s="1682"/>
      <c r="Y11" s="4349"/>
      <c r="Z11" s="1693" t="str">
        <f t="shared" si="7"/>
        <v>容积率</v>
      </c>
      <c r="AA11" s="1683">
        <f t="shared" si="3"/>
        <v>1</v>
      </c>
      <c r="AB11" s="1683">
        <f t="shared" si="4"/>
        <v>1</v>
      </c>
      <c r="AC11" s="1683">
        <f t="shared" si="5"/>
        <v>1</v>
      </c>
    </row>
    <row r="12" spans="1:29" s="1684" customFormat="1" ht="15.75" hidden="1" thickBot="1">
      <c r="A12" s="4101"/>
      <c r="B12" s="1706">
        <v>111</v>
      </c>
      <c r="C12" s="1707"/>
      <c r="D12" s="1708">
        <v>100</v>
      </c>
      <c r="E12" s="1707"/>
      <c r="F12" s="1697">
        <f>SUMIF(71:71,E12,72:72)-SUMIF(71:71,C12,72:72)+100</f>
        <v>100</v>
      </c>
      <c r="G12" s="2489"/>
      <c r="H12" s="1697">
        <f>SUMIF(71:71,G12,72:72)-SUMIF(71:71,C12,72:72)+100</f>
        <v>100</v>
      </c>
      <c r="I12" s="1707"/>
      <c r="J12" s="1697">
        <f>SUMIF(71:71,I12,72:72)-SUMIF(71:71,C12,72:72)+100</f>
        <v>100</v>
      </c>
      <c r="K12" s="1989"/>
      <c r="L12" s="2995"/>
      <c r="M12" s="2968"/>
      <c r="N12" s="2968"/>
      <c r="O12" s="2968"/>
      <c r="P12" s="4488"/>
      <c r="Q12" s="4099">
        <f t="shared" si="6"/>
        <v>111</v>
      </c>
      <c r="R12" s="1680" t="s">
        <v>25</v>
      </c>
      <c r="S12" s="1681">
        <f t="shared" si="0"/>
        <v>100</v>
      </c>
      <c r="T12" s="1680" t="s">
        <v>25</v>
      </c>
      <c r="U12" s="1681">
        <f t="shared" si="1"/>
        <v>100</v>
      </c>
      <c r="V12" s="1680" t="s">
        <v>25</v>
      </c>
      <c r="W12" s="1681">
        <f t="shared" si="2"/>
        <v>100</v>
      </c>
      <c r="X12" s="1682"/>
      <c r="Y12" s="4349"/>
      <c r="Z12" s="1693">
        <f t="shared" si="7"/>
        <v>111</v>
      </c>
      <c r="AA12" s="1683">
        <f>D12/F12</f>
        <v>1</v>
      </c>
      <c r="AB12" s="1683">
        <f>D12/H12</f>
        <v>1</v>
      </c>
      <c r="AC12" s="1683">
        <f>D12/J12</f>
        <v>1</v>
      </c>
    </row>
    <row r="13" spans="1:29" ht="15.75" hidden="1" thickBot="1">
      <c r="A13" s="1702"/>
      <c r="B13" s="1706">
        <v>111</v>
      </c>
      <c r="C13" s="1710"/>
      <c r="D13" s="1711">
        <v>100</v>
      </c>
      <c r="E13" s="1707"/>
      <c r="F13" s="1697">
        <f>SUMIF(73:73,E13,74:74)-SUMIF(73:73,C13,74:74)+100</f>
        <v>100</v>
      </c>
      <c r="G13" s="2489"/>
      <c r="H13" s="1711">
        <f>SUMIF(73:73,G13,74:74)-SUMIF(73:73,C13,74:74)+100</f>
        <v>100</v>
      </c>
      <c r="I13" s="1707"/>
      <c r="J13" s="1711">
        <f>SUMIF(73:73,I13,74:74)-SUMIF(73:73,C13,74:74)+100</f>
        <v>100</v>
      </c>
      <c r="K13" s="1989"/>
      <c r="L13" s="3000"/>
      <c r="M13" s="2996"/>
      <c r="N13" s="2996"/>
      <c r="O13" s="2996"/>
      <c r="P13" s="4488"/>
      <c r="Q13" s="4099">
        <f t="shared" si="6"/>
        <v>111</v>
      </c>
      <c r="R13" s="1680" t="s">
        <v>25</v>
      </c>
      <c r="S13" s="1681">
        <f t="shared" si="0"/>
        <v>100</v>
      </c>
      <c r="T13" s="1680" t="s">
        <v>25</v>
      </c>
      <c r="U13" s="1681">
        <f t="shared" si="1"/>
        <v>100</v>
      </c>
      <c r="V13" s="1680" t="s">
        <v>25</v>
      </c>
      <c r="W13" s="1681">
        <f t="shared" si="2"/>
        <v>100</v>
      </c>
      <c r="X13" s="1682"/>
      <c r="Y13" s="4349"/>
      <c r="Z13" s="1693">
        <f t="shared" si="7"/>
        <v>111</v>
      </c>
      <c r="AA13" s="1683">
        <f t="shared" si="3"/>
        <v>1</v>
      </c>
      <c r="AB13" s="1683">
        <f t="shared" si="4"/>
        <v>1</v>
      </c>
      <c r="AC13" s="1683">
        <f t="shared" si="5"/>
        <v>1</v>
      </c>
    </row>
    <row r="14" spans="1:29" ht="15.75" hidden="1" thickBot="1">
      <c r="A14" s="1712"/>
      <c r="B14" s="1713">
        <v>111</v>
      </c>
      <c r="C14" s="1714"/>
      <c r="D14" s="1715">
        <v>100</v>
      </c>
      <c r="E14" s="2490"/>
      <c r="F14" s="1715">
        <f>SUMIF(75:75,E14,76:76)-SUMIF(75:75,C14,76:76)+100</f>
        <v>100</v>
      </c>
      <c r="G14" s="2489"/>
      <c r="H14" s="1715">
        <f>SUMIF(75:75,G14,76:76)-SUMIF(75:75,C14,76:76)+100</f>
        <v>100</v>
      </c>
      <c r="I14" s="1707"/>
      <c r="J14" s="1715">
        <f>SUMIF(75:75,I14,76:76)-SUMIF(75:75,C14,76:76)+100</f>
        <v>100</v>
      </c>
      <c r="K14" s="1989"/>
      <c r="L14" s="3000"/>
      <c r="M14" s="2996"/>
      <c r="N14" s="2996"/>
      <c r="O14" s="2996"/>
      <c r="P14" s="4488"/>
      <c r="Q14" s="4099">
        <f t="shared" si="6"/>
        <v>111</v>
      </c>
      <c r="R14" s="1680" t="s">
        <v>25</v>
      </c>
      <c r="S14" s="1681">
        <f t="shared" si="0"/>
        <v>100</v>
      </c>
      <c r="T14" s="1680" t="s">
        <v>25</v>
      </c>
      <c r="U14" s="1681">
        <f t="shared" si="1"/>
        <v>100</v>
      </c>
      <c r="V14" s="1680" t="s">
        <v>25</v>
      </c>
      <c r="W14" s="1681">
        <f t="shared" si="2"/>
        <v>100</v>
      </c>
      <c r="X14" s="1682"/>
      <c r="Y14" s="4349"/>
      <c r="Z14" s="1693">
        <f t="shared" si="7"/>
        <v>111</v>
      </c>
      <c r="AA14" s="1683">
        <f t="shared" si="3"/>
        <v>1</v>
      </c>
      <c r="AB14" s="1683">
        <f t="shared" si="4"/>
        <v>1</v>
      </c>
      <c r="AC14" s="1683">
        <f t="shared" si="5"/>
        <v>1</v>
      </c>
    </row>
    <row r="15" spans="1:29" ht="31.5" customHeight="1">
      <c r="A15" s="1717" t="s">
        <v>2268</v>
      </c>
      <c r="B15" s="2491" t="s">
        <v>2383</v>
      </c>
      <c r="C15" s="1973" t="str">
        <f>估价对象房地状况!C5</f>
        <v>估价对象位于上地商圈，周边办公楼项目有上地研华科技大厦、许继大厦、华为大厦、华环大厦、自主创新大厦等，入驻率高，办公集聚程度较好。</v>
      </c>
      <c r="D15" s="1720">
        <v>100</v>
      </c>
      <c r="E15" s="3728"/>
      <c r="F15" s="1720">
        <f>SUMIF(77:77,E16,78:78)-SUMIF(77:77,C16,78:78)+100</f>
        <v>100</v>
      </c>
      <c r="G15" s="3728"/>
      <c r="H15" s="1720">
        <f>SUMIF(77:77,G16,78:78)-SUMIF(77:77,C16,78:78)+100</f>
        <v>100</v>
      </c>
      <c r="I15" s="3728"/>
      <c r="J15" s="1720">
        <f>SUMIF(77:77,I16,78:78)-SUMIF(77:77,C16,78:78)+100</f>
        <v>100</v>
      </c>
      <c r="K15" s="2471">
        <v>2</v>
      </c>
      <c r="L15" s="3000"/>
      <c r="M15" s="2996"/>
      <c r="N15" s="2996"/>
      <c r="O15" s="2996"/>
      <c r="P15" s="4491" t="s">
        <v>2269</v>
      </c>
      <c r="Q15" s="4105" t="str">
        <f t="shared" si="6"/>
        <v>办公集聚程度</v>
      </c>
      <c r="R15" s="1725" t="s">
        <v>25</v>
      </c>
      <c r="S15" s="1726">
        <f t="shared" si="0"/>
        <v>100</v>
      </c>
      <c r="T15" s="1725" t="s">
        <v>25</v>
      </c>
      <c r="U15" s="1726">
        <f t="shared" si="1"/>
        <v>100</v>
      </c>
      <c r="V15" s="1725" t="s">
        <v>25</v>
      </c>
      <c r="W15" s="1726">
        <f t="shared" si="2"/>
        <v>100</v>
      </c>
      <c r="X15" s="4102"/>
      <c r="Y15" s="4491" t="s">
        <v>2269</v>
      </c>
      <c r="Z15" s="4103" t="str">
        <f t="shared" si="7"/>
        <v>办公集聚程度</v>
      </c>
      <c r="AA15" s="4106">
        <f t="shared" si="3"/>
        <v>1</v>
      </c>
      <c r="AB15" s="4106">
        <f t="shared" si="4"/>
        <v>1</v>
      </c>
      <c r="AC15" s="4106">
        <f t="shared" si="5"/>
        <v>1</v>
      </c>
    </row>
    <row r="16" spans="1:29" ht="15">
      <c r="A16" s="1702"/>
      <c r="B16" s="2492"/>
      <c r="C16" s="1975" t="s">
        <v>30</v>
      </c>
      <c r="D16" s="1731"/>
      <c r="E16" s="1975" t="s">
        <v>30</v>
      </c>
      <c r="F16" s="1731"/>
      <c r="G16" s="1975" t="s">
        <v>30</v>
      </c>
      <c r="H16" s="1735"/>
      <c r="I16" s="1975" t="s">
        <v>30</v>
      </c>
      <c r="J16" s="1731"/>
      <c r="K16" s="2472"/>
      <c r="L16" s="3000"/>
      <c r="M16" s="2996"/>
      <c r="N16" s="2996"/>
      <c r="O16" s="2996"/>
      <c r="P16" s="4492"/>
      <c r="Q16" s="4105"/>
      <c r="R16" s="1725"/>
      <c r="S16" s="1726"/>
      <c r="T16" s="1725"/>
      <c r="U16" s="1726"/>
      <c r="V16" s="1725"/>
      <c r="W16" s="1726"/>
      <c r="X16" s="4102"/>
      <c r="Y16" s="4492"/>
      <c r="Z16" s="4103"/>
      <c r="AA16" s="4106">
        <v>1</v>
      </c>
      <c r="AB16" s="4106">
        <v>1</v>
      </c>
      <c r="AC16" s="4106">
        <v>1</v>
      </c>
    </row>
    <row r="17" spans="1:29" ht="36.75" customHeight="1">
      <c r="A17" s="1702"/>
      <c r="B17" s="2493" t="s">
        <v>1704</v>
      </c>
      <c r="C17" s="1980" t="str">
        <f>估价对象房地状况!C6</f>
        <v>估价对象临近高速路-京新高速，紧邻城市主干道-信息路，距离清河火车站、地铁昌平线、13号线清河站约900米，周边有320路、365路、446路、447路、495路等公交线路通达，停车便捷程度较好，综合评价交通便捷度好。</v>
      </c>
      <c r="D17" s="1735">
        <v>100</v>
      </c>
      <c r="E17" s="3730"/>
      <c r="F17" s="1735">
        <f>SUMIF(79:79,E18,80:80)-SUMIF(79:79,C18,80:80)+100</f>
        <v>100</v>
      </c>
      <c r="G17" s="3730"/>
      <c r="H17" s="1742">
        <f>SUMIF(79:79,G18,80:80)-SUMIF(79:79,C18,80:80)+100</f>
        <v>100</v>
      </c>
      <c r="I17" s="3730"/>
      <c r="J17" s="1742">
        <f>SUMIF(79:79,I18,80:80)-SUMIF(79:79,C18,80:80)+100</f>
        <v>100</v>
      </c>
      <c r="K17" s="2471">
        <v>2</v>
      </c>
      <c r="L17" s="3000"/>
      <c r="M17" s="2996"/>
      <c r="N17" s="2996"/>
      <c r="O17" s="2996"/>
      <c r="P17" s="4492"/>
      <c r="Q17" s="4105" t="str">
        <f>B17</f>
        <v>交通便捷度</v>
      </c>
      <c r="R17" s="1725" t="s">
        <v>25</v>
      </c>
      <c r="S17" s="1726">
        <f>F17</f>
        <v>100</v>
      </c>
      <c r="T17" s="1725" t="s">
        <v>25</v>
      </c>
      <c r="U17" s="1726">
        <f>H17</f>
        <v>100</v>
      </c>
      <c r="V17" s="1725" t="s">
        <v>25</v>
      </c>
      <c r="W17" s="1726">
        <f>J17</f>
        <v>100</v>
      </c>
      <c r="X17" s="4102"/>
      <c r="Y17" s="4492"/>
      <c r="Z17" s="4103" t="str">
        <f>Q17</f>
        <v>交通便捷度</v>
      </c>
      <c r="AA17" s="4106">
        <f t="shared" si="3"/>
        <v>1</v>
      </c>
      <c r="AB17" s="4106">
        <f t="shared" si="4"/>
        <v>1</v>
      </c>
      <c r="AC17" s="4106">
        <f t="shared" si="5"/>
        <v>1</v>
      </c>
    </row>
    <row r="18" spans="1:29" ht="15">
      <c r="A18" s="1702"/>
      <c r="B18" s="2494"/>
      <c r="C18" s="1979" t="s">
        <v>30</v>
      </c>
      <c r="D18" s="1735"/>
      <c r="E18" s="1979" t="s">
        <v>30</v>
      </c>
      <c r="F18" s="1735"/>
      <c r="G18" s="1979" t="s">
        <v>30</v>
      </c>
      <c r="H18" s="1731"/>
      <c r="I18" s="1979" t="s">
        <v>30</v>
      </c>
      <c r="J18" s="1731"/>
      <c r="K18" s="2472"/>
      <c r="L18" s="3000"/>
      <c r="M18" s="2996"/>
      <c r="N18" s="2996"/>
      <c r="O18" s="2996"/>
      <c r="P18" s="4492"/>
      <c r="Q18" s="4105"/>
      <c r="R18" s="1725"/>
      <c r="S18" s="1726"/>
      <c r="T18" s="1725"/>
      <c r="U18" s="1726"/>
      <c r="V18" s="1725"/>
      <c r="W18" s="1726"/>
      <c r="X18" s="4102"/>
      <c r="Y18" s="4492"/>
      <c r="Z18" s="4103"/>
      <c r="AA18" s="4106">
        <v>1</v>
      </c>
      <c r="AB18" s="4106">
        <v>1</v>
      </c>
      <c r="AC18" s="4106">
        <v>1</v>
      </c>
    </row>
    <row r="19" spans="1:29" ht="36" customHeight="1">
      <c r="A19" s="1702"/>
      <c r="B19" s="2493" t="s">
        <v>2384</v>
      </c>
      <c r="C19" s="1980" t="str">
        <f>估价对象房地状况!C7</f>
        <v>银行：农村商业银行、北京银行（上地支行）、中国工商银行（北京中关村支行）、中国银行（北京上地信息路支行）等金融场所；
商业设施：北京华联上地购物中心、数字山谷下沉商业广场等商业设施；
教育机构：北京八维研修学院、北京市上地实验学校、中关村第一小学（西二旗分校）、北京市海淀区第二实验小学（当代校区）、美和园幼儿园（智学苑分园）等教育机构；
医疗机构：北京市上地医院、北京市海淀区清河街道西二旗社区卫生服务站等医疗机构；
估价对象所在区域公共配套设施齐备情况较好。</v>
      </c>
      <c r="D19" s="1742">
        <v>100</v>
      </c>
      <c r="E19" s="3729"/>
      <c r="F19" s="1742">
        <f>SUMIF(81:81,E20,82:82)-SUMIF(81:81,C20,82:82)+100</f>
        <v>100</v>
      </c>
      <c r="G19" s="3729"/>
      <c r="H19" s="1735">
        <f>SUMIF(81:81,G20,82:82)-SUMIF(81:81,C20,82:82)+100</f>
        <v>100</v>
      </c>
      <c r="I19" s="3729"/>
      <c r="J19" s="1735">
        <f>SUMIF(81:81,I20,82:82)-SUMIF(81:81,C20,82:82)+100</f>
        <v>100</v>
      </c>
      <c r="K19" s="2471">
        <v>2</v>
      </c>
      <c r="L19" s="3000"/>
      <c r="M19" s="2996"/>
      <c r="N19" s="2996"/>
      <c r="O19" s="2996"/>
      <c r="P19" s="4492"/>
      <c r="Q19" s="4105" t="str">
        <f>B19</f>
        <v>公共配套设施</v>
      </c>
      <c r="R19" s="1725" t="s">
        <v>25</v>
      </c>
      <c r="S19" s="1726">
        <f>F19</f>
        <v>100</v>
      </c>
      <c r="T19" s="1725" t="s">
        <v>25</v>
      </c>
      <c r="U19" s="1726">
        <f>H19</f>
        <v>100</v>
      </c>
      <c r="V19" s="1725" t="s">
        <v>25</v>
      </c>
      <c r="W19" s="1726">
        <f>J19</f>
        <v>100</v>
      </c>
      <c r="X19" s="4102"/>
      <c r="Y19" s="4492"/>
      <c r="Z19" s="4103" t="str">
        <f>Q19</f>
        <v>公共配套设施</v>
      </c>
      <c r="AA19" s="4106">
        <f t="shared" si="3"/>
        <v>1</v>
      </c>
      <c r="AB19" s="4106">
        <f t="shared" si="4"/>
        <v>1</v>
      </c>
      <c r="AC19" s="4106">
        <f t="shared" si="5"/>
        <v>1</v>
      </c>
    </row>
    <row r="20" spans="1:29" ht="15">
      <c r="A20" s="1702"/>
      <c r="B20" s="2494"/>
      <c r="C20" s="1975" t="s">
        <v>31</v>
      </c>
      <c r="D20" s="1731"/>
      <c r="E20" s="1975" t="s">
        <v>31</v>
      </c>
      <c r="F20" s="1731"/>
      <c r="G20" s="1975" t="s">
        <v>31</v>
      </c>
      <c r="H20" s="1731"/>
      <c r="I20" s="1975" t="s">
        <v>31</v>
      </c>
      <c r="J20" s="1731"/>
      <c r="K20" s="2472"/>
      <c r="L20" s="3000"/>
      <c r="M20" s="2996"/>
      <c r="N20" s="2996"/>
      <c r="O20" s="2996"/>
      <c r="P20" s="4492"/>
      <c r="Q20" s="4105"/>
      <c r="R20" s="1725"/>
      <c r="S20" s="1726"/>
      <c r="T20" s="1725"/>
      <c r="U20" s="1726"/>
      <c r="V20" s="1725"/>
      <c r="W20" s="1726"/>
      <c r="X20" s="4102"/>
      <c r="Y20" s="4492"/>
      <c r="Z20" s="4103"/>
      <c r="AA20" s="4106">
        <v>1</v>
      </c>
      <c r="AB20" s="4106">
        <v>1</v>
      </c>
      <c r="AC20" s="4106">
        <v>1</v>
      </c>
    </row>
    <row r="21" spans="1:29" ht="36" customHeight="1">
      <c r="A21" s="1702"/>
      <c r="B21" s="2495" t="s">
        <v>2385</v>
      </c>
      <c r="C21" s="1980" t="str">
        <f>估价对象房地状况!C8</f>
        <v>估价对象所在区域基础设施水平-七通</v>
      </c>
      <c r="D21" s="1742">
        <v>100</v>
      </c>
      <c r="E21" s="3731"/>
      <c r="F21" s="1742">
        <f>SUMIF(83:83,E22,84:84)-SUMIF(83:83,C22,84:84)+100</f>
        <v>100</v>
      </c>
      <c r="G21" s="3731"/>
      <c r="H21" s="1735">
        <f>SUMIF(83:83,G22,84:84)-SUMIF(83:83,C22,84:84)+100</f>
        <v>100</v>
      </c>
      <c r="I21" s="3731"/>
      <c r="J21" s="1735">
        <f>SUMIF(83:83,I22,84:84)-SUMIF(83:83,C22,84:84)+100</f>
        <v>100</v>
      </c>
      <c r="K21" s="2471">
        <v>1</v>
      </c>
      <c r="L21" s="3000"/>
      <c r="M21" s="2996"/>
      <c r="N21" s="2996"/>
      <c r="O21" s="2996"/>
      <c r="P21" s="4492"/>
      <c r="Q21" s="4105" t="str">
        <f>B21</f>
        <v>基础设施水平</v>
      </c>
      <c r="R21" s="1725" t="s">
        <v>25</v>
      </c>
      <c r="S21" s="1726">
        <f>F21</f>
        <v>100</v>
      </c>
      <c r="T21" s="1725" t="s">
        <v>25</v>
      </c>
      <c r="U21" s="1726">
        <f>H21</f>
        <v>100</v>
      </c>
      <c r="V21" s="1725" t="s">
        <v>25</v>
      </c>
      <c r="W21" s="1726">
        <f>J21</f>
        <v>100</v>
      </c>
      <c r="X21" s="4102"/>
      <c r="Y21" s="4492"/>
      <c r="Z21" s="4103" t="str">
        <f>Q21</f>
        <v>基础设施水平</v>
      </c>
      <c r="AA21" s="4106">
        <f t="shared" ref="AA21" si="8">D21/F21</f>
        <v>1</v>
      </c>
      <c r="AB21" s="4106">
        <f t="shared" ref="AB21" si="9">D21/H21</f>
        <v>1</v>
      </c>
      <c r="AC21" s="4106">
        <f t="shared" ref="AC21" si="10">D21/J21</f>
        <v>1</v>
      </c>
    </row>
    <row r="22" spans="1:29" ht="15">
      <c r="A22" s="1702"/>
      <c r="B22" s="2495"/>
      <c r="C22" s="1979" t="s">
        <v>2921</v>
      </c>
      <c r="D22" s="1731"/>
      <c r="E22" s="1979" t="s">
        <v>2921</v>
      </c>
      <c r="F22" s="1731"/>
      <c r="G22" s="1979" t="s">
        <v>2921</v>
      </c>
      <c r="H22" s="1731"/>
      <c r="I22" s="1979" t="s">
        <v>2921</v>
      </c>
      <c r="J22" s="1731"/>
      <c r="K22" s="2473"/>
      <c r="L22" s="3000"/>
      <c r="M22" s="2996"/>
      <c r="N22" s="2996"/>
      <c r="O22" s="2996"/>
      <c r="P22" s="4492"/>
      <c r="Q22" s="4105"/>
      <c r="R22" s="1725"/>
      <c r="S22" s="1726"/>
      <c r="T22" s="1725"/>
      <c r="U22" s="1726"/>
      <c r="V22" s="1725"/>
      <c r="W22" s="1726"/>
      <c r="X22" s="4102"/>
      <c r="Y22" s="4492"/>
      <c r="Z22" s="4103"/>
      <c r="AA22" s="4106">
        <v>1</v>
      </c>
      <c r="AB22" s="4106">
        <v>1</v>
      </c>
      <c r="AC22" s="4106">
        <v>1</v>
      </c>
    </row>
    <row r="23" spans="1:29" ht="44.25" customHeight="1">
      <c r="A23" s="1702"/>
      <c r="B23" s="2493" t="s">
        <v>2386</v>
      </c>
      <c r="C23" s="1980" t="str">
        <f>估价对象房地状况!C9</f>
        <v>区域自然环境：上地公园、快乐成长家庭人口文化园等；人文环境；周边人文设施较少；
综合评价环境状况一般。</v>
      </c>
      <c r="D23" s="1735">
        <v>100</v>
      </c>
      <c r="E23" s="3729"/>
      <c r="F23" s="1735">
        <f>SUMIF(85:85,E24,86:86)-SUMIF(85:85,C24,86:86)+100</f>
        <v>100</v>
      </c>
      <c r="G23" s="3729"/>
      <c r="H23" s="1735">
        <f>SUMIF(85:85,G24,86:86)-SUMIF(85:85,C24,86:86)+100</f>
        <v>100</v>
      </c>
      <c r="I23" s="3729"/>
      <c r="J23" s="1735">
        <f>SUMIF(85:85,I24,86:86)-SUMIF(85:85,C24,86:86)+100</f>
        <v>100</v>
      </c>
      <c r="K23" s="2471">
        <v>2</v>
      </c>
      <c r="L23" s="3000"/>
      <c r="M23" s="2996"/>
      <c r="N23" s="2996"/>
      <c r="O23" s="2996"/>
      <c r="P23" s="4492"/>
      <c r="Q23" s="4105" t="str">
        <f>B23</f>
        <v>环境质量</v>
      </c>
      <c r="R23" s="1725" t="s">
        <v>25</v>
      </c>
      <c r="S23" s="1726">
        <f>F23</f>
        <v>100</v>
      </c>
      <c r="T23" s="1725" t="s">
        <v>25</v>
      </c>
      <c r="U23" s="1726">
        <f>H23</f>
        <v>100</v>
      </c>
      <c r="V23" s="1725" t="s">
        <v>25</v>
      </c>
      <c r="W23" s="1726">
        <f>J23</f>
        <v>100</v>
      </c>
      <c r="X23" s="4102"/>
      <c r="Y23" s="4492"/>
      <c r="Z23" s="4103" t="str">
        <f>Q23</f>
        <v>环境质量</v>
      </c>
      <c r="AA23" s="4106">
        <f t="shared" si="3"/>
        <v>1</v>
      </c>
      <c r="AB23" s="4106">
        <f t="shared" si="4"/>
        <v>1</v>
      </c>
      <c r="AC23" s="4106">
        <f t="shared" si="5"/>
        <v>1</v>
      </c>
    </row>
    <row r="24" spans="1:29" ht="15">
      <c r="A24" s="1702"/>
      <c r="B24" s="2495"/>
      <c r="C24" s="1975" t="s">
        <v>31</v>
      </c>
      <c r="D24" s="1731"/>
      <c r="E24" s="1975" t="s">
        <v>31</v>
      </c>
      <c r="F24" s="1731"/>
      <c r="G24" s="1975" t="s">
        <v>31</v>
      </c>
      <c r="H24" s="1731"/>
      <c r="I24" s="1975" t="s">
        <v>31</v>
      </c>
      <c r="J24" s="1731"/>
      <c r="K24" s="2472"/>
      <c r="L24" s="3000"/>
      <c r="M24" s="2996"/>
      <c r="N24" s="2996"/>
      <c r="O24" s="2996"/>
      <c r="P24" s="4492"/>
      <c r="Q24" s="4105"/>
      <c r="R24" s="1725"/>
      <c r="S24" s="1726"/>
      <c r="T24" s="1725"/>
      <c r="U24" s="1726"/>
      <c r="V24" s="1725"/>
      <c r="W24" s="1726"/>
      <c r="X24" s="4102"/>
      <c r="Y24" s="4492"/>
      <c r="Z24" s="4103"/>
      <c r="AA24" s="4106">
        <v>1</v>
      </c>
      <c r="AB24" s="4106">
        <v>1</v>
      </c>
      <c r="AC24" s="4106">
        <v>1</v>
      </c>
    </row>
    <row r="25" spans="1:29" ht="27" hidden="1">
      <c r="A25" s="1667"/>
      <c r="B25" s="2493" t="s">
        <v>2387</v>
      </c>
      <c r="C25" s="3732" t="s">
        <v>4988</v>
      </c>
      <c r="D25" s="1711">
        <v>100</v>
      </c>
      <c r="E25" s="3727"/>
      <c r="F25" s="1711">
        <f>SUMIF(87:87,E26,88:88)-SUMIF(87:87,C26,88:88)+100</f>
        <v>100</v>
      </c>
      <c r="G25" s="3732"/>
      <c r="H25" s="1711">
        <f>SUMIF(87:87,G26,88:88)-SUMIF(87:87,C26,88:88)+100</f>
        <v>100</v>
      </c>
      <c r="I25" s="3732"/>
      <c r="J25" s="1711">
        <f>SUMIF(87:87,I26,88:88)-SUMIF(87:87,C26,88:88)+100</f>
        <v>100</v>
      </c>
      <c r="K25" s="2471">
        <v>2</v>
      </c>
      <c r="L25" s="3000"/>
      <c r="M25" s="2996"/>
      <c r="N25" s="2996"/>
      <c r="O25" s="2996"/>
      <c r="P25" s="4492"/>
      <c r="Q25" s="4105" t="str">
        <f>B25</f>
        <v>毗邻道路的类型与等级</v>
      </c>
      <c r="R25" s="1725" t="s">
        <v>25</v>
      </c>
      <c r="S25" s="1726">
        <f>F25</f>
        <v>100</v>
      </c>
      <c r="T25" s="1725" t="s">
        <v>25</v>
      </c>
      <c r="U25" s="1726">
        <f>H25</f>
        <v>100</v>
      </c>
      <c r="V25" s="1725" t="s">
        <v>25</v>
      </c>
      <c r="W25" s="1726">
        <f>J25</f>
        <v>100</v>
      </c>
      <c r="X25" s="4102"/>
      <c r="Y25" s="4492"/>
      <c r="Z25" s="4103" t="str">
        <f>Q25</f>
        <v>毗邻道路的类型与等级</v>
      </c>
      <c r="AA25" s="4106">
        <f t="shared" si="3"/>
        <v>1</v>
      </c>
      <c r="AB25" s="4106">
        <f t="shared" si="4"/>
        <v>1</v>
      </c>
      <c r="AC25" s="4106">
        <f t="shared" si="5"/>
        <v>1</v>
      </c>
    </row>
    <row r="26" spans="1:29" ht="15" hidden="1">
      <c r="A26" s="1667"/>
      <c r="B26" s="2494"/>
      <c r="C26" s="1983" t="s">
        <v>4987</v>
      </c>
      <c r="D26" s="1711"/>
      <c r="E26" s="1991" t="s">
        <v>4987</v>
      </c>
      <c r="F26" s="1711"/>
      <c r="G26" s="1983" t="s">
        <v>4987</v>
      </c>
      <c r="H26" s="1711"/>
      <c r="I26" s="1991" t="s">
        <v>4987</v>
      </c>
      <c r="J26" s="1711"/>
      <c r="K26" s="2472"/>
      <c r="L26" s="3000"/>
      <c r="M26" s="2996"/>
      <c r="N26" s="2996"/>
      <c r="O26" s="2996"/>
      <c r="P26" s="4492"/>
      <c r="Q26" s="4105"/>
      <c r="R26" s="1725"/>
      <c r="S26" s="1726"/>
      <c r="T26" s="1725"/>
      <c r="U26" s="1726"/>
      <c r="V26" s="1725"/>
      <c r="W26" s="1726"/>
      <c r="X26" s="4102"/>
      <c r="Y26" s="4492"/>
      <c r="Z26" s="4103"/>
      <c r="AA26" s="4106">
        <v>1</v>
      </c>
      <c r="AB26" s="4106">
        <v>1</v>
      </c>
      <c r="AC26" s="4106">
        <v>1</v>
      </c>
    </row>
    <row r="27" spans="1:29" ht="15.75" thickBot="1">
      <c r="A27" s="1702"/>
      <c r="B27" s="2494" t="s">
        <v>2360</v>
      </c>
      <c r="C27" s="1983" t="s">
        <v>4990</v>
      </c>
      <c r="D27" s="1711">
        <v>100</v>
      </c>
      <c r="E27" s="1983" t="s">
        <v>4990</v>
      </c>
      <c r="F27" s="1711">
        <f>SUMIF(89:89,E27,90:90)-SUMIF(89:89,C27,90:90)+100</f>
        <v>100</v>
      </c>
      <c r="G27" s="1983" t="s">
        <v>4990</v>
      </c>
      <c r="H27" s="1711">
        <f>SUMIF(89:89,G27,90:90)-SUMIF(89:89,C27,90:90)+100</f>
        <v>100</v>
      </c>
      <c r="I27" s="1983" t="s">
        <v>4990</v>
      </c>
      <c r="J27" s="1711">
        <f>SUMIF(89:89,I27,90:90)-SUMIF(89:89,C27,90:90)+100</f>
        <v>100</v>
      </c>
      <c r="K27" s="1992">
        <v>2</v>
      </c>
      <c r="L27" s="3000"/>
      <c r="M27" s="2996"/>
      <c r="N27" s="2996"/>
      <c r="O27" s="2996"/>
      <c r="P27" s="4492"/>
      <c r="Q27" s="4105" t="str">
        <f t="shared" ref="Q27:Q45" si="11">B27</f>
        <v>楼层</v>
      </c>
      <c r="R27" s="1725" t="s">
        <v>25</v>
      </c>
      <c r="S27" s="1726">
        <f>F27</f>
        <v>100</v>
      </c>
      <c r="T27" s="1725" t="s">
        <v>25</v>
      </c>
      <c r="U27" s="1726">
        <f>H27</f>
        <v>100</v>
      </c>
      <c r="V27" s="1725" t="s">
        <v>25</v>
      </c>
      <c r="W27" s="1726">
        <f>J27</f>
        <v>100</v>
      </c>
      <c r="X27" s="4102"/>
      <c r="Y27" s="4492"/>
      <c r="Z27" s="4103" t="str">
        <f>Q27</f>
        <v>楼层</v>
      </c>
      <c r="AA27" s="4106">
        <f t="shared" si="3"/>
        <v>1</v>
      </c>
      <c r="AB27" s="4106">
        <f t="shared" si="4"/>
        <v>1</v>
      </c>
      <c r="AC27" s="4106">
        <f t="shared" si="5"/>
        <v>1</v>
      </c>
    </row>
    <row r="28" spans="1:29" s="1684" customFormat="1" ht="15.75" hidden="1" thickBot="1">
      <c r="A28" s="4101"/>
      <c r="B28" s="2493" t="s">
        <v>2388</v>
      </c>
      <c r="C28" s="2497"/>
      <c r="D28" s="1756">
        <v>100</v>
      </c>
      <c r="E28" s="2475"/>
      <c r="F28" s="1756">
        <f>SUMIF(91:91,E28,92:92)-SUMIF(91:91,C28,92:92)+100</f>
        <v>100</v>
      </c>
      <c r="G28" s="2497"/>
      <c r="H28" s="1756">
        <f>SUMIF(91:91,G28,92:92)-SUMIF(91:91,C28,92:92)+100</f>
        <v>100</v>
      </c>
      <c r="I28" s="2475"/>
      <c r="J28" s="1756">
        <f>SUMIF(91:91,I28,92:92)-SUMIF(91:91,C28,92:92)+100</f>
        <v>100</v>
      </c>
      <c r="K28" s="1992">
        <v>2</v>
      </c>
      <c r="L28" s="2995"/>
      <c r="M28" s="2968"/>
      <c r="N28" s="2968"/>
      <c r="O28" s="2968"/>
      <c r="P28" s="4492"/>
      <c r="Q28" s="4099" t="str">
        <f t="shared" si="11"/>
        <v>朝向</v>
      </c>
      <c r="R28" s="1680" t="s">
        <v>25</v>
      </c>
      <c r="S28" s="1681">
        <f>F28</f>
        <v>100</v>
      </c>
      <c r="T28" s="1680" t="s">
        <v>25</v>
      </c>
      <c r="U28" s="1681">
        <f>H28</f>
        <v>100</v>
      </c>
      <c r="V28" s="1680" t="s">
        <v>25</v>
      </c>
      <c r="W28" s="1681">
        <f>J28</f>
        <v>100</v>
      </c>
      <c r="X28" s="1682"/>
      <c r="Y28" s="4492"/>
      <c r="Z28" s="1693" t="str">
        <f>Q28</f>
        <v>朝向</v>
      </c>
      <c r="AA28" s="4106">
        <f>D28/F28</f>
        <v>1</v>
      </c>
      <c r="AB28" s="4106">
        <f>D28/H28</f>
        <v>1</v>
      </c>
      <c r="AC28" s="4106">
        <f>D28/J28</f>
        <v>1</v>
      </c>
    </row>
    <row r="29" spans="1:29" ht="15.75" hidden="1" thickBot="1">
      <c r="A29" s="1702"/>
      <c r="C29" s="2496"/>
      <c r="D29" s="1711">
        <v>100</v>
      </c>
      <c r="E29" s="1707"/>
      <c r="F29" s="1711">
        <f>SUMIF(93:93,E29,94:94)-SUMIF(93:93,C29,94:94)+100</f>
        <v>100</v>
      </c>
      <c r="G29" s="2489"/>
      <c r="H29" s="1711">
        <f>SUMIF(93:93,G29,94:94)-SUMIF(93:93,C29,94:94)+100</f>
        <v>100</v>
      </c>
      <c r="I29" s="1707"/>
      <c r="J29" s="1711">
        <f>SUMIF(93:93,I29,94:94)-SUMIF(93:93,C29,94:94)+100</f>
        <v>100</v>
      </c>
      <c r="K29" s="1989"/>
      <c r="L29" s="3000"/>
      <c r="M29" s="2996"/>
      <c r="N29" s="2996"/>
      <c r="O29" s="2996"/>
      <c r="P29" s="4492"/>
      <c r="Q29" s="4105">
        <f>B47</f>
        <v>0</v>
      </c>
      <c r="R29" s="1725" t="s">
        <v>25</v>
      </c>
      <c r="S29" s="1726">
        <f t="shared" ref="S29:S47" si="12">F29</f>
        <v>100</v>
      </c>
      <c r="T29" s="1725" t="s">
        <v>25</v>
      </c>
      <c r="U29" s="1726">
        <f t="shared" ref="U29:U47" si="13">H29</f>
        <v>100</v>
      </c>
      <c r="V29" s="1725" t="s">
        <v>25</v>
      </c>
      <c r="W29" s="1726">
        <f t="shared" ref="W29:W47" si="14">J29</f>
        <v>100</v>
      </c>
      <c r="X29" s="4102"/>
      <c r="Y29" s="4492"/>
      <c r="Z29" s="4103">
        <f t="shared" ref="Z29:Z47" si="15">Q29</f>
        <v>0</v>
      </c>
      <c r="AA29" s="4106">
        <f t="shared" si="3"/>
        <v>1</v>
      </c>
      <c r="AB29" s="4106">
        <f t="shared" si="4"/>
        <v>1</v>
      </c>
      <c r="AC29" s="4106">
        <f t="shared" si="5"/>
        <v>1</v>
      </c>
    </row>
    <row r="30" spans="1:29" ht="15.75" hidden="1" thickBot="1">
      <c r="A30" s="1702"/>
      <c r="B30" s="2498">
        <v>111</v>
      </c>
      <c r="C30" s="2496"/>
      <c r="D30" s="1711">
        <v>100</v>
      </c>
      <c r="E30" s="1707"/>
      <c r="F30" s="1711">
        <f>SUMIF(95:95,E30,96:96)-SUMIF(95:95,C30,96:96)+100</f>
        <v>100</v>
      </c>
      <c r="G30" s="2489"/>
      <c r="H30" s="1711">
        <f>SUMIF(95:95,G30,96:96)-SUMIF(95:95,C30,96:96)+100</f>
        <v>100</v>
      </c>
      <c r="I30" s="1707"/>
      <c r="J30" s="1711">
        <f>SUMIF(95:95,I30,96:96)-SUMIF(95:95,C30,96:96)+100</f>
        <v>100</v>
      </c>
      <c r="K30" s="1989"/>
      <c r="L30" s="3000"/>
      <c r="M30" s="2996"/>
      <c r="N30" s="2996"/>
      <c r="O30" s="2996"/>
      <c r="P30" s="4492"/>
      <c r="Q30" s="4105">
        <f t="shared" si="11"/>
        <v>111</v>
      </c>
      <c r="R30" s="1725" t="s">
        <v>25</v>
      </c>
      <c r="S30" s="1726">
        <f t="shared" si="12"/>
        <v>100</v>
      </c>
      <c r="T30" s="1725" t="s">
        <v>25</v>
      </c>
      <c r="U30" s="1726">
        <f t="shared" si="13"/>
        <v>100</v>
      </c>
      <c r="V30" s="1725" t="s">
        <v>25</v>
      </c>
      <c r="W30" s="1726">
        <f t="shared" si="14"/>
        <v>100</v>
      </c>
      <c r="X30" s="4102"/>
      <c r="Y30" s="4492"/>
      <c r="Z30" s="4103">
        <f t="shared" si="15"/>
        <v>111</v>
      </c>
      <c r="AA30" s="4106">
        <f t="shared" si="3"/>
        <v>1</v>
      </c>
      <c r="AB30" s="4106">
        <f t="shared" si="4"/>
        <v>1</v>
      </c>
      <c r="AC30" s="4106">
        <f t="shared" si="5"/>
        <v>1</v>
      </c>
    </row>
    <row r="31" spans="1:29" ht="15.75" hidden="1" thickBot="1">
      <c r="A31" s="1702"/>
      <c r="B31" s="2498">
        <v>111</v>
      </c>
      <c r="C31" s="2496"/>
      <c r="D31" s="1711">
        <v>100</v>
      </c>
      <c r="E31" s="1707"/>
      <c r="F31" s="1711">
        <f>SUMIF(97:97,E31,98:98)-SUMIF(97:97,C31,98:98)+100</f>
        <v>100</v>
      </c>
      <c r="G31" s="2489"/>
      <c r="H31" s="1711">
        <f>SUMIF(97:97,G31,98:98)-SUMIF(97:97,C31,98:98)+100</f>
        <v>100</v>
      </c>
      <c r="I31" s="1707"/>
      <c r="J31" s="1711">
        <f>SUMIF(97:97,I31,98:98)-SUMIF(97:97,C31,98:98)+100</f>
        <v>100</v>
      </c>
      <c r="K31" s="1989"/>
      <c r="L31" s="3000"/>
      <c r="M31" s="2996"/>
      <c r="N31" s="2996"/>
      <c r="O31" s="2996"/>
      <c r="P31" s="4492"/>
      <c r="Q31" s="4105">
        <f t="shared" si="11"/>
        <v>111</v>
      </c>
      <c r="R31" s="1725" t="s">
        <v>25</v>
      </c>
      <c r="S31" s="1726">
        <f t="shared" si="12"/>
        <v>100</v>
      </c>
      <c r="T31" s="1725" t="s">
        <v>25</v>
      </c>
      <c r="U31" s="1726">
        <f t="shared" si="13"/>
        <v>100</v>
      </c>
      <c r="V31" s="1725" t="s">
        <v>25</v>
      </c>
      <c r="W31" s="1726">
        <f t="shared" si="14"/>
        <v>100</v>
      </c>
      <c r="X31" s="4102"/>
      <c r="Y31" s="4492"/>
      <c r="Z31" s="4103">
        <f t="shared" si="15"/>
        <v>111</v>
      </c>
      <c r="AA31" s="4106">
        <f t="shared" si="3"/>
        <v>1</v>
      </c>
      <c r="AB31" s="4106">
        <f t="shared" si="4"/>
        <v>1</v>
      </c>
      <c r="AC31" s="4106">
        <f t="shared" si="5"/>
        <v>1</v>
      </c>
    </row>
    <row r="32" spans="1:29" ht="15.75" hidden="1" thickBot="1">
      <c r="A32" s="1712"/>
      <c r="B32" s="2499">
        <v>111</v>
      </c>
      <c r="C32" s="2500"/>
      <c r="D32" s="1715">
        <v>100</v>
      </c>
      <c r="E32" s="2490"/>
      <c r="F32" s="1715">
        <f>SUMIF(99:99,E32,100:100)-SUMIF(99:99,C32,100:100)+100</f>
        <v>100</v>
      </c>
      <c r="G32" s="2489"/>
      <c r="H32" s="1715">
        <f>SUMIF(99:99,G32,100:100)-SUMIF(99:99,C32,100:100)+100</f>
        <v>100</v>
      </c>
      <c r="I32" s="1707"/>
      <c r="J32" s="1715">
        <f>SUMIF(99:99,I32,100:100)-SUMIF(99:99,C32,100:100)+100</f>
        <v>100</v>
      </c>
      <c r="K32" s="1989"/>
      <c r="L32" s="3000"/>
      <c r="M32" s="2996"/>
      <c r="N32" s="2996"/>
      <c r="O32" s="2996"/>
      <c r="P32" s="4492"/>
      <c r="Q32" s="4105">
        <f t="shared" si="11"/>
        <v>111</v>
      </c>
      <c r="R32" s="1725" t="s">
        <v>25</v>
      </c>
      <c r="S32" s="1726">
        <f t="shared" si="12"/>
        <v>100</v>
      </c>
      <c r="T32" s="1725" t="s">
        <v>25</v>
      </c>
      <c r="U32" s="1726">
        <f t="shared" si="13"/>
        <v>100</v>
      </c>
      <c r="V32" s="1725" t="s">
        <v>25</v>
      </c>
      <c r="W32" s="1726">
        <f t="shared" si="14"/>
        <v>100</v>
      </c>
      <c r="X32" s="4102"/>
      <c r="Y32" s="4492"/>
      <c r="Z32" s="4103">
        <f t="shared" si="15"/>
        <v>111</v>
      </c>
      <c r="AA32" s="4106">
        <f t="shared" si="3"/>
        <v>1</v>
      </c>
      <c r="AB32" s="4106">
        <f t="shared" si="4"/>
        <v>1</v>
      </c>
      <c r="AC32" s="4106">
        <f t="shared" si="5"/>
        <v>1</v>
      </c>
    </row>
    <row r="33" spans="1:29" ht="15">
      <c r="A33" s="1717" t="s">
        <v>2273</v>
      </c>
      <c r="B33" s="1687" t="s">
        <v>2389</v>
      </c>
      <c r="C33" s="2501" t="s">
        <v>5044</v>
      </c>
      <c r="D33" s="1762">
        <v>100</v>
      </c>
      <c r="E33" s="2501" t="s">
        <v>5044</v>
      </c>
      <c r="F33" s="1754">
        <f>SUMIF(101:101,E33,102:102)-SUMIF(101:101,C33,102:102)+100</f>
        <v>100</v>
      </c>
      <c r="G33" s="2501" t="s">
        <v>5044</v>
      </c>
      <c r="H33" s="1711">
        <f>SUMIF(101:101,G33,102:102)-SUMIF(101:101,C33,102:102)+100</f>
        <v>100</v>
      </c>
      <c r="I33" s="2501" t="s">
        <v>5044</v>
      </c>
      <c r="J33" s="1762">
        <f>SUMIF(101:101,I33,102:102)-SUMIF(101:101,C33,102:102)+100</f>
        <v>100</v>
      </c>
      <c r="K33" s="1992">
        <v>1</v>
      </c>
      <c r="L33" s="3000"/>
      <c r="M33" s="2996"/>
      <c r="N33" s="2996"/>
      <c r="O33" s="2996"/>
      <c r="P33" s="4576" t="s">
        <v>2275</v>
      </c>
      <c r="Q33" s="4105" t="str">
        <f t="shared" si="11"/>
        <v>建筑类型</v>
      </c>
      <c r="R33" s="1725" t="s">
        <v>25</v>
      </c>
      <c r="S33" s="1726">
        <f t="shared" si="12"/>
        <v>100</v>
      </c>
      <c r="T33" s="1725" t="s">
        <v>25</v>
      </c>
      <c r="U33" s="1726">
        <f t="shared" si="13"/>
        <v>100</v>
      </c>
      <c r="V33" s="1725" t="s">
        <v>25</v>
      </c>
      <c r="W33" s="1726">
        <f t="shared" si="14"/>
        <v>100</v>
      </c>
      <c r="X33" s="4102"/>
      <c r="Y33" s="4496" t="s">
        <v>2275</v>
      </c>
      <c r="Z33" s="4103" t="str">
        <f t="shared" si="15"/>
        <v>建筑类型</v>
      </c>
      <c r="AA33" s="4106">
        <f t="shared" si="3"/>
        <v>1</v>
      </c>
      <c r="AB33" s="4106">
        <f t="shared" si="4"/>
        <v>1</v>
      </c>
      <c r="AC33" s="4106">
        <f t="shared" si="5"/>
        <v>1</v>
      </c>
    </row>
    <row r="34" spans="1:29" s="1771" customFormat="1" ht="15">
      <c r="A34" s="1764"/>
      <c r="B34" s="1695" t="s">
        <v>2276</v>
      </c>
      <c r="C34" s="1765">
        <f>面积表!E6+面积表!E7</f>
        <v>1402.83</v>
      </c>
      <c r="D34" s="1697">
        <v>100</v>
      </c>
      <c r="E34" s="1704">
        <v>910.06</v>
      </c>
      <c r="F34" s="1699">
        <f>LOOKUP(E34,104:104,105:105)-LOOKUP(C34,104:104,105:105)+100</f>
        <v>101</v>
      </c>
      <c r="G34" s="1703">
        <v>917.41</v>
      </c>
      <c r="H34" s="1697">
        <f>LOOKUP(G34,104:104,105:105)-LOOKUP(C34,104:104,105:105)+100</f>
        <v>101</v>
      </c>
      <c r="I34" s="1703">
        <v>603.65</v>
      </c>
      <c r="J34" s="1697">
        <f>LOOKUP(I34,104:104,105:105)-LOOKUP(C34,104:104,105:105)+100</f>
        <v>101</v>
      </c>
      <c r="K34" s="1989"/>
      <c r="L34" s="2999"/>
      <c r="M34" s="2059"/>
      <c r="N34" s="2059"/>
      <c r="O34" s="2059"/>
      <c r="P34" s="4496"/>
      <c r="Q34" s="1766" t="str">
        <f t="shared" si="11"/>
        <v>项目建筑规模</v>
      </c>
      <c r="R34" s="1767" t="s">
        <v>25</v>
      </c>
      <c r="S34" s="1768">
        <f t="shared" si="12"/>
        <v>101</v>
      </c>
      <c r="T34" s="1767" t="s">
        <v>25</v>
      </c>
      <c r="U34" s="1768">
        <f t="shared" si="13"/>
        <v>101</v>
      </c>
      <c r="V34" s="1767" t="s">
        <v>25</v>
      </c>
      <c r="W34" s="1768">
        <f t="shared" si="14"/>
        <v>101</v>
      </c>
      <c r="X34" s="1769"/>
      <c r="Y34" s="4496"/>
      <c r="Z34" s="1770" t="str">
        <f t="shared" si="15"/>
        <v>项目建筑规模</v>
      </c>
      <c r="AA34" s="4106">
        <f t="shared" si="3"/>
        <v>0.99009900990099009</v>
      </c>
      <c r="AB34" s="4106">
        <f t="shared" si="4"/>
        <v>0.99009900990099009</v>
      </c>
      <c r="AC34" s="4106">
        <f t="shared" si="5"/>
        <v>0.99009900990099009</v>
      </c>
    </row>
    <row r="35" spans="1:29" ht="15">
      <c r="A35" s="1772"/>
      <c r="B35" s="1695" t="s">
        <v>2277</v>
      </c>
      <c r="C35" s="1752" t="s">
        <v>2892</v>
      </c>
      <c r="D35" s="1711">
        <v>100</v>
      </c>
      <c r="E35" s="1752" t="s">
        <v>2892</v>
      </c>
      <c r="F35" s="1754">
        <f>SUMIF(106:106,E35,107:107)-SUMIF(106:106,C35,107:107)+100</f>
        <v>100</v>
      </c>
      <c r="G35" s="1752" t="s">
        <v>2892</v>
      </c>
      <c r="H35" s="1711">
        <f>SUMIF(106:106,G35,107:107)-SUMIF(106:106,C35,107:107)+100</f>
        <v>100</v>
      </c>
      <c r="I35" s="1752" t="s">
        <v>2892</v>
      </c>
      <c r="J35" s="1711">
        <f>SUMIF(106:106,I35,107:107)-SUMIF(106:106,C35,107:107)+100</f>
        <v>100</v>
      </c>
      <c r="K35" s="1992">
        <v>1</v>
      </c>
      <c r="L35" s="3000"/>
      <c r="M35" s="2996"/>
      <c r="N35" s="2996"/>
      <c r="O35" s="2996"/>
      <c r="P35" s="4496"/>
      <c r="Q35" s="4105" t="str">
        <f t="shared" si="11"/>
        <v>建筑结构</v>
      </c>
      <c r="R35" s="1725" t="s">
        <v>25</v>
      </c>
      <c r="S35" s="1726">
        <f t="shared" si="12"/>
        <v>100</v>
      </c>
      <c r="T35" s="1725" t="s">
        <v>25</v>
      </c>
      <c r="U35" s="1726">
        <f t="shared" si="13"/>
        <v>100</v>
      </c>
      <c r="V35" s="1725" t="s">
        <v>25</v>
      </c>
      <c r="W35" s="1726">
        <f t="shared" si="14"/>
        <v>100</v>
      </c>
      <c r="X35" s="4102"/>
      <c r="Y35" s="4496"/>
      <c r="Z35" s="4103" t="str">
        <f t="shared" si="15"/>
        <v>建筑结构</v>
      </c>
      <c r="AA35" s="4106">
        <f t="shared" si="3"/>
        <v>1</v>
      </c>
      <c r="AB35" s="4106">
        <f t="shared" si="4"/>
        <v>1</v>
      </c>
      <c r="AC35" s="4106">
        <f t="shared" si="5"/>
        <v>1</v>
      </c>
    </row>
    <row r="36" spans="1:29" ht="15">
      <c r="A36" s="1772"/>
      <c r="B36" s="1695" t="s">
        <v>2362</v>
      </c>
      <c r="C36" s="1752" t="s">
        <v>2896</v>
      </c>
      <c r="D36" s="1711">
        <v>100</v>
      </c>
      <c r="E36" s="1752" t="s">
        <v>2896</v>
      </c>
      <c r="F36" s="1754">
        <f>SUMIF(108:108,E36,109:109)-SUMIF(108:108,C36,109:109)+100</f>
        <v>100</v>
      </c>
      <c r="G36" s="1752" t="s">
        <v>2896</v>
      </c>
      <c r="H36" s="1711">
        <f>SUMIF(108:108,G36,109:109)-SUMIF(108:108,C36,109:109)+100</f>
        <v>100</v>
      </c>
      <c r="I36" s="1752" t="s">
        <v>2896</v>
      </c>
      <c r="J36" s="1711">
        <f>SUMIF(108:108,I36,109:109)-SUMIF(108:108,C36,109:109)+100</f>
        <v>100</v>
      </c>
      <c r="K36" s="1992">
        <v>2</v>
      </c>
      <c r="L36" s="3000"/>
      <c r="M36" s="2996"/>
      <c r="N36" s="2996"/>
      <c r="O36" s="2996"/>
      <c r="P36" s="4496"/>
      <c r="Q36" s="4105" t="str">
        <f t="shared" si="11"/>
        <v>公共部分装修</v>
      </c>
      <c r="R36" s="1725" t="s">
        <v>25</v>
      </c>
      <c r="S36" s="1726">
        <f t="shared" si="12"/>
        <v>100</v>
      </c>
      <c r="T36" s="1725" t="s">
        <v>25</v>
      </c>
      <c r="U36" s="1726">
        <f t="shared" si="13"/>
        <v>100</v>
      </c>
      <c r="V36" s="1725" t="s">
        <v>25</v>
      </c>
      <c r="W36" s="1726">
        <f t="shared" si="14"/>
        <v>100</v>
      </c>
      <c r="X36" s="4102"/>
      <c r="Y36" s="4496"/>
      <c r="Z36" s="4103" t="str">
        <f t="shared" si="15"/>
        <v>公共部分装修</v>
      </c>
      <c r="AA36" s="4106">
        <f t="shared" si="3"/>
        <v>1</v>
      </c>
      <c r="AB36" s="4106">
        <f t="shared" si="4"/>
        <v>1</v>
      </c>
      <c r="AC36" s="4106">
        <f t="shared" si="5"/>
        <v>1</v>
      </c>
    </row>
    <row r="37" spans="1:29" ht="15">
      <c r="A37" s="1772"/>
      <c r="B37" s="1695" t="s">
        <v>2363</v>
      </c>
      <c r="C37" s="1776">
        <v>0.72</v>
      </c>
      <c r="D37" s="1711">
        <v>100</v>
      </c>
      <c r="E37" s="1776">
        <f>C37</f>
        <v>0.72</v>
      </c>
      <c r="F37" s="1754">
        <f>LOOKUP(E37,111:111,112:112)-LOOKUP(C37,111:111,112:112)+100</f>
        <v>100</v>
      </c>
      <c r="G37" s="1776">
        <f>C37</f>
        <v>0.72</v>
      </c>
      <c r="H37" s="1754">
        <f>LOOKUP(G37,111:111,112:112)-LOOKUP(C37,111:111,112:112)+100</f>
        <v>100</v>
      </c>
      <c r="I37" s="1776">
        <f>C37</f>
        <v>0.72</v>
      </c>
      <c r="J37" s="1711">
        <f>LOOKUP(I37,111:111,112:112)-LOOKUP(C37,111:111,112:112)+100</f>
        <v>100</v>
      </c>
      <c r="K37" s="1992">
        <v>1</v>
      </c>
      <c r="L37" s="3000"/>
      <c r="M37" s="2996"/>
      <c r="N37" s="2996"/>
      <c r="O37" s="2996"/>
      <c r="P37" s="4496"/>
      <c r="Q37" s="4105" t="str">
        <f t="shared" si="11"/>
        <v>成新度</v>
      </c>
      <c r="R37" s="1725" t="s">
        <v>25</v>
      </c>
      <c r="S37" s="1726">
        <f t="shared" si="12"/>
        <v>100</v>
      </c>
      <c r="T37" s="1725" t="s">
        <v>25</v>
      </c>
      <c r="U37" s="1726">
        <f t="shared" si="13"/>
        <v>100</v>
      </c>
      <c r="V37" s="1725" t="s">
        <v>25</v>
      </c>
      <c r="W37" s="1726">
        <f t="shared" si="14"/>
        <v>100</v>
      </c>
      <c r="X37" s="4102"/>
      <c r="Y37" s="4496"/>
      <c r="Z37" s="4103" t="str">
        <f t="shared" si="15"/>
        <v>成新度</v>
      </c>
      <c r="AA37" s="4106">
        <f t="shared" si="3"/>
        <v>1</v>
      </c>
      <c r="AB37" s="4106">
        <f t="shared" si="4"/>
        <v>1</v>
      </c>
      <c r="AC37" s="4106">
        <f t="shared" si="5"/>
        <v>1</v>
      </c>
    </row>
    <row r="38" spans="1:29" s="1684" customFormat="1" ht="15">
      <c r="A38" s="1775"/>
      <c r="B38" s="1695" t="s">
        <v>2390</v>
      </c>
      <c r="C38" s="1752" t="s">
        <v>5045</v>
      </c>
      <c r="D38" s="1697">
        <v>100</v>
      </c>
      <c r="E38" s="1752" t="s">
        <v>5045</v>
      </c>
      <c r="F38" s="1754">
        <f>SUMIF(113:113,E38,114:114)-SUMIF(113:113,C38,114:114)+100</f>
        <v>100</v>
      </c>
      <c r="G38" s="1752" t="s">
        <v>5045</v>
      </c>
      <c r="H38" s="1711">
        <f>SUMIF(113:113,G38,114:114)-SUMIF(113:113,C38,114:114)+100</f>
        <v>100</v>
      </c>
      <c r="I38" s="1752" t="s">
        <v>5045</v>
      </c>
      <c r="J38" s="1711">
        <f>SUMIF(113:113,I38,114:114)-SUMIF(113:113,C38,114:114)+100</f>
        <v>100</v>
      </c>
      <c r="K38" s="1992">
        <v>2</v>
      </c>
      <c r="L38" s="2995"/>
      <c r="M38" s="2968"/>
      <c r="N38" s="2968"/>
      <c r="O38" s="2968"/>
      <c r="P38" s="4496"/>
      <c r="Q38" s="4099" t="str">
        <f t="shared" si="11"/>
        <v>写字楼等级</v>
      </c>
      <c r="R38" s="1680" t="s">
        <v>25</v>
      </c>
      <c r="S38" s="1681">
        <f t="shared" si="12"/>
        <v>100</v>
      </c>
      <c r="T38" s="1680" t="s">
        <v>25</v>
      </c>
      <c r="U38" s="1681">
        <f t="shared" si="13"/>
        <v>100</v>
      </c>
      <c r="V38" s="1680" t="s">
        <v>25</v>
      </c>
      <c r="W38" s="1681">
        <f t="shared" si="14"/>
        <v>100</v>
      </c>
      <c r="X38" s="1682"/>
      <c r="Y38" s="4496"/>
      <c r="Z38" s="1693" t="str">
        <f t="shared" si="15"/>
        <v>写字楼等级</v>
      </c>
      <c r="AA38" s="1683">
        <f t="shared" si="3"/>
        <v>1</v>
      </c>
      <c r="AB38" s="1683">
        <f t="shared" si="4"/>
        <v>1</v>
      </c>
      <c r="AC38" s="1683">
        <f t="shared" si="5"/>
        <v>1</v>
      </c>
    </row>
    <row r="39" spans="1:29" ht="15">
      <c r="A39" s="1772"/>
      <c r="B39" s="1695" t="s">
        <v>2391</v>
      </c>
      <c r="C39" s="1752" t="s">
        <v>3524</v>
      </c>
      <c r="D39" s="1711">
        <v>100</v>
      </c>
      <c r="E39" s="1752" t="s">
        <v>3524</v>
      </c>
      <c r="F39" s="1754">
        <f>SUMIF(115:115,E39,116:116)-SUMIF(115:115,C39,116:116)+100</f>
        <v>100</v>
      </c>
      <c r="G39" s="1752" t="s">
        <v>3524</v>
      </c>
      <c r="H39" s="1711">
        <f>SUMIF(115:115,G39,116:116)-SUMIF(115:115,C39,116:116)+100</f>
        <v>100</v>
      </c>
      <c r="I39" s="1752" t="s">
        <v>3524</v>
      </c>
      <c r="J39" s="1711">
        <f>SUMIF(115:115,I39,116:116)-SUMIF(115:115,C39,116:116)+100</f>
        <v>100</v>
      </c>
      <c r="K39" s="1992"/>
      <c r="L39" s="3000"/>
      <c r="M39" s="2996"/>
      <c r="N39" s="2996"/>
      <c r="O39" s="2996"/>
      <c r="P39" s="4496" t="s">
        <v>2275</v>
      </c>
      <c r="Q39" s="4105" t="str">
        <f t="shared" si="11"/>
        <v>物业管理</v>
      </c>
      <c r="R39" s="1725" t="s">
        <v>25</v>
      </c>
      <c r="S39" s="1726">
        <f t="shared" si="12"/>
        <v>100</v>
      </c>
      <c r="T39" s="1725" t="s">
        <v>25</v>
      </c>
      <c r="U39" s="1726">
        <f t="shared" si="13"/>
        <v>100</v>
      </c>
      <c r="V39" s="1725" t="s">
        <v>25</v>
      </c>
      <c r="W39" s="1726">
        <f t="shared" si="14"/>
        <v>100</v>
      </c>
      <c r="X39" s="4102"/>
      <c r="Y39" s="4496" t="s">
        <v>2275</v>
      </c>
      <c r="Z39" s="4103" t="str">
        <f t="shared" si="15"/>
        <v>物业管理</v>
      </c>
      <c r="AA39" s="4106">
        <f t="shared" si="3"/>
        <v>1</v>
      </c>
      <c r="AB39" s="4106">
        <f t="shared" si="4"/>
        <v>1</v>
      </c>
      <c r="AC39" s="4106">
        <f t="shared" si="5"/>
        <v>1</v>
      </c>
    </row>
    <row r="40" spans="1:29" ht="15">
      <c r="A40" s="1772"/>
      <c r="B40" s="1695" t="s">
        <v>2364</v>
      </c>
      <c r="C40" s="1752" t="s">
        <v>3525</v>
      </c>
      <c r="D40" s="1711">
        <v>100</v>
      </c>
      <c r="E40" s="1752" t="s">
        <v>3525</v>
      </c>
      <c r="F40" s="1754">
        <f>SUMIF(117:117,E40,118:118)-SUMIF(117:117,C40,118:118)+100</f>
        <v>100</v>
      </c>
      <c r="G40" s="1752" t="s">
        <v>3525</v>
      </c>
      <c r="H40" s="1711">
        <f>SUMIF(117:117,G40,118:118)-SUMIF(117:117,C40,118:118)+100</f>
        <v>100</v>
      </c>
      <c r="I40" s="1752" t="s">
        <v>3525</v>
      </c>
      <c r="J40" s="1711">
        <f>SUMIF(117:117,I40,118:118)-SUMIF(117:117,C40,118:118)+100</f>
        <v>100</v>
      </c>
      <c r="K40" s="1992"/>
      <c r="L40" s="3000"/>
      <c r="M40" s="2996"/>
      <c r="N40" s="2996"/>
      <c r="O40" s="2996"/>
      <c r="P40" s="4496"/>
      <c r="Q40" s="4105" t="str">
        <f t="shared" si="11"/>
        <v>市政基础设施</v>
      </c>
      <c r="R40" s="1725" t="s">
        <v>25</v>
      </c>
      <c r="S40" s="1726">
        <f t="shared" si="12"/>
        <v>100</v>
      </c>
      <c r="T40" s="1725" t="s">
        <v>25</v>
      </c>
      <c r="U40" s="1726">
        <f t="shared" si="13"/>
        <v>100</v>
      </c>
      <c r="V40" s="1725" t="s">
        <v>25</v>
      </c>
      <c r="W40" s="1726">
        <f t="shared" si="14"/>
        <v>100</v>
      </c>
      <c r="X40" s="4102"/>
      <c r="Y40" s="4496"/>
      <c r="Z40" s="4103" t="str">
        <f t="shared" si="15"/>
        <v>市政基础设施</v>
      </c>
      <c r="AA40" s="4106">
        <f t="shared" si="3"/>
        <v>1</v>
      </c>
      <c r="AB40" s="4106">
        <f t="shared" si="4"/>
        <v>1</v>
      </c>
      <c r="AC40" s="4106">
        <f t="shared" si="5"/>
        <v>1</v>
      </c>
    </row>
    <row r="41" spans="1:29" ht="15">
      <c r="A41" s="1772"/>
      <c r="B41" s="1695" t="s">
        <v>2366</v>
      </c>
      <c r="C41" s="1991" t="s">
        <v>4243</v>
      </c>
      <c r="D41" s="1711">
        <v>100</v>
      </c>
      <c r="E41" s="1991" t="s">
        <v>4243</v>
      </c>
      <c r="F41" s="1754">
        <f>SUMIF(119:119,E41,120:120)-SUMIF(119:119,C41,120:120)+100</f>
        <v>100</v>
      </c>
      <c r="G41" s="1991" t="s">
        <v>4243</v>
      </c>
      <c r="H41" s="1711">
        <f>SUMIF(119:119,G41,120:120)-SUMIF(119:119,C41,120:120)+100</f>
        <v>100</v>
      </c>
      <c r="I41" s="1991" t="s">
        <v>4243</v>
      </c>
      <c r="J41" s="1711">
        <f>SUMIF(119:119,I41,120:120)-SUMIF(119:119,C41,120:120)+100</f>
        <v>100</v>
      </c>
      <c r="K41" s="1992"/>
      <c r="L41" s="3000"/>
      <c r="M41" s="2996"/>
      <c r="N41" s="2996"/>
      <c r="O41" s="2996"/>
      <c r="P41" s="4496"/>
      <c r="Q41" s="4105" t="str">
        <f t="shared" si="11"/>
        <v>层高</v>
      </c>
      <c r="R41" s="1725" t="s">
        <v>25</v>
      </c>
      <c r="S41" s="1726">
        <f t="shared" si="12"/>
        <v>100</v>
      </c>
      <c r="T41" s="1725" t="s">
        <v>25</v>
      </c>
      <c r="U41" s="1726">
        <f t="shared" si="13"/>
        <v>100</v>
      </c>
      <c r="V41" s="1725" t="s">
        <v>25</v>
      </c>
      <c r="W41" s="1726">
        <f t="shared" si="14"/>
        <v>100</v>
      </c>
      <c r="X41" s="4102"/>
      <c r="Y41" s="4496"/>
      <c r="Z41" s="4103" t="str">
        <f t="shared" si="15"/>
        <v>层高</v>
      </c>
      <c r="AA41" s="4106">
        <f t="shared" si="3"/>
        <v>1</v>
      </c>
      <c r="AB41" s="4106">
        <f t="shared" si="4"/>
        <v>1</v>
      </c>
      <c r="AC41" s="4106">
        <f t="shared" si="5"/>
        <v>1</v>
      </c>
    </row>
    <row r="42" spans="1:29" s="1771" customFormat="1" ht="15" hidden="1">
      <c r="A42" s="1764"/>
      <c r="B42" s="4107" t="s">
        <v>2392</v>
      </c>
      <c r="C42" s="1710"/>
      <c r="D42" s="1711">
        <v>100</v>
      </c>
      <c r="E42" s="1710"/>
      <c r="F42" s="1754">
        <f>SUMIF(121:121,E42,122:122)-SUMIF(121:121,C42,122:122)+100</f>
        <v>100</v>
      </c>
      <c r="G42" s="1710"/>
      <c r="H42" s="1711">
        <f>SUMIF(121:121,G42,122:122)-SUMIF(121:121,C42,122:122)+100</f>
        <v>100</v>
      </c>
      <c r="I42" s="1710"/>
      <c r="J42" s="1711">
        <f>SUMIF(121:121,I42,122:122)-SUMIF(121:121,C42,122:122)+100</f>
        <v>100</v>
      </c>
      <c r="K42" s="1989"/>
      <c r="L42" s="2999"/>
      <c r="M42" s="2059"/>
      <c r="N42" s="2059"/>
      <c r="O42" s="2059"/>
      <c r="P42" s="4496"/>
      <c r="Q42" s="1766" t="str">
        <f t="shared" si="11"/>
        <v>单套建筑面积</v>
      </c>
      <c r="R42" s="1767" t="s">
        <v>25</v>
      </c>
      <c r="S42" s="1768">
        <f t="shared" si="12"/>
        <v>100</v>
      </c>
      <c r="T42" s="1767" t="s">
        <v>25</v>
      </c>
      <c r="U42" s="1768">
        <f t="shared" si="13"/>
        <v>100</v>
      </c>
      <c r="V42" s="1767" t="s">
        <v>25</v>
      </c>
      <c r="W42" s="1768">
        <f t="shared" si="14"/>
        <v>100</v>
      </c>
      <c r="X42" s="1769"/>
      <c r="Y42" s="4496"/>
      <c r="Z42" s="1770" t="str">
        <f t="shared" si="15"/>
        <v>单套建筑面积</v>
      </c>
      <c r="AA42" s="4106">
        <f t="shared" si="3"/>
        <v>1</v>
      </c>
      <c r="AB42" s="4106">
        <f t="shared" si="4"/>
        <v>1</v>
      </c>
      <c r="AC42" s="4106">
        <f t="shared" si="5"/>
        <v>1</v>
      </c>
    </row>
    <row r="43" spans="1:29" ht="15">
      <c r="A43" s="1772"/>
      <c r="B43" s="1695" t="s">
        <v>2369</v>
      </c>
      <c r="C43" s="1752" t="s">
        <v>5043</v>
      </c>
      <c r="D43" s="1711">
        <v>100</v>
      </c>
      <c r="E43" s="1752" t="s">
        <v>5043</v>
      </c>
      <c r="F43" s="1754">
        <f>SUMIF(123:123,E43,124:124)-SUMIF(123:123,C43,124:124)+100</f>
        <v>100</v>
      </c>
      <c r="G43" s="1752" t="s">
        <v>5043</v>
      </c>
      <c r="H43" s="1711">
        <f>SUMIF(123:123,G43,124:124)-SUMIF(123:123,C43,124:124)+100</f>
        <v>100</v>
      </c>
      <c r="I43" s="1752" t="s">
        <v>5043</v>
      </c>
      <c r="J43" s="1711">
        <f>SUMIF(123:123,I43,124:124)-SUMIF(123:123,C43,124:124)+100</f>
        <v>100</v>
      </c>
      <c r="K43" s="1992">
        <v>2</v>
      </c>
      <c r="L43" s="3000"/>
      <c r="M43" s="2996"/>
      <c r="N43" s="2996"/>
      <c r="O43" s="2996"/>
      <c r="P43" s="4496"/>
      <c r="Q43" s="4105" t="str">
        <f t="shared" si="11"/>
        <v>内部装修</v>
      </c>
      <c r="R43" s="1725" t="s">
        <v>25</v>
      </c>
      <c r="S43" s="1726">
        <f t="shared" si="12"/>
        <v>100</v>
      </c>
      <c r="T43" s="1725" t="s">
        <v>25</v>
      </c>
      <c r="U43" s="1726">
        <f t="shared" si="13"/>
        <v>100</v>
      </c>
      <c r="V43" s="1725" t="s">
        <v>25</v>
      </c>
      <c r="W43" s="1726">
        <f t="shared" si="14"/>
        <v>100</v>
      </c>
      <c r="X43" s="4102"/>
      <c r="Y43" s="4496"/>
      <c r="Z43" s="4103" t="str">
        <f t="shared" si="15"/>
        <v>内部装修</v>
      </c>
      <c r="AA43" s="4106">
        <f t="shared" si="3"/>
        <v>1</v>
      </c>
      <c r="AB43" s="4106">
        <f t="shared" si="4"/>
        <v>1</v>
      </c>
      <c r="AC43" s="4106">
        <f t="shared" si="5"/>
        <v>1</v>
      </c>
    </row>
    <row r="44" spans="1:29" ht="15" hidden="1">
      <c r="A44" s="1772"/>
      <c r="B44" s="1695" t="s">
        <v>2286</v>
      </c>
      <c r="C44" s="1752" t="s">
        <v>30</v>
      </c>
      <c r="D44" s="1711">
        <v>100</v>
      </c>
      <c r="E44" s="1752" t="s">
        <v>30</v>
      </c>
      <c r="F44" s="1754">
        <f>SUMIF(125:125,E44,126:126)-SUMIF(125:125,C44,126:126)+100</f>
        <v>100</v>
      </c>
      <c r="G44" s="1752" t="s">
        <v>30</v>
      </c>
      <c r="H44" s="1711">
        <f>SUMIF(125:125,G44,126:126)-SUMIF(125:125,C44,126:126)+100</f>
        <v>100</v>
      </c>
      <c r="I44" s="1752" t="s">
        <v>30</v>
      </c>
      <c r="J44" s="1711">
        <f>SUMIF(125:125,I44,126:126)-SUMIF(125:125,C44,126:126)+100</f>
        <v>100</v>
      </c>
      <c r="K44" s="1992">
        <v>5</v>
      </c>
      <c r="L44" s="3000"/>
      <c r="M44" s="2996"/>
      <c r="N44" s="2996"/>
      <c r="O44" s="2996"/>
      <c r="P44" s="4496"/>
      <c r="Q44" s="4105" t="str">
        <f t="shared" si="11"/>
        <v>内部装修维护情况</v>
      </c>
      <c r="R44" s="1725" t="s">
        <v>25</v>
      </c>
      <c r="S44" s="1726">
        <f t="shared" si="12"/>
        <v>100</v>
      </c>
      <c r="T44" s="1725" t="s">
        <v>25</v>
      </c>
      <c r="U44" s="1726">
        <f t="shared" si="13"/>
        <v>100</v>
      </c>
      <c r="V44" s="1725" t="s">
        <v>25</v>
      </c>
      <c r="W44" s="1726">
        <f t="shared" si="14"/>
        <v>100</v>
      </c>
      <c r="X44" s="4102"/>
      <c r="Y44" s="4496"/>
      <c r="Z44" s="4103" t="str">
        <f t="shared" si="15"/>
        <v>内部装修维护情况</v>
      </c>
      <c r="AA44" s="4106">
        <f t="shared" si="3"/>
        <v>1</v>
      </c>
      <c r="AB44" s="4106">
        <f t="shared" si="4"/>
        <v>1</v>
      </c>
      <c r="AC44" s="4106">
        <f t="shared" si="5"/>
        <v>1</v>
      </c>
    </row>
    <row r="45" spans="1:29" s="1684" customFormat="1" ht="15">
      <c r="A45" s="1775"/>
      <c r="B45" s="4116" t="s">
        <v>4993</v>
      </c>
      <c r="C45" s="4117" t="s">
        <v>5020</v>
      </c>
      <c r="D45" s="1697">
        <v>100</v>
      </c>
      <c r="E45" s="4118" t="s">
        <v>5021</v>
      </c>
      <c r="F45" s="1699">
        <f>SUMIF(127:127,E45,128:128)-SUMIF(127:127,C45,128:128)+100</f>
        <v>95</v>
      </c>
      <c r="G45" s="4118" t="s">
        <v>5021</v>
      </c>
      <c r="H45" s="1697">
        <f>SUMIF(127:127,G45,128:128)-SUMIF(127:127,C45,128:128)+100</f>
        <v>95</v>
      </c>
      <c r="I45" s="4118" t="s">
        <v>5021</v>
      </c>
      <c r="J45" s="1697">
        <f>SUMIF(127:127,I45,128:128)-SUMIF(127:127,C45,128:128)+100</f>
        <v>95</v>
      </c>
      <c r="K45" s="1989"/>
      <c r="L45" s="2995"/>
      <c r="M45" s="2968"/>
      <c r="N45" s="2968"/>
      <c r="O45" s="2968"/>
      <c r="P45" s="4496"/>
      <c r="Q45" s="4099" t="str">
        <f t="shared" si="11"/>
        <v>物业类型</v>
      </c>
      <c r="R45" s="1680" t="s">
        <v>25</v>
      </c>
      <c r="S45" s="1681">
        <f t="shared" si="12"/>
        <v>95</v>
      </c>
      <c r="T45" s="1680" t="s">
        <v>25</v>
      </c>
      <c r="U45" s="1681">
        <f t="shared" si="13"/>
        <v>95</v>
      </c>
      <c r="V45" s="1680" t="s">
        <v>25</v>
      </c>
      <c r="W45" s="1681">
        <f t="shared" si="14"/>
        <v>95</v>
      </c>
      <c r="X45" s="1682"/>
      <c r="Y45" s="4496"/>
      <c r="Z45" s="1693" t="str">
        <f t="shared" si="15"/>
        <v>物业类型</v>
      </c>
      <c r="AA45" s="1683">
        <f t="shared" si="3"/>
        <v>1.0526315789473684</v>
      </c>
      <c r="AB45" s="1683">
        <f t="shared" si="4"/>
        <v>1.0526315789473684</v>
      </c>
      <c r="AC45" s="1683">
        <f t="shared" si="5"/>
        <v>1.0526315789473684</v>
      </c>
    </row>
    <row r="46" spans="1:29" ht="15">
      <c r="A46" s="1772"/>
      <c r="B46" s="3859" t="s">
        <v>4999</v>
      </c>
      <c r="C46" s="3727" t="s">
        <v>4997</v>
      </c>
      <c r="D46" s="1711">
        <v>100</v>
      </c>
      <c r="E46" s="4118" t="s">
        <v>5023</v>
      </c>
      <c r="F46" s="1754">
        <f>SUMIF(129:129,E46,130:130)-SUMIF(129:129,C46,130:130)+100</f>
        <v>98</v>
      </c>
      <c r="G46" s="4118" t="s">
        <v>5023</v>
      </c>
      <c r="H46" s="1711">
        <f>SUMIF(129:129,G46,130:130)-SUMIF(129:129,C46,130:130)+100</f>
        <v>98</v>
      </c>
      <c r="I46" s="4118" t="s">
        <v>5023</v>
      </c>
      <c r="J46" s="1711">
        <f>SUMIF(129:129,I46,130:130)-SUMIF(129:129,C46,130:130)+100</f>
        <v>98</v>
      </c>
      <c r="K46" s="1989"/>
      <c r="L46" s="3000"/>
      <c r="M46" s="2996"/>
      <c r="N46" s="2996"/>
      <c r="O46" s="2996"/>
      <c r="P46" s="4496"/>
      <c r="Q46" s="4105" t="e">
        <f>#REF!</f>
        <v>#REF!</v>
      </c>
      <c r="R46" s="1725" t="s">
        <v>25</v>
      </c>
      <c r="S46" s="1726">
        <f t="shared" si="12"/>
        <v>98</v>
      </c>
      <c r="T46" s="1725" t="s">
        <v>25</v>
      </c>
      <c r="U46" s="1726">
        <f t="shared" si="13"/>
        <v>98</v>
      </c>
      <c r="V46" s="1725" t="s">
        <v>25</v>
      </c>
      <c r="W46" s="1726">
        <f t="shared" si="14"/>
        <v>98</v>
      </c>
      <c r="X46" s="4102"/>
      <c r="Y46" s="4496"/>
      <c r="Z46" s="4103" t="e">
        <f t="shared" si="15"/>
        <v>#REF!</v>
      </c>
      <c r="AA46" s="4106">
        <f t="shared" si="3"/>
        <v>1.0204081632653061</v>
      </c>
      <c r="AB46" s="4106">
        <f t="shared" si="4"/>
        <v>1.0204081632653061</v>
      </c>
      <c r="AC46" s="4106">
        <f t="shared" si="5"/>
        <v>1.0204081632653061</v>
      </c>
    </row>
    <row r="47" spans="1:29" ht="15.75" thickBot="1">
      <c r="A47" s="1780"/>
      <c r="B47" s="4114"/>
      <c r="C47" s="1714"/>
      <c r="D47" s="1715">
        <v>100</v>
      </c>
      <c r="E47" s="1707"/>
      <c r="F47" s="1716">
        <f>SUMIF(131:131,E47,132:132)-SUMIF(131:131,C47,132:132)+100</f>
        <v>100</v>
      </c>
      <c r="G47" s="1707"/>
      <c r="H47" s="1715">
        <f>SUMIF(131:131,G47,132:132)-SUMIF(131:131,C47,132:132)+100</f>
        <v>100</v>
      </c>
      <c r="I47" s="1707"/>
      <c r="J47" s="1715">
        <f>SUMIF(131:131,I47,132:132)-SUMIF(131:131,C47,132:132)+100</f>
        <v>100</v>
      </c>
      <c r="K47" s="1989"/>
      <c r="L47" s="3000"/>
      <c r="M47" s="2996"/>
      <c r="N47" s="2996"/>
      <c r="O47" s="2996"/>
      <c r="P47" s="4497"/>
      <c r="Q47" s="4105" t="e">
        <f>#REF!</f>
        <v>#REF!</v>
      </c>
      <c r="R47" s="1725" t="s">
        <v>25</v>
      </c>
      <c r="S47" s="1726">
        <f t="shared" si="12"/>
        <v>100</v>
      </c>
      <c r="T47" s="1725" t="s">
        <v>25</v>
      </c>
      <c r="U47" s="1726">
        <f t="shared" si="13"/>
        <v>100</v>
      </c>
      <c r="V47" s="1725" t="s">
        <v>25</v>
      </c>
      <c r="W47" s="1726">
        <f t="shared" si="14"/>
        <v>100</v>
      </c>
      <c r="X47" s="4102"/>
      <c r="Y47" s="4497"/>
      <c r="Z47" s="4103" t="e">
        <f t="shared" si="15"/>
        <v>#REF!</v>
      </c>
      <c r="AA47" s="4106">
        <f t="shared" si="3"/>
        <v>1</v>
      </c>
      <c r="AB47" s="4106">
        <f t="shared" si="4"/>
        <v>1</v>
      </c>
      <c r="AC47" s="4106">
        <f t="shared" si="5"/>
        <v>1</v>
      </c>
    </row>
    <row r="48" spans="1:29" ht="15">
      <c r="A48" s="1781" t="s">
        <v>2287</v>
      </c>
      <c r="B48" s="1782"/>
      <c r="C48" s="1783" t="s">
        <v>1</v>
      </c>
      <c r="D48" s="1784"/>
      <c r="E48" s="1785">
        <f>'2016租金台账'!J48-1.2</f>
        <v>4.5999999999999996</v>
      </c>
      <c r="F48" s="1786"/>
      <c r="G48" s="1787">
        <f>'2016租金台账'!J50-1.2</f>
        <v>4.5999999999999996</v>
      </c>
      <c r="H48" s="1788"/>
      <c r="I48" s="1785">
        <f>'2016租金台账'!J57-1.2</f>
        <v>4.5999999999999996</v>
      </c>
      <c r="J48" s="1788"/>
      <c r="K48" s="2013"/>
      <c r="L48" s="3001"/>
      <c r="M48" s="2996"/>
      <c r="N48" s="2996"/>
      <c r="O48" s="2996"/>
      <c r="P48" s="4488" t="str">
        <f>A48</f>
        <v>成交单价（元/平方米）</v>
      </c>
      <c r="Q48" s="4488"/>
      <c r="R48" s="4745">
        <f>E48</f>
        <v>4.5999999999999996</v>
      </c>
      <c r="S48" s="4745"/>
      <c r="T48" s="4745">
        <f>G48</f>
        <v>4.5999999999999996</v>
      </c>
      <c r="U48" s="4745"/>
      <c r="V48" s="4745">
        <f>I48</f>
        <v>4.5999999999999996</v>
      </c>
      <c r="W48" s="4745"/>
      <c r="X48" s="1791"/>
      <c r="Y48" s="4104"/>
      <c r="Z48" s="1791"/>
      <c r="AA48" s="1791"/>
      <c r="AB48" s="1791"/>
      <c r="AC48" s="1791"/>
    </row>
    <row r="49" spans="1:29" ht="15.75" thickBot="1">
      <c r="A49" s="1793" t="s">
        <v>2288</v>
      </c>
      <c r="B49" s="1794"/>
      <c r="C49" s="4209">
        <f>R50</f>
        <v>4.9000000000000004</v>
      </c>
      <c r="D49" s="1796" t="s">
        <v>2738</v>
      </c>
      <c r="E49" s="1797">
        <f>R49</f>
        <v>4.9000000000000004</v>
      </c>
      <c r="F49" s="1798"/>
      <c r="G49" s="1795">
        <f>T49</f>
        <v>4.9000000000000004</v>
      </c>
      <c r="H49" s="1798"/>
      <c r="I49" s="1797">
        <f>V49</f>
        <v>4.91</v>
      </c>
      <c r="J49" s="1798"/>
      <c r="K49" s="2509">
        <f>F49+H49+J49</f>
        <v>0</v>
      </c>
      <c r="L49" s="3001"/>
      <c r="M49" s="2996"/>
      <c r="N49" s="2996"/>
      <c r="O49" s="2996"/>
      <c r="P49" s="4488" t="str">
        <f>A49</f>
        <v>比较价值（元/平方米）</v>
      </c>
      <c r="Q49" s="4488"/>
      <c r="R49" s="4745">
        <f>IF(E1="售价",ROUND(PRODUCT(R48,AA7:AA47),2),ROUND(PRODUCT(R48,AA7:AA47),2))</f>
        <v>4.9000000000000004</v>
      </c>
      <c r="S49" s="4745"/>
      <c r="T49" s="4745">
        <f>IF(E1="售价",ROUND(PRODUCT(T48,AB7:AB47),2),ROUND(PRODUCT(T48,AB7:AB47),2))</f>
        <v>4.9000000000000004</v>
      </c>
      <c r="U49" s="4745"/>
      <c r="V49" s="4745">
        <f>IF(E1="售价",ROUND(PRODUCT(V48,AC7:AC47),2),ROUND(PRODUCT(V48,AC7:AC47),2))</f>
        <v>4.91</v>
      </c>
      <c r="W49" s="4745"/>
      <c r="X49" s="1791"/>
      <c r="Y49" s="1791"/>
      <c r="Z49" s="1791"/>
      <c r="AA49" s="1791"/>
      <c r="AB49" s="1791"/>
      <c r="AC49" s="1791"/>
    </row>
    <row r="50" spans="1:29" ht="15.75" thickBot="1">
      <c r="A50" s="1799" t="s">
        <v>2289</v>
      </c>
      <c r="B50" s="1800"/>
      <c r="C50" s="4210">
        <f>R50</f>
        <v>4.9000000000000004</v>
      </c>
      <c r="D50" s="1802"/>
      <c r="E50" s="1802"/>
      <c r="F50" s="1802"/>
      <c r="G50" s="1802"/>
      <c r="H50" s="1802"/>
      <c r="I50" s="1802"/>
      <c r="J50" s="1802"/>
      <c r="K50" s="2018"/>
      <c r="L50" s="3001"/>
      <c r="M50" s="2996"/>
      <c r="N50" s="2996"/>
      <c r="O50" s="2996"/>
      <c r="P50" s="4485" t="str">
        <f>A50</f>
        <v>估价对象XX用房的比较价值（楼面单价，元/平方米）</v>
      </c>
      <c r="Q50" s="4486"/>
      <c r="R50" s="4746">
        <f>IF(E1="售价",ROUND(IF(D49="简单平均",AVERAGE(R49:V49),R49*F49+T49*H49+V49*J49),2),ROUND(IF(D49="简单平均",AVERAGE(R49:V49),R49*F49+T49*H49+V49*J49),2))</f>
        <v>4.9000000000000004</v>
      </c>
      <c r="S50" s="4746"/>
      <c r="T50" s="4746"/>
      <c r="U50" s="4746"/>
      <c r="V50" s="4746"/>
      <c r="W50" s="4746"/>
      <c r="X50" s="1791"/>
      <c r="Y50" s="1791"/>
      <c r="Z50" s="1791"/>
      <c r="AA50" s="1791"/>
      <c r="AB50" s="1791"/>
      <c r="AC50" s="1791"/>
    </row>
    <row r="51" spans="1:29">
      <c r="C51" s="1666">
        <v>2004</v>
      </c>
      <c r="E51" s="1666">
        <v>2006</v>
      </c>
      <c r="G51" s="3007">
        <v>2000</v>
      </c>
      <c r="I51" s="1666">
        <v>2001</v>
      </c>
    </row>
    <row r="53" spans="1:29" ht="13.5" customHeight="1">
      <c r="C53" s="383" t="s">
        <v>2290</v>
      </c>
      <c r="D53" s="1807"/>
      <c r="E53" s="1808">
        <f>IF(E48&lt;E49,E49/E48-1,E48/E49-1)</f>
        <v>6.5217391304347894E-2</v>
      </c>
      <c r="F53" s="1809" t="str">
        <f>IF(OR(E53&gt;=0.3,E53&lt;=-0.3),"超过30%","")</f>
        <v/>
      </c>
      <c r="G53" s="1808">
        <f>IF(G48&lt;G49,G49/G48-1,G48/G49-1)</f>
        <v>6.5217391304347894E-2</v>
      </c>
      <c r="H53" s="1809" t="str">
        <f>IF(OR(G53&gt;=0.3,G53&lt;=-0.3),"超过30%","")</f>
        <v/>
      </c>
      <c r="I53" s="1808">
        <f>IF(I48&lt;I49,I49/I48-1,I48/I49-1)</f>
        <v>6.7391304347826253E-2</v>
      </c>
      <c r="J53" s="1809" t="str">
        <f>IF(OR(I53&gt;=0.3,I53&lt;=-0.3),"超过30%","")</f>
        <v/>
      </c>
    </row>
    <row r="54" spans="1:29" ht="13.5" customHeight="1">
      <c r="C54" s="383" t="s">
        <v>2291</v>
      </c>
      <c r="D54" s="1810"/>
      <c r="E54" s="1808">
        <f>IF(E49&lt;G49,G49/E49-1,E49/G49-1)</f>
        <v>0</v>
      </c>
      <c r="F54" s="1809" t="str">
        <f>IF(OR(E54&gt;=0.2,E54&lt;=-0.2),"超过20%","")</f>
        <v/>
      </c>
      <c r="G54" s="1808">
        <f>IF(G49&lt;I49,I49/G49-1,G49/I49-1)</f>
        <v>2.0408163265306367E-3</v>
      </c>
      <c r="H54" s="1809" t="str">
        <f>IF(OR(G54&gt;=0.2,G54&lt;=-0.2),"超过20%","")</f>
        <v/>
      </c>
      <c r="I54" s="1808">
        <f>IF(I49&lt;E49,E49/I49-1,I49/E49-1)</f>
        <v>2.0408163265306367E-3</v>
      </c>
      <c r="J54" s="1809" t="str">
        <f>IF(OR(I54&gt;=0.2,I54&lt;=-0.2),"超过20%","")</f>
        <v/>
      </c>
    </row>
    <row r="55" spans="1:29" s="1813" customFormat="1" ht="13.5" customHeight="1">
      <c r="C55" s="383" t="s">
        <v>2292</v>
      </c>
      <c r="D55" s="1810"/>
      <c r="E55" s="1808">
        <f>IF(E48&lt;G48,G48/E48-1,E48/G48-1)</f>
        <v>0</v>
      </c>
      <c r="F55" s="1809" t="str">
        <f>IF(OR(E55&gt;=0.3,E55&lt;=-0.3),"超过30%","")</f>
        <v/>
      </c>
      <c r="G55" s="1808">
        <f>IF(G48&lt;I48,I48/G48-1,G48/I48-1)</f>
        <v>0</v>
      </c>
      <c r="H55" s="1809" t="str">
        <f>IF(OR(G55&gt;=0.3,G55&lt;=-0.3),"超过30%","")</f>
        <v/>
      </c>
      <c r="I55" s="1808">
        <f>IF(I48&lt;E48,E48/I48-1,I48/E48-1)</f>
        <v>0</v>
      </c>
      <c r="J55" s="1809" t="str">
        <f>IF(OR(I55&gt;=0.3,I55&lt;=-0.3),"超过30%","")</f>
        <v/>
      </c>
      <c r="K55" s="3008"/>
      <c r="L55" s="3002"/>
    </row>
    <row r="56" spans="1:29" s="1813" customFormat="1">
      <c r="B56" s="3006"/>
      <c r="C56" s="3007"/>
      <c r="K56" s="3008"/>
      <c r="L56" s="3002"/>
    </row>
    <row r="57" spans="1:29">
      <c r="B57" s="3006"/>
      <c r="C57" s="3007"/>
    </row>
    <row r="58" spans="1:29" ht="21.75" thickBot="1">
      <c r="A58" s="1816" t="s">
        <v>2293</v>
      </c>
      <c r="B58" s="1791"/>
      <c r="C58" s="1817"/>
      <c r="D58" s="1817"/>
      <c r="E58" s="1817"/>
      <c r="F58" s="1817"/>
      <c r="G58" s="1817"/>
      <c r="H58" s="1817"/>
      <c r="I58" s="1817"/>
      <c r="J58" s="1817"/>
      <c r="K58" s="1818"/>
      <c r="L58" s="1819"/>
      <c r="M58" s="1817"/>
      <c r="N58" s="3004"/>
      <c r="O58" s="3004"/>
      <c r="P58" s="2045"/>
      <c r="Q58" s="1821"/>
    </row>
    <row r="59" spans="1:29" s="1827" customFormat="1" ht="15">
      <c r="A59" s="1822" t="s">
        <v>2257</v>
      </c>
      <c r="B59" s="1823"/>
      <c r="C59" s="1824" t="str">
        <f>YEAR(C7)&amp;"-"&amp;MONTH(C7)</f>
        <v>2016-2</v>
      </c>
      <c r="D59" s="1825">
        <f>EDATE(C59,-1)</f>
        <v>42370</v>
      </c>
      <c r="E59" s="1825">
        <f t="shared" ref="E59:O59" si="16">EDATE(D59,-1)</f>
        <v>42339</v>
      </c>
      <c r="F59" s="1825">
        <f t="shared" si="16"/>
        <v>42309</v>
      </c>
      <c r="G59" s="1825">
        <f t="shared" si="16"/>
        <v>42278</v>
      </c>
      <c r="H59" s="1825">
        <f t="shared" si="16"/>
        <v>42248</v>
      </c>
      <c r="I59" s="1825">
        <f t="shared" si="16"/>
        <v>42217</v>
      </c>
      <c r="J59" s="1825">
        <f t="shared" si="16"/>
        <v>42186</v>
      </c>
      <c r="K59" s="1825">
        <f t="shared" si="16"/>
        <v>42156</v>
      </c>
      <c r="L59" s="1825">
        <f t="shared" si="16"/>
        <v>42125</v>
      </c>
      <c r="M59" s="1825">
        <f t="shared" si="16"/>
        <v>42095</v>
      </c>
      <c r="N59" s="1825">
        <f t="shared" si="16"/>
        <v>42064</v>
      </c>
      <c r="O59" s="1825">
        <f t="shared" si="16"/>
        <v>42036</v>
      </c>
      <c r="P59" s="2502"/>
    </row>
    <row r="60" spans="1:29" s="1684" customFormat="1" ht="15">
      <c r="A60" s="1828"/>
      <c r="B60" s="1829"/>
      <c r="C60" s="1830">
        <v>100</v>
      </c>
      <c r="D60" s="1831">
        <v>100</v>
      </c>
      <c r="E60" s="1831">
        <v>99.8</v>
      </c>
      <c r="F60" s="1831">
        <v>99.8</v>
      </c>
      <c r="G60" s="1831">
        <v>99.8</v>
      </c>
      <c r="H60" s="1831">
        <v>99.8</v>
      </c>
      <c r="I60" s="1831">
        <v>99.8</v>
      </c>
      <c r="J60" s="1831">
        <v>99.8</v>
      </c>
      <c r="K60" s="1831">
        <v>99.6</v>
      </c>
      <c r="L60" s="1831">
        <v>99.6</v>
      </c>
      <c r="M60" s="1832">
        <v>99.6</v>
      </c>
      <c r="N60" s="1831">
        <v>99.6</v>
      </c>
      <c r="O60" s="1845">
        <v>99.6</v>
      </c>
      <c r="P60" s="1821"/>
    </row>
    <row r="61" spans="1:29" s="1684" customFormat="1" ht="15.75" thickBot="1">
      <c r="A61" s="1834" t="s">
        <v>2295</v>
      </c>
      <c r="B61" s="1835"/>
      <c r="C61" s="1836"/>
      <c r="D61" s="1837"/>
      <c r="E61" s="1837"/>
      <c r="F61" s="1837"/>
      <c r="G61" s="1837"/>
      <c r="H61" s="1837"/>
      <c r="I61" s="1837"/>
      <c r="J61" s="1837"/>
      <c r="K61" s="1837"/>
      <c r="L61" s="1837"/>
      <c r="M61" s="1838"/>
      <c r="N61" s="1837"/>
      <c r="O61" s="2503"/>
      <c r="P61" s="1821"/>
      <c r="Q61" s="1821"/>
    </row>
    <row r="62" spans="1:29" s="1684" customFormat="1" ht="15">
      <c r="A62" s="1839" t="s">
        <v>2259</v>
      </c>
      <c r="B62" s="1829"/>
      <c r="C62" s="1840" t="s">
        <v>2260</v>
      </c>
      <c r="D62" s="409"/>
      <c r="E62" s="409"/>
      <c r="F62" s="409"/>
      <c r="G62" s="409"/>
      <c r="H62" s="409"/>
      <c r="I62" s="409"/>
      <c r="J62" s="409"/>
      <c r="K62" s="409"/>
      <c r="L62" s="409"/>
      <c r="M62" s="1841"/>
      <c r="N62" s="3013"/>
      <c r="O62" s="3013"/>
      <c r="P62" s="2056"/>
      <c r="Q62" s="1821"/>
    </row>
    <row r="63" spans="1:29" s="1684" customFormat="1" ht="15.75" thickBot="1">
      <c r="A63" s="1839"/>
      <c r="B63" s="1829"/>
      <c r="C63" s="1844">
        <v>100</v>
      </c>
      <c r="D63" s="1831"/>
      <c r="E63" s="1831"/>
      <c r="F63" s="1831"/>
      <c r="G63" s="1831"/>
      <c r="H63" s="1831"/>
      <c r="I63" s="1831"/>
      <c r="J63" s="1831"/>
      <c r="K63" s="1831"/>
      <c r="L63" s="1831"/>
      <c r="M63" s="1845"/>
      <c r="N63" s="3013"/>
      <c r="O63" s="3013"/>
      <c r="P63" s="1821"/>
      <c r="Q63" s="1821"/>
    </row>
    <row r="64" spans="1:29">
      <c r="A64" s="1846" t="s">
        <v>2298</v>
      </c>
      <c r="B64" s="1847" t="s">
        <v>2263</v>
      </c>
      <c r="C64" s="1848" t="str">
        <f>C9</f>
        <v>办公</v>
      </c>
      <c r="D64" s="1849"/>
      <c r="E64" s="1849"/>
      <c r="F64" s="1849"/>
      <c r="G64" s="1849"/>
      <c r="H64" s="1849"/>
      <c r="I64" s="1849"/>
      <c r="J64" s="1849"/>
      <c r="K64" s="417"/>
      <c r="L64" s="417"/>
      <c r="M64" s="1850"/>
      <c r="N64" s="3014"/>
      <c r="O64" s="3014"/>
      <c r="P64" s="2057"/>
      <c r="Q64" s="1821"/>
    </row>
    <row r="65" spans="1:17" ht="15.75" thickBot="1">
      <c r="A65" s="1853"/>
      <c r="B65" s="1854"/>
      <c r="C65" s="1855">
        <v>100</v>
      </c>
      <c r="D65" s="1855"/>
      <c r="E65" s="1855"/>
      <c r="F65" s="1855"/>
      <c r="G65" s="1855"/>
      <c r="H65" s="1855"/>
      <c r="I65" s="1855"/>
      <c r="J65" s="1855"/>
      <c r="K65" s="1855"/>
      <c r="L65" s="1855"/>
      <c r="M65" s="1856"/>
      <c r="N65" s="3015"/>
      <c r="O65" s="3015"/>
      <c r="P65" s="2057"/>
      <c r="Q65" s="1821"/>
    </row>
    <row r="66" spans="1:17" ht="27.75" thickTop="1">
      <c r="A66" s="1853"/>
      <c r="B66" s="1858" t="s">
        <v>2266</v>
      </c>
      <c r="C66" s="1859" t="s">
        <v>2299</v>
      </c>
      <c r="D66" s="1859" t="s">
        <v>2300</v>
      </c>
      <c r="E66" s="1859" t="s">
        <v>2301</v>
      </c>
      <c r="F66" s="1859" t="s">
        <v>2302</v>
      </c>
      <c r="G66" s="1859" t="s">
        <v>2303</v>
      </c>
      <c r="H66" s="1859" t="s">
        <v>2304</v>
      </c>
      <c r="I66" s="1859" t="s">
        <v>2305</v>
      </c>
      <c r="J66" s="1859"/>
      <c r="K66" s="428"/>
      <c r="L66" s="428"/>
      <c r="M66" s="1860"/>
      <c r="N66" s="3014"/>
      <c r="O66" s="3014"/>
      <c r="P66" s="2057"/>
      <c r="Q66" s="1821"/>
    </row>
    <row r="67" spans="1:17" ht="15.75" thickBot="1">
      <c r="A67" s="1853"/>
      <c r="B67" s="1861"/>
      <c r="C67" s="1862" t="s">
        <v>36</v>
      </c>
      <c r="D67" s="1862" t="s">
        <v>36</v>
      </c>
      <c r="E67" s="1862">
        <v>100</v>
      </c>
      <c r="F67" s="1862">
        <f>E67-$K10</f>
        <v>100</v>
      </c>
      <c r="G67" s="1862">
        <f>F67-$K10</f>
        <v>100</v>
      </c>
      <c r="H67" s="1862">
        <f>G67-$K10</f>
        <v>100</v>
      </c>
      <c r="I67" s="1862">
        <f>H67-$K10</f>
        <v>100</v>
      </c>
      <c r="J67" s="1862"/>
      <c r="K67" s="1862"/>
      <c r="L67" s="1862"/>
      <c r="M67" s="1863"/>
      <c r="N67" s="3015"/>
      <c r="O67" s="3015"/>
      <c r="P67" s="2057"/>
      <c r="Q67" s="1821"/>
    </row>
    <row r="68" spans="1:17" ht="15.75" thickTop="1">
      <c r="A68" s="1853"/>
      <c r="B68" s="1864" t="s">
        <v>2267</v>
      </c>
      <c r="C68" s="1865" t="str">
        <f>C69&amp;"（含）"&amp;"-"&amp;D69</f>
        <v>0（含）-1</v>
      </c>
      <c r="D68" s="1865" t="str">
        <f t="shared" ref="D68:L68" si="17">D69&amp;"（含）"&amp;"-"&amp;E69</f>
        <v>1（含）-2</v>
      </c>
      <c r="E68" s="1865" t="str">
        <f t="shared" si="17"/>
        <v>2（含）-3</v>
      </c>
      <c r="F68" s="1865" t="str">
        <f t="shared" si="17"/>
        <v>3（含）-</v>
      </c>
      <c r="G68" s="1865" t="str">
        <f t="shared" si="17"/>
        <v>（含）-</v>
      </c>
      <c r="H68" s="1865" t="str">
        <f t="shared" si="17"/>
        <v>（含）-</v>
      </c>
      <c r="I68" s="1865" t="str">
        <f t="shared" si="17"/>
        <v>（含）-</v>
      </c>
      <c r="J68" s="1865" t="str">
        <f t="shared" si="17"/>
        <v>（含）-</v>
      </c>
      <c r="K68" s="1865" t="str">
        <f t="shared" si="17"/>
        <v>（含）-</v>
      </c>
      <c r="L68" s="1865" t="str">
        <f t="shared" si="17"/>
        <v>（含）-</v>
      </c>
      <c r="M68" s="1731" t="str">
        <f>M69&amp;"（含）"&amp;"-"&amp;P69</f>
        <v>（含）-</v>
      </c>
      <c r="N68" s="3015"/>
      <c r="O68" s="3015"/>
      <c r="P68" s="2057"/>
      <c r="Q68" s="1821"/>
    </row>
    <row r="69" spans="1:17" ht="15">
      <c r="A69" s="1853"/>
      <c r="B69" s="1866"/>
      <c r="C69" s="1867">
        <v>0</v>
      </c>
      <c r="D69" s="1867">
        <v>1</v>
      </c>
      <c r="E69" s="1867">
        <v>2</v>
      </c>
      <c r="F69" s="1867">
        <v>3</v>
      </c>
      <c r="G69" s="1867"/>
      <c r="H69" s="1867"/>
      <c r="I69" s="1867"/>
      <c r="J69" s="1867"/>
      <c r="K69" s="438"/>
      <c r="L69" s="438"/>
      <c r="M69" s="1868"/>
      <c r="N69" s="3014"/>
      <c r="O69" s="3014"/>
      <c r="P69" s="2057"/>
      <c r="Q69" s="1821"/>
    </row>
    <row r="70" spans="1:17" ht="15.75" thickBot="1">
      <c r="A70" s="1853"/>
      <c r="B70" s="1854"/>
      <c r="C70" s="1862">
        <v>100</v>
      </c>
      <c r="D70" s="1862">
        <f t="shared" ref="D70:M70" si="18">C70-$K11</f>
        <v>100</v>
      </c>
      <c r="E70" s="1862">
        <f t="shared" si="18"/>
        <v>100</v>
      </c>
      <c r="F70" s="1862">
        <f t="shared" si="18"/>
        <v>100</v>
      </c>
      <c r="G70" s="1862">
        <f t="shared" si="18"/>
        <v>100</v>
      </c>
      <c r="H70" s="1862">
        <f t="shared" si="18"/>
        <v>100</v>
      </c>
      <c r="I70" s="1862">
        <f t="shared" si="18"/>
        <v>100</v>
      </c>
      <c r="J70" s="1862">
        <f t="shared" si="18"/>
        <v>100</v>
      </c>
      <c r="K70" s="1862">
        <f t="shared" si="18"/>
        <v>100</v>
      </c>
      <c r="L70" s="1862">
        <f t="shared" si="18"/>
        <v>100</v>
      </c>
      <c r="M70" s="1863">
        <f t="shared" si="18"/>
        <v>100</v>
      </c>
      <c r="N70" s="3015"/>
      <c r="O70" s="3015"/>
      <c r="P70" s="2057"/>
      <c r="Q70" s="1821"/>
    </row>
    <row r="71" spans="1:17" s="1771" customFormat="1" ht="15.75" thickTop="1">
      <c r="A71" s="1869"/>
      <c r="B71" s="1858">
        <f>B12</f>
        <v>111</v>
      </c>
      <c r="C71" s="468"/>
      <c r="D71" s="468"/>
      <c r="E71" s="468"/>
      <c r="F71" s="468"/>
      <c r="G71" s="468"/>
      <c r="H71" s="443"/>
      <c r="I71" s="443"/>
      <c r="J71" s="443"/>
      <c r="K71" s="443"/>
      <c r="L71" s="443"/>
      <c r="M71" s="1870"/>
      <c r="N71" s="3016"/>
      <c r="O71" s="3016"/>
      <c r="P71" s="2058"/>
      <c r="Q71" s="1873"/>
    </row>
    <row r="72" spans="1:17" s="1771" customFormat="1" ht="15.75" thickBot="1">
      <c r="A72" s="1869"/>
      <c r="B72" s="1861"/>
      <c r="C72" s="1874"/>
      <c r="D72" s="1855"/>
      <c r="E72" s="1855"/>
      <c r="F72" s="1855"/>
      <c r="G72" s="1855"/>
      <c r="H72" s="1855"/>
      <c r="I72" s="1855"/>
      <c r="J72" s="1855"/>
      <c r="K72" s="1855"/>
      <c r="L72" s="1855"/>
      <c r="M72" s="1856"/>
      <c r="N72" s="3015"/>
      <c r="O72" s="3015"/>
      <c r="P72" s="2058"/>
      <c r="Q72" s="1873"/>
    </row>
    <row r="73" spans="1:17" s="1771" customFormat="1" ht="15.75" thickTop="1">
      <c r="A73" s="1869"/>
      <c r="B73" s="1858">
        <f>B13</f>
        <v>111</v>
      </c>
      <c r="C73" s="468"/>
      <c r="D73" s="468"/>
      <c r="E73" s="468"/>
      <c r="F73" s="468"/>
      <c r="G73" s="468"/>
      <c r="H73" s="443"/>
      <c r="I73" s="443"/>
      <c r="J73" s="443"/>
      <c r="K73" s="443"/>
      <c r="L73" s="443"/>
      <c r="M73" s="1870"/>
      <c r="N73" s="3016"/>
      <c r="O73" s="3016"/>
      <c r="P73" s="2059"/>
      <c r="Q73" s="1876"/>
    </row>
    <row r="74" spans="1:17" s="1771" customFormat="1" ht="15.75" thickBot="1">
      <c r="A74" s="1869"/>
      <c r="B74" s="1861"/>
      <c r="C74" s="1874"/>
      <c r="D74" s="1874"/>
      <c r="E74" s="1874"/>
      <c r="F74" s="1874"/>
      <c r="G74" s="1874"/>
      <c r="H74" s="1877"/>
      <c r="I74" s="1877"/>
      <c r="J74" s="1877"/>
      <c r="K74" s="1877"/>
      <c r="L74" s="1877"/>
      <c r="M74" s="1878"/>
      <c r="N74" s="3016"/>
      <c r="O74" s="3016"/>
      <c r="P74" s="2058"/>
      <c r="Q74" s="1873"/>
    </row>
    <row r="75" spans="1:17" s="1771" customFormat="1" ht="15.75" thickTop="1">
      <c r="A75" s="1869"/>
      <c r="B75" s="1864">
        <f>B14</f>
        <v>111</v>
      </c>
      <c r="C75" s="409"/>
      <c r="D75" s="409"/>
      <c r="E75" s="409"/>
      <c r="F75" s="409"/>
      <c r="G75" s="409"/>
      <c r="H75" s="453"/>
      <c r="I75" s="453"/>
      <c r="J75" s="453"/>
      <c r="K75" s="453"/>
      <c r="L75" s="453"/>
      <c r="M75" s="1879"/>
      <c r="N75" s="3016"/>
      <c r="O75" s="3016"/>
      <c r="P75" s="2058"/>
      <c r="Q75" s="1873"/>
    </row>
    <row r="76" spans="1:17" s="1771" customFormat="1" ht="15.75" thickBot="1">
      <c r="A76" s="1880"/>
      <c r="B76" s="1881"/>
      <c r="C76" s="1882"/>
      <c r="D76" s="1882"/>
      <c r="E76" s="1882"/>
      <c r="F76" s="1882"/>
      <c r="G76" s="1882"/>
      <c r="H76" s="1883"/>
      <c r="I76" s="1883"/>
      <c r="J76" s="1883"/>
      <c r="K76" s="1883"/>
      <c r="L76" s="1883"/>
      <c r="M76" s="1884"/>
      <c r="N76" s="3016"/>
      <c r="O76" s="3016"/>
      <c r="P76" s="2058"/>
      <c r="Q76" s="1873"/>
    </row>
    <row r="77" spans="1:17">
      <c r="A77" s="1846" t="s">
        <v>2268</v>
      </c>
      <c r="B77" s="1847" t="s">
        <v>2394</v>
      </c>
      <c r="C77" s="1885" t="s">
        <v>2307</v>
      </c>
      <c r="D77" s="1885" t="s">
        <v>2308</v>
      </c>
      <c r="E77" s="1885" t="s">
        <v>2309</v>
      </c>
      <c r="F77" s="1885" t="s">
        <v>2310</v>
      </c>
      <c r="G77" s="1885" t="s">
        <v>2311</v>
      </c>
      <c r="H77" s="1848"/>
      <c r="I77" s="1848"/>
      <c r="J77" s="1848"/>
      <c r="K77" s="463"/>
      <c r="L77" s="463"/>
      <c r="M77" s="1886"/>
      <c r="N77" s="3014"/>
      <c r="O77" s="3014"/>
      <c r="P77" s="2057"/>
      <c r="Q77" s="1821"/>
    </row>
    <row r="78" spans="1:17" ht="15.75" thickBot="1">
      <c r="A78" s="1853"/>
      <c r="B78" s="1861"/>
      <c r="C78" s="1862">
        <v>100</v>
      </c>
      <c r="D78" s="1862">
        <f>C78-$K15</f>
        <v>98</v>
      </c>
      <c r="E78" s="1862">
        <f>D78-$K15</f>
        <v>96</v>
      </c>
      <c r="F78" s="1862">
        <f>E78-$K15</f>
        <v>94</v>
      </c>
      <c r="G78" s="1862">
        <f>F78-$K15</f>
        <v>92</v>
      </c>
      <c r="H78" s="1862"/>
      <c r="I78" s="1862"/>
      <c r="J78" s="1862"/>
      <c r="K78" s="1862"/>
      <c r="L78" s="1862"/>
      <c r="M78" s="1863"/>
      <c r="N78" s="3015"/>
      <c r="O78" s="3015"/>
      <c r="P78" s="2057"/>
      <c r="Q78" s="1821"/>
    </row>
    <row r="79" spans="1:17" ht="15.75" thickTop="1">
      <c r="A79" s="1853"/>
      <c r="B79" s="1858" t="s">
        <v>2312</v>
      </c>
      <c r="C79" s="579" t="s">
        <v>2307</v>
      </c>
      <c r="D79" s="579" t="s">
        <v>2308</v>
      </c>
      <c r="E79" s="579" t="s">
        <v>2309</v>
      </c>
      <c r="F79" s="579" t="s">
        <v>2310</v>
      </c>
      <c r="G79" s="579" t="s">
        <v>2311</v>
      </c>
      <c r="H79" s="1859"/>
      <c r="I79" s="1859"/>
      <c r="J79" s="1859"/>
      <c r="K79" s="428"/>
      <c r="L79" s="428"/>
      <c r="M79" s="1860"/>
      <c r="N79" s="3014"/>
      <c r="O79" s="3014"/>
      <c r="P79" s="2057"/>
      <c r="Q79" s="1821"/>
    </row>
    <row r="80" spans="1:17" ht="15.75" thickBot="1">
      <c r="A80" s="1853"/>
      <c r="B80" s="1861"/>
      <c r="C80" s="1862">
        <v>100</v>
      </c>
      <c r="D80" s="1862">
        <f>C80-$K17</f>
        <v>98</v>
      </c>
      <c r="E80" s="1862">
        <f>D80-$K17</f>
        <v>96</v>
      </c>
      <c r="F80" s="1862">
        <f>E80-$K17</f>
        <v>94</v>
      </c>
      <c r="G80" s="1862">
        <f>F80-$K17</f>
        <v>92</v>
      </c>
      <c r="H80" s="1862"/>
      <c r="I80" s="1862"/>
      <c r="J80" s="1862"/>
      <c r="K80" s="1862"/>
      <c r="L80" s="1862"/>
      <c r="M80" s="1863"/>
      <c r="N80" s="3015"/>
      <c r="O80" s="3015"/>
      <c r="P80" s="2057"/>
      <c r="Q80" s="1821"/>
    </row>
    <row r="81" spans="1:17" ht="15.75" thickTop="1">
      <c r="A81" s="1853"/>
      <c r="B81" s="1858" t="s">
        <v>2313</v>
      </c>
      <c r="C81" s="579" t="s">
        <v>2307</v>
      </c>
      <c r="D81" s="579" t="s">
        <v>2308</v>
      </c>
      <c r="E81" s="579" t="s">
        <v>2309</v>
      </c>
      <c r="F81" s="579" t="s">
        <v>2310</v>
      </c>
      <c r="G81" s="579" t="s">
        <v>2311</v>
      </c>
      <c r="H81" s="1859"/>
      <c r="I81" s="1859"/>
      <c r="J81" s="1859"/>
      <c r="K81" s="428"/>
      <c r="L81" s="428"/>
      <c r="M81" s="1860"/>
      <c r="N81" s="3014"/>
      <c r="O81" s="3014"/>
      <c r="P81" s="2057"/>
      <c r="Q81" s="1821"/>
    </row>
    <row r="82" spans="1:17" ht="15.75" thickBot="1">
      <c r="A82" s="1853"/>
      <c r="B82" s="1861"/>
      <c r="C82" s="1862">
        <v>100</v>
      </c>
      <c r="D82" s="1862">
        <f>C82-$K19</f>
        <v>98</v>
      </c>
      <c r="E82" s="1862">
        <f>D82-$K19</f>
        <v>96</v>
      </c>
      <c r="F82" s="1862">
        <f>E82-$K19</f>
        <v>94</v>
      </c>
      <c r="G82" s="1862">
        <f>F82-$K19</f>
        <v>92</v>
      </c>
      <c r="H82" s="1862"/>
      <c r="I82" s="1862"/>
      <c r="J82" s="1862"/>
      <c r="K82" s="1862"/>
      <c r="L82" s="1862"/>
      <c r="M82" s="1863"/>
      <c r="N82" s="3015"/>
      <c r="O82" s="3015"/>
      <c r="P82" s="2057"/>
      <c r="Q82" s="1821"/>
    </row>
    <row r="83" spans="1:17" ht="15.75" thickTop="1">
      <c r="A83" s="1853"/>
      <c r="B83" s="1864" t="s">
        <v>2356</v>
      </c>
      <c r="C83" s="1859" t="s">
        <v>2314</v>
      </c>
      <c r="D83" s="1859" t="s">
        <v>2315</v>
      </c>
      <c r="E83" s="1859" t="s">
        <v>2316</v>
      </c>
      <c r="F83" s="1859" t="s">
        <v>2317</v>
      </c>
      <c r="G83" s="1859" t="s">
        <v>2318</v>
      </c>
      <c r="H83" s="1859"/>
      <c r="I83" s="1859"/>
      <c r="J83" s="1859"/>
      <c r="K83" s="1859"/>
      <c r="L83" s="1859"/>
      <c r="M83" s="1887"/>
      <c r="N83" s="3015"/>
      <c r="O83" s="3015"/>
      <c r="P83" s="2057"/>
      <c r="Q83" s="1821"/>
    </row>
    <row r="84" spans="1:17" ht="15.75" thickBot="1">
      <c r="A84" s="1853"/>
      <c r="B84" s="1864"/>
      <c r="C84" s="1862">
        <v>100</v>
      </c>
      <c r="D84" s="1862">
        <f>C84-$K21</f>
        <v>99</v>
      </c>
      <c r="E84" s="1862">
        <f>D84-$K21</f>
        <v>98</v>
      </c>
      <c r="F84" s="1862">
        <f>E84-$K21</f>
        <v>97</v>
      </c>
      <c r="G84" s="1862">
        <f>F84-$K21</f>
        <v>96</v>
      </c>
      <c r="H84" s="1888"/>
      <c r="I84" s="1888"/>
      <c r="J84" s="1888"/>
      <c r="K84" s="1888"/>
      <c r="L84" s="1888"/>
      <c r="M84" s="1735"/>
      <c r="N84" s="3015"/>
      <c r="O84" s="3015"/>
      <c r="P84" s="2057"/>
      <c r="Q84" s="1821"/>
    </row>
    <row r="85" spans="1:17" ht="15.75" thickTop="1">
      <c r="A85" s="1853"/>
      <c r="B85" s="1858" t="s">
        <v>2395</v>
      </c>
      <c r="C85" s="579" t="s">
        <v>2307</v>
      </c>
      <c r="D85" s="579" t="s">
        <v>2308</v>
      </c>
      <c r="E85" s="579" t="s">
        <v>2309</v>
      </c>
      <c r="F85" s="579" t="s">
        <v>2310</v>
      </c>
      <c r="G85" s="579" t="s">
        <v>2311</v>
      </c>
      <c r="H85" s="1859"/>
      <c r="I85" s="1859"/>
      <c r="J85" s="1859"/>
      <c r="K85" s="428"/>
      <c r="L85" s="428"/>
      <c r="M85" s="1860"/>
      <c r="N85" s="3014"/>
      <c r="O85" s="3014"/>
      <c r="P85" s="2057"/>
      <c r="Q85" s="1821"/>
    </row>
    <row r="86" spans="1:17" ht="15.75" thickBot="1">
      <c r="A86" s="1853"/>
      <c r="B86" s="1861"/>
      <c r="C86" s="1862">
        <v>100</v>
      </c>
      <c r="D86" s="1862">
        <f>C86-$K23</f>
        <v>98</v>
      </c>
      <c r="E86" s="1862">
        <f>D86-$K23</f>
        <v>96</v>
      </c>
      <c r="F86" s="1862">
        <f>E86-$K23</f>
        <v>94</v>
      </c>
      <c r="G86" s="1862">
        <f>F86-$K23</f>
        <v>92</v>
      </c>
      <c r="H86" s="1862"/>
      <c r="I86" s="1862"/>
      <c r="J86" s="1862"/>
      <c r="K86" s="1862"/>
      <c r="L86" s="1862"/>
      <c r="M86" s="1863"/>
      <c r="N86" s="3015"/>
      <c r="O86" s="3015"/>
      <c r="P86" s="2057"/>
      <c r="Q86" s="1821"/>
    </row>
    <row r="87" spans="1:17" s="1684" customFormat="1" ht="27.75" thickTop="1">
      <c r="A87" s="1889"/>
      <c r="B87" s="1858" t="s">
        <v>2396</v>
      </c>
      <c r="C87" s="3452" t="s">
        <v>3355</v>
      </c>
      <c r="D87" s="3158" t="s">
        <v>3356</v>
      </c>
      <c r="E87" s="3158" t="s">
        <v>3357</v>
      </c>
      <c r="F87" s="3158" t="s">
        <v>4986</v>
      </c>
      <c r="G87" s="468"/>
      <c r="H87" s="468"/>
      <c r="I87" s="468"/>
      <c r="J87" s="468"/>
      <c r="K87" s="468"/>
      <c r="L87" s="468"/>
      <c r="M87" s="1890"/>
      <c r="N87" s="3013"/>
      <c r="O87" s="3013"/>
      <c r="P87" s="2057"/>
      <c r="Q87" s="1821"/>
    </row>
    <row r="88" spans="1:17" s="1684" customFormat="1" ht="15.75" thickBot="1">
      <c r="A88" s="1889"/>
      <c r="B88" s="1861"/>
      <c r="C88" s="1891">
        <v>100</v>
      </c>
      <c r="D88" s="1862">
        <f t="shared" ref="D88:M88" si="19">C88-$K25</f>
        <v>98</v>
      </c>
      <c r="E88" s="1862">
        <f t="shared" si="19"/>
        <v>96</v>
      </c>
      <c r="F88" s="1862">
        <f t="shared" si="19"/>
        <v>94</v>
      </c>
      <c r="G88" s="1862">
        <f t="shared" si="19"/>
        <v>92</v>
      </c>
      <c r="H88" s="1862">
        <f t="shared" si="19"/>
        <v>90</v>
      </c>
      <c r="I88" s="1862">
        <f t="shared" si="19"/>
        <v>88</v>
      </c>
      <c r="J88" s="1862">
        <f t="shared" si="19"/>
        <v>86</v>
      </c>
      <c r="K88" s="1862">
        <f t="shared" si="19"/>
        <v>84</v>
      </c>
      <c r="L88" s="1862">
        <f t="shared" si="19"/>
        <v>82</v>
      </c>
      <c r="M88" s="1862">
        <f t="shared" si="19"/>
        <v>80</v>
      </c>
      <c r="N88" s="3015"/>
      <c r="O88" s="3015"/>
      <c r="P88" s="2057"/>
      <c r="Q88" s="1821"/>
    </row>
    <row r="89" spans="1:17" s="1684" customFormat="1" ht="15.75" thickTop="1">
      <c r="A89" s="1889"/>
      <c r="B89" s="1858" t="str">
        <f>B27</f>
        <v>楼层</v>
      </c>
      <c r="C89" s="3158" t="s">
        <v>4989</v>
      </c>
      <c r="D89" s="3158" t="s">
        <v>4991</v>
      </c>
      <c r="E89" s="3158"/>
      <c r="F89" s="1892"/>
      <c r="G89" s="468"/>
      <c r="H89" s="468"/>
      <c r="I89" s="468"/>
      <c r="J89" s="468"/>
      <c r="K89" s="468"/>
      <c r="L89" s="468"/>
      <c r="M89" s="1890"/>
      <c r="N89" s="3013"/>
      <c r="O89" s="3013"/>
      <c r="P89" s="2057"/>
      <c r="Q89" s="1821"/>
    </row>
    <row r="90" spans="1:17" s="1684" customFormat="1" ht="15.75" thickBot="1">
      <c r="A90" s="1889"/>
      <c r="B90" s="1861"/>
      <c r="C90" s="1891">
        <v>100</v>
      </c>
      <c r="D90" s="1862">
        <f>C90-$K27</f>
        <v>98</v>
      </c>
      <c r="E90" s="1862">
        <f t="shared" ref="E90:M90" si="20">D90-$K27</f>
        <v>96</v>
      </c>
      <c r="F90" s="1862">
        <f t="shared" si="20"/>
        <v>94</v>
      </c>
      <c r="G90" s="1862">
        <f t="shared" si="20"/>
        <v>92</v>
      </c>
      <c r="H90" s="1862">
        <f t="shared" si="20"/>
        <v>90</v>
      </c>
      <c r="I90" s="1862">
        <f t="shared" si="20"/>
        <v>88</v>
      </c>
      <c r="J90" s="1862">
        <f t="shared" si="20"/>
        <v>86</v>
      </c>
      <c r="K90" s="1862">
        <f t="shared" si="20"/>
        <v>84</v>
      </c>
      <c r="L90" s="1862">
        <f t="shared" si="20"/>
        <v>82</v>
      </c>
      <c r="M90" s="1862">
        <f t="shared" si="20"/>
        <v>80</v>
      </c>
      <c r="N90" s="3015"/>
      <c r="O90" s="3015"/>
      <c r="P90" s="2057"/>
      <c r="Q90" s="1821"/>
    </row>
    <row r="91" spans="1:17" s="1771" customFormat="1" ht="15.75" thickTop="1">
      <c r="A91" s="1869"/>
      <c r="B91" s="1858" t="str">
        <f>B28</f>
        <v>朝向</v>
      </c>
      <c r="C91" s="3158" t="s">
        <v>2900</v>
      </c>
      <c r="D91" s="3158" t="s">
        <v>2901</v>
      </c>
      <c r="E91" s="3158" t="s">
        <v>2902</v>
      </c>
      <c r="F91" s="3158" t="s">
        <v>2903</v>
      </c>
      <c r="G91" s="3158" t="s">
        <v>2904</v>
      </c>
      <c r="H91" s="443"/>
      <c r="I91" s="443"/>
      <c r="J91" s="443"/>
      <c r="K91" s="443"/>
      <c r="L91" s="443"/>
      <c r="M91" s="1870"/>
      <c r="N91" s="3016"/>
      <c r="O91" s="3016"/>
      <c r="P91" s="2058"/>
      <c r="Q91" s="1873"/>
    </row>
    <row r="92" spans="1:17" s="1771" customFormat="1" ht="15.75" thickBot="1">
      <c r="A92" s="1869"/>
      <c r="B92" s="1861"/>
      <c r="C92" s="1891">
        <v>100</v>
      </c>
      <c r="D92" s="1862">
        <f t="shared" ref="D92:M92" si="21">C92-$K28</f>
        <v>98</v>
      </c>
      <c r="E92" s="1862">
        <f t="shared" si="21"/>
        <v>96</v>
      </c>
      <c r="F92" s="1862">
        <f t="shared" si="21"/>
        <v>94</v>
      </c>
      <c r="G92" s="1862">
        <f t="shared" si="21"/>
        <v>92</v>
      </c>
      <c r="H92" s="1862">
        <f t="shared" si="21"/>
        <v>90</v>
      </c>
      <c r="I92" s="1862">
        <f t="shared" si="21"/>
        <v>88</v>
      </c>
      <c r="J92" s="1862">
        <f t="shared" si="21"/>
        <v>86</v>
      </c>
      <c r="K92" s="1862">
        <f t="shared" si="21"/>
        <v>84</v>
      </c>
      <c r="L92" s="1862">
        <f t="shared" si="21"/>
        <v>82</v>
      </c>
      <c r="M92" s="1862">
        <f t="shared" si="21"/>
        <v>80</v>
      </c>
      <c r="N92" s="3016"/>
      <c r="O92" s="3016"/>
      <c r="P92" s="2058"/>
      <c r="Q92" s="1873"/>
    </row>
    <row r="93" spans="1:17" ht="15.75" thickTop="1">
      <c r="A93" s="1853"/>
      <c r="B93" s="1858">
        <f>B47</f>
        <v>0</v>
      </c>
      <c r="C93" s="468"/>
      <c r="D93" s="468"/>
      <c r="E93" s="468"/>
      <c r="F93" s="468"/>
      <c r="G93" s="468"/>
      <c r="H93" s="468"/>
      <c r="I93" s="468"/>
      <c r="J93" s="468"/>
      <c r="K93" s="468"/>
      <c r="L93" s="468"/>
      <c r="M93" s="1890"/>
      <c r="N93" s="3014"/>
      <c r="O93" s="3014"/>
      <c r="P93" s="2057"/>
      <c r="Q93" s="1821"/>
    </row>
    <row r="94" spans="1:17" ht="15.75" thickBot="1">
      <c r="A94" s="1853"/>
      <c r="B94" s="1861"/>
      <c r="C94" s="1874"/>
      <c r="D94" s="1855"/>
      <c r="E94" s="1855"/>
      <c r="F94" s="1855"/>
      <c r="G94" s="1855"/>
      <c r="H94" s="1855"/>
      <c r="I94" s="1855"/>
      <c r="J94" s="1855"/>
      <c r="K94" s="1855"/>
      <c r="L94" s="1855"/>
      <c r="M94" s="1856"/>
      <c r="N94" s="3015"/>
      <c r="O94" s="3015"/>
      <c r="P94" s="2057"/>
      <c r="Q94" s="1821"/>
    </row>
    <row r="95" spans="1:17" ht="15.75" thickTop="1">
      <c r="A95" s="1853"/>
      <c r="B95" s="1858">
        <f>B30</f>
        <v>111</v>
      </c>
      <c r="C95" s="468"/>
      <c r="D95" s="468"/>
      <c r="E95" s="468"/>
      <c r="F95" s="468"/>
      <c r="G95" s="1578"/>
      <c r="H95" s="1578"/>
      <c r="I95" s="1578"/>
      <c r="J95" s="1578"/>
      <c r="K95" s="473"/>
      <c r="L95" s="473"/>
      <c r="M95" s="1893"/>
      <c r="N95" s="3014"/>
      <c r="O95" s="3014"/>
      <c r="P95" s="2057"/>
      <c r="Q95" s="1821"/>
    </row>
    <row r="96" spans="1:17" ht="15.75" thickBot="1">
      <c r="A96" s="1853"/>
      <c r="B96" s="1861"/>
      <c r="C96" s="1874"/>
      <c r="D96" s="1874"/>
      <c r="E96" s="1874"/>
      <c r="F96" s="1874"/>
      <c r="G96" s="1855"/>
      <c r="H96" s="1855"/>
      <c r="I96" s="1855"/>
      <c r="J96" s="1855"/>
      <c r="K96" s="1855"/>
      <c r="L96" s="1855"/>
      <c r="M96" s="1856"/>
      <c r="N96" s="3015"/>
      <c r="O96" s="3015"/>
      <c r="P96" s="2057"/>
      <c r="Q96" s="1821"/>
    </row>
    <row r="97" spans="1:17" ht="15.75" thickTop="1">
      <c r="A97" s="1853"/>
      <c r="B97" s="1858">
        <f>B31</f>
        <v>111</v>
      </c>
      <c r="C97" s="468"/>
      <c r="D97" s="468"/>
      <c r="E97" s="468"/>
      <c r="F97" s="468"/>
      <c r="G97" s="1578"/>
      <c r="H97" s="1578"/>
      <c r="I97" s="1578"/>
      <c r="J97" s="1578"/>
      <c r="K97" s="473"/>
      <c r="L97" s="473"/>
      <c r="M97" s="1893"/>
      <c r="N97" s="3014"/>
      <c r="O97" s="3014"/>
      <c r="P97" s="2057"/>
      <c r="Q97" s="1821"/>
    </row>
    <row r="98" spans="1:17" ht="15.75" thickBot="1">
      <c r="A98" s="1853"/>
      <c r="B98" s="1861"/>
      <c r="C98" s="1874"/>
      <c r="D98" s="1855"/>
      <c r="E98" s="1855"/>
      <c r="F98" s="1855"/>
      <c r="G98" s="1855"/>
      <c r="H98" s="1855"/>
      <c r="I98" s="1855"/>
      <c r="J98" s="1855"/>
      <c r="K98" s="1855"/>
      <c r="L98" s="1855"/>
      <c r="M98" s="1856"/>
      <c r="N98" s="3015"/>
      <c r="O98" s="3015"/>
      <c r="P98" s="2057"/>
      <c r="Q98" s="1821"/>
    </row>
    <row r="99" spans="1:17" ht="15.75" thickTop="1">
      <c r="A99" s="1853"/>
      <c r="B99" s="1864">
        <f>B32</f>
        <v>111</v>
      </c>
      <c r="C99" s="409"/>
      <c r="D99" s="409"/>
      <c r="E99" s="409"/>
      <c r="F99" s="409"/>
      <c r="G99" s="1894"/>
      <c r="H99" s="1894"/>
      <c r="I99" s="1894"/>
      <c r="J99" s="1894"/>
      <c r="K99" s="477"/>
      <c r="L99" s="477"/>
      <c r="M99" s="1895"/>
      <c r="N99" s="3014"/>
      <c r="O99" s="3014"/>
      <c r="P99" s="2057"/>
      <c r="Q99" s="1821"/>
    </row>
    <row r="100" spans="1:17" ht="15.75" thickBot="1">
      <c r="A100" s="1896"/>
      <c r="B100" s="1881"/>
      <c r="C100" s="1882"/>
      <c r="D100" s="1882"/>
      <c r="E100" s="1882"/>
      <c r="F100" s="1882"/>
      <c r="G100" s="1897"/>
      <c r="H100" s="1897"/>
      <c r="I100" s="1897"/>
      <c r="J100" s="1897"/>
      <c r="K100" s="1897"/>
      <c r="L100" s="1897"/>
      <c r="M100" s="1898"/>
      <c r="N100" s="3015"/>
      <c r="O100" s="3015"/>
      <c r="P100" s="2057"/>
      <c r="Q100" s="1821"/>
    </row>
    <row r="101" spans="1:17">
      <c r="A101" s="1846" t="s">
        <v>2273</v>
      </c>
      <c r="B101" s="1847" t="s">
        <v>2322</v>
      </c>
      <c r="C101" s="3859" t="s">
        <v>4242</v>
      </c>
      <c r="D101" s="3451" t="s">
        <v>3352</v>
      </c>
      <c r="E101" s="3451" t="s">
        <v>3353</v>
      </c>
      <c r="F101" s="3451" t="s">
        <v>3523</v>
      </c>
      <c r="G101" s="1849"/>
      <c r="H101" s="1849"/>
      <c r="I101" s="1849"/>
      <c r="J101" s="1849"/>
      <c r="K101" s="417"/>
      <c r="L101" s="417"/>
      <c r="M101" s="1850"/>
      <c r="N101" s="3014"/>
      <c r="O101" s="3014"/>
      <c r="P101" s="2057"/>
      <c r="Q101" s="1821"/>
    </row>
    <row r="102" spans="1:17" ht="15.75" thickBot="1">
      <c r="A102" s="1853"/>
      <c r="B102" s="1861"/>
      <c r="C102" s="1862">
        <v>100</v>
      </c>
      <c r="D102" s="1862">
        <f t="shared" ref="D102:M102" si="22">C102-$K33</f>
        <v>99</v>
      </c>
      <c r="E102" s="1862">
        <f t="shared" si="22"/>
        <v>98</v>
      </c>
      <c r="F102" s="1862">
        <f t="shared" si="22"/>
        <v>97</v>
      </c>
      <c r="G102" s="1862">
        <f t="shared" si="22"/>
        <v>96</v>
      </c>
      <c r="H102" s="1862">
        <f t="shared" si="22"/>
        <v>95</v>
      </c>
      <c r="I102" s="1862">
        <f t="shared" si="22"/>
        <v>94</v>
      </c>
      <c r="J102" s="1862">
        <f t="shared" si="22"/>
        <v>93</v>
      </c>
      <c r="K102" s="1862">
        <f t="shared" si="22"/>
        <v>92</v>
      </c>
      <c r="L102" s="1862">
        <f t="shared" si="22"/>
        <v>91</v>
      </c>
      <c r="M102" s="1863">
        <f t="shared" si="22"/>
        <v>90</v>
      </c>
      <c r="N102" s="3015"/>
      <c r="O102" s="3015"/>
      <c r="P102" s="2057"/>
      <c r="Q102" s="1821"/>
    </row>
    <row r="103" spans="1:17" ht="29.25" thickTop="1">
      <c r="A103" s="1853"/>
      <c r="B103" s="1858" t="s">
        <v>2323</v>
      </c>
      <c r="C103" s="579" t="str">
        <f>C104&amp;"(含)"&amp;"-"&amp;D104</f>
        <v>0(含)-500</v>
      </c>
      <c r="D103" s="579" t="str">
        <f t="shared" ref="D103:L103" si="23">D104&amp;"(含)"&amp;"-"&amp;E104</f>
        <v>500(含)-1000</v>
      </c>
      <c r="E103" s="579" t="str">
        <f t="shared" si="23"/>
        <v>1000(含)-1500</v>
      </c>
      <c r="F103" s="579" t="str">
        <f t="shared" si="23"/>
        <v>1500(含)-2000</v>
      </c>
      <c r="G103" s="579" t="str">
        <f t="shared" si="23"/>
        <v>2000(含)-2500</v>
      </c>
      <c r="H103" s="579" t="str">
        <f t="shared" si="23"/>
        <v>2500(含)-</v>
      </c>
      <c r="I103" s="579" t="str">
        <f t="shared" si="23"/>
        <v>(含)-</v>
      </c>
      <c r="J103" s="579" t="str">
        <f t="shared" si="23"/>
        <v>(含)-</v>
      </c>
      <c r="K103" s="579" t="str">
        <f t="shared" si="23"/>
        <v>(含)-</v>
      </c>
      <c r="L103" s="579" t="str">
        <f t="shared" si="23"/>
        <v>(含)-</v>
      </c>
      <c r="M103" s="2060" t="str">
        <f>M104&amp;"(含)"&amp;"-"&amp;P104</f>
        <v>(含)-</v>
      </c>
      <c r="N103" s="3013"/>
      <c r="O103" s="3013"/>
      <c r="P103" s="2057"/>
      <c r="Q103" s="1821"/>
    </row>
    <row r="104" spans="1:17" s="1771" customFormat="1">
      <c r="A104" s="1899"/>
      <c r="B104" s="1900"/>
      <c r="C104" s="1901">
        <v>0</v>
      </c>
      <c r="D104" s="1901">
        <v>500</v>
      </c>
      <c r="E104" s="1901">
        <v>1000</v>
      </c>
      <c r="F104" s="1901">
        <v>1500</v>
      </c>
      <c r="G104" s="1901">
        <v>2000</v>
      </c>
      <c r="H104" s="1901">
        <v>2500</v>
      </c>
      <c r="I104" s="1901"/>
      <c r="J104" s="485"/>
      <c r="K104" s="485"/>
      <c r="L104" s="485"/>
      <c r="M104" s="1902"/>
      <c r="N104" s="3016"/>
      <c r="O104" s="3016"/>
      <c r="P104" s="2058"/>
      <c r="Q104" s="1873"/>
    </row>
    <row r="105" spans="1:17" s="1771" customFormat="1" ht="15.75" thickBot="1">
      <c r="A105" s="1869"/>
      <c r="B105" s="1861"/>
      <c r="C105" s="1874">
        <v>100</v>
      </c>
      <c r="D105" s="1855">
        <v>99</v>
      </c>
      <c r="E105" s="1855">
        <v>98</v>
      </c>
      <c r="F105" s="1855">
        <v>97</v>
      </c>
      <c r="G105" s="1855">
        <v>96</v>
      </c>
      <c r="H105" s="1855">
        <v>95</v>
      </c>
      <c r="I105" s="1855"/>
      <c r="J105" s="1855"/>
      <c r="K105" s="1855"/>
      <c r="L105" s="1855"/>
      <c r="M105" s="1856"/>
      <c r="N105" s="3015"/>
      <c r="O105" s="3015"/>
      <c r="P105" s="2058"/>
      <c r="Q105" s="1873"/>
    </row>
    <row r="106" spans="1:17" ht="15" thickTop="1">
      <c r="A106" s="1903"/>
      <c r="B106" s="1858" t="s">
        <v>2324</v>
      </c>
      <c r="C106" s="3158" t="s">
        <v>3354</v>
      </c>
      <c r="D106" s="468"/>
      <c r="E106" s="1578"/>
      <c r="F106" s="1578"/>
      <c r="G106" s="1578"/>
      <c r="H106" s="1578"/>
      <c r="I106" s="1578"/>
      <c r="J106" s="1578"/>
      <c r="K106" s="473"/>
      <c r="L106" s="473"/>
      <c r="M106" s="1893"/>
      <c r="N106" s="3014"/>
      <c r="O106" s="3014"/>
      <c r="P106" s="2057"/>
      <c r="Q106" s="1821"/>
    </row>
    <row r="107" spans="1:17" ht="15.75" thickBot="1">
      <c r="A107" s="1853"/>
      <c r="B107" s="1861"/>
      <c r="C107" s="1862">
        <v>100</v>
      </c>
      <c r="D107" s="1862">
        <f t="shared" ref="D107:M107" si="24">C107-$K35</f>
        <v>99</v>
      </c>
      <c r="E107" s="1862">
        <f t="shared" si="24"/>
        <v>98</v>
      </c>
      <c r="F107" s="1862">
        <f t="shared" si="24"/>
        <v>97</v>
      </c>
      <c r="G107" s="1862">
        <f t="shared" si="24"/>
        <v>96</v>
      </c>
      <c r="H107" s="1862">
        <f t="shared" si="24"/>
        <v>95</v>
      </c>
      <c r="I107" s="1862">
        <f t="shared" si="24"/>
        <v>94</v>
      </c>
      <c r="J107" s="1862">
        <f t="shared" si="24"/>
        <v>93</v>
      </c>
      <c r="K107" s="1862">
        <f t="shared" si="24"/>
        <v>92</v>
      </c>
      <c r="L107" s="1862">
        <f t="shared" si="24"/>
        <v>91</v>
      </c>
      <c r="M107" s="1863">
        <f t="shared" si="24"/>
        <v>90</v>
      </c>
      <c r="N107" s="3015"/>
      <c r="O107" s="3015"/>
      <c r="P107" s="2057"/>
      <c r="Q107" s="1821"/>
    </row>
    <row r="108" spans="1:17" ht="15" thickTop="1">
      <c r="A108" s="1903"/>
      <c r="B108" s="1858" t="s">
        <v>2326</v>
      </c>
      <c r="C108" s="3158" t="s">
        <v>2895</v>
      </c>
      <c r="D108" s="3158" t="s">
        <v>2897</v>
      </c>
      <c r="E108" s="468"/>
      <c r="F108" s="1578"/>
      <c r="G108" s="1578"/>
      <c r="H108" s="1578"/>
      <c r="I108" s="1578"/>
      <c r="J108" s="1578"/>
      <c r="K108" s="473"/>
      <c r="L108" s="473"/>
      <c r="M108" s="1893"/>
      <c r="N108" s="3014"/>
      <c r="O108" s="3014"/>
      <c r="P108" s="2057"/>
      <c r="Q108" s="1821"/>
    </row>
    <row r="109" spans="1:17" ht="15.75" thickBot="1">
      <c r="A109" s="1853"/>
      <c r="B109" s="1861"/>
      <c r="C109" s="1862">
        <v>100</v>
      </c>
      <c r="D109" s="1862">
        <f t="shared" ref="D109:M109" si="25">C109-$K36</f>
        <v>98</v>
      </c>
      <c r="E109" s="1862">
        <f t="shared" si="25"/>
        <v>96</v>
      </c>
      <c r="F109" s="1862">
        <f t="shared" si="25"/>
        <v>94</v>
      </c>
      <c r="G109" s="1862">
        <f t="shared" si="25"/>
        <v>92</v>
      </c>
      <c r="H109" s="1862">
        <f t="shared" si="25"/>
        <v>90</v>
      </c>
      <c r="I109" s="1862">
        <f t="shared" si="25"/>
        <v>88</v>
      </c>
      <c r="J109" s="1862">
        <f t="shared" si="25"/>
        <v>86</v>
      </c>
      <c r="K109" s="1862">
        <f t="shared" si="25"/>
        <v>84</v>
      </c>
      <c r="L109" s="1862">
        <f t="shared" si="25"/>
        <v>82</v>
      </c>
      <c r="M109" s="1863">
        <f t="shared" si="25"/>
        <v>80</v>
      </c>
      <c r="N109" s="3015"/>
      <c r="O109" s="3015"/>
      <c r="P109" s="2057"/>
      <c r="Q109" s="1821"/>
    </row>
    <row r="110" spans="1:17" ht="15" thickTop="1">
      <c r="A110" s="1903"/>
      <c r="B110" s="1858" t="s">
        <v>2327</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8"/>
      <c r="J110" s="1578"/>
      <c r="K110" s="473"/>
      <c r="L110" s="473"/>
      <c r="M110" s="1893"/>
      <c r="N110" s="3014"/>
      <c r="O110" s="3014"/>
      <c r="P110" s="2057"/>
      <c r="Q110" s="1821"/>
    </row>
    <row r="111" spans="1:17">
      <c r="A111" s="1903"/>
      <c r="B111" s="1864"/>
      <c r="C111" s="1905">
        <v>0.5</v>
      </c>
      <c r="D111" s="1905">
        <v>0.6</v>
      </c>
      <c r="E111" s="1905">
        <v>0.7</v>
      </c>
      <c r="F111" s="1905">
        <v>0.8</v>
      </c>
      <c r="G111" s="1905">
        <v>0.9</v>
      </c>
      <c r="H111" s="1905">
        <v>1</v>
      </c>
      <c r="I111" s="2482"/>
      <c r="J111" s="2482"/>
      <c r="K111" s="508"/>
      <c r="L111" s="508"/>
      <c r="M111" s="2483"/>
      <c r="N111" s="3014"/>
      <c r="O111" s="3014"/>
      <c r="P111" s="2057"/>
      <c r="Q111" s="1821"/>
    </row>
    <row r="112" spans="1:17" ht="15.75" thickBot="1">
      <c r="A112" s="1853"/>
      <c r="B112" s="1861"/>
      <c r="C112" s="1891">
        <v>100</v>
      </c>
      <c r="D112" s="1862">
        <f>C112+$K37</f>
        <v>101</v>
      </c>
      <c r="E112" s="1862">
        <f t="shared" ref="E112:M112" si="26">D112+$K37</f>
        <v>102</v>
      </c>
      <c r="F112" s="1862">
        <f t="shared" si="26"/>
        <v>103</v>
      </c>
      <c r="G112" s="1862">
        <f t="shared" si="26"/>
        <v>104</v>
      </c>
      <c r="H112" s="1862">
        <f t="shared" si="26"/>
        <v>105</v>
      </c>
      <c r="I112" s="1862">
        <f t="shared" si="26"/>
        <v>106</v>
      </c>
      <c r="J112" s="1862">
        <f t="shared" si="26"/>
        <v>107</v>
      </c>
      <c r="K112" s="1862">
        <f t="shared" si="26"/>
        <v>108</v>
      </c>
      <c r="L112" s="1862">
        <f t="shared" si="26"/>
        <v>109</v>
      </c>
      <c r="M112" s="1862">
        <f t="shared" si="26"/>
        <v>110</v>
      </c>
      <c r="N112" s="3015"/>
      <c r="O112" s="3015"/>
      <c r="P112" s="2057"/>
      <c r="Q112" s="1821"/>
    </row>
    <row r="113" spans="1:17" s="1771" customFormat="1" ht="15" thickTop="1">
      <c r="A113" s="1899"/>
      <c r="B113" s="1858" t="s">
        <v>2397</v>
      </c>
      <c r="C113" s="3158" t="s">
        <v>3519</v>
      </c>
      <c r="D113" s="4115" t="s">
        <v>4992</v>
      </c>
      <c r="E113" s="3158" t="s">
        <v>3520</v>
      </c>
      <c r="F113" s="468"/>
      <c r="G113" s="468"/>
      <c r="H113" s="1578"/>
      <c r="I113" s="1578"/>
      <c r="J113" s="1578"/>
      <c r="K113" s="473"/>
      <c r="L113" s="473"/>
      <c r="M113" s="1893"/>
      <c r="N113" s="3016"/>
      <c r="O113" s="3016"/>
      <c r="P113" s="2058"/>
      <c r="Q113" s="1873"/>
    </row>
    <row r="114" spans="1:17" s="1771" customFormat="1" ht="15.75" thickBot="1">
      <c r="A114" s="1869"/>
      <c r="B114" s="1861"/>
      <c r="C114" s="1862">
        <v>100</v>
      </c>
      <c r="D114" s="1862">
        <f>C114-$K38</f>
        <v>98</v>
      </c>
      <c r="E114" s="1862">
        <f t="shared" ref="E114:M114" si="27">D114-$K38</f>
        <v>96</v>
      </c>
      <c r="F114" s="1862">
        <f t="shared" si="27"/>
        <v>94</v>
      </c>
      <c r="G114" s="1862">
        <f t="shared" si="27"/>
        <v>92</v>
      </c>
      <c r="H114" s="1862">
        <f t="shared" si="27"/>
        <v>90</v>
      </c>
      <c r="I114" s="1862">
        <f t="shared" si="27"/>
        <v>88</v>
      </c>
      <c r="J114" s="1862">
        <f t="shared" si="27"/>
        <v>86</v>
      </c>
      <c r="K114" s="1862">
        <f t="shared" si="27"/>
        <v>84</v>
      </c>
      <c r="L114" s="1862">
        <f t="shared" si="27"/>
        <v>82</v>
      </c>
      <c r="M114" s="1862">
        <f t="shared" si="27"/>
        <v>80</v>
      </c>
      <c r="N114" s="3016"/>
      <c r="O114" s="3016"/>
      <c r="P114" s="2058"/>
      <c r="Q114" s="1873"/>
    </row>
    <row r="115" spans="1:17" ht="15" thickTop="1">
      <c r="A115" s="1903"/>
      <c r="B115" s="1858" t="s">
        <v>2328</v>
      </c>
      <c r="C115" s="3158" t="s">
        <v>3521</v>
      </c>
      <c r="D115" s="468"/>
      <c r="E115" s="1578"/>
      <c r="F115" s="1578"/>
      <c r="G115" s="1578"/>
      <c r="H115" s="1578"/>
      <c r="I115" s="1578"/>
      <c r="J115" s="1578"/>
      <c r="K115" s="473"/>
      <c r="L115" s="473"/>
      <c r="M115" s="1893"/>
      <c r="N115" s="3014"/>
      <c r="O115" s="3014"/>
      <c r="P115" s="2057"/>
      <c r="Q115" s="1821"/>
    </row>
    <row r="116" spans="1:17" ht="15.75" thickBot="1">
      <c r="A116" s="1853"/>
      <c r="B116" s="1861"/>
      <c r="C116" s="1862">
        <v>100</v>
      </c>
      <c r="D116" s="1862">
        <f t="shared" ref="D116:M116" si="28">C116-$K39</f>
        <v>100</v>
      </c>
      <c r="E116" s="1862">
        <f t="shared" si="28"/>
        <v>100</v>
      </c>
      <c r="F116" s="1862">
        <f t="shared" si="28"/>
        <v>100</v>
      </c>
      <c r="G116" s="1862">
        <f t="shared" si="28"/>
        <v>100</v>
      </c>
      <c r="H116" s="1862">
        <f t="shared" si="28"/>
        <v>100</v>
      </c>
      <c r="I116" s="1862">
        <f t="shared" si="28"/>
        <v>100</v>
      </c>
      <c r="J116" s="1862">
        <f t="shared" si="28"/>
        <v>100</v>
      </c>
      <c r="K116" s="1862">
        <f t="shared" si="28"/>
        <v>100</v>
      </c>
      <c r="L116" s="1862">
        <f t="shared" si="28"/>
        <v>100</v>
      </c>
      <c r="M116" s="1863">
        <f t="shared" si="28"/>
        <v>100</v>
      </c>
      <c r="N116" s="3015"/>
      <c r="O116" s="3015"/>
      <c r="P116" s="2057"/>
      <c r="Q116" s="1821"/>
    </row>
    <row r="117" spans="1:17" ht="15" thickTop="1">
      <c r="A117" s="1903"/>
      <c r="B117" s="1858" t="s">
        <v>2329</v>
      </c>
      <c r="C117" s="3158" t="s">
        <v>3522</v>
      </c>
      <c r="D117" s="468"/>
      <c r="E117" s="468"/>
      <c r="F117" s="468"/>
      <c r="G117" s="468"/>
      <c r="H117" s="1578"/>
      <c r="I117" s="1578"/>
      <c r="J117" s="1578"/>
      <c r="K117" s="473"/>
      <c r="L117" s="473"/>
      <c r="M117" s="1893"/>
      <c r="N117" s="3014"/>
      <c r="O117" s="3014"/>
      <c r="P117" s="2057"/>
      <c r="Q117" s="1821"/>
    </row>
    <row r="118" spans="1:17" ht="15.75" thickBot="1">
      <c r="A118" s="1853"/>
      <c r="B118" s="1861"/>
      <c r="C118" s="1862">
        <v>100</v>
      </c>
      <c r="D118" s="1862">
        <f>C118-$K40</f>
        <v>100</v>
      </c>
      <c r="E118" s="1862">
        <f>D118-$K40</f>
        <v>100</v>
      </c>
      <c r="F118" s="1862">
        <f>E118-$K40</f>
        <v>100</v>
      </c>
      <c r="G118" s="1862">
        <f>F118-$K40</f>
        <v>100</v>
      </c>
      <c r="H118" s="1862"/>
      <c r="I118" s="1862"/>
      <c r="J118" s="1862"/>
      <c r="K118" s="1862"/>
      <c r="L118" s="1862"/>
      <c r="M118" s="1863"/>
      <c r="N118" s="3015"/>
      <c r="O118" s="3015"/>
      <c r="P118" s="2057"/>
      <c r="Q118" s="1821"/>
    </row>
    <row r="119" spans="1:17" ht="15" thickTop="1">
      <c r="A119" s="1903"/>
      <c r="B119" s="2504" t="s">
        <v>2398</v>
      </c>
      <c r="C119" s="3159" t="s">
        <v>4244</v>
      </c>
      <c r="D119" s="1578"/>
      <c r="E119" s="1578"/>
      <c r="F119" s="1578"/>
      <c r="G119" s="1578"/>
      <c r="H119" s="1578"/>
      <c r="I119" s="1578"/>
      <c r="J119" s="1578"/>
      <c r="K119" s="1578"/>
      <c r="L119" s="1578"/>
      <c r="M119" s="2505"/>
      <c r="N119" s="3015"/>
      <c r="O119" s="3015"/>
      <c r="P119" s="2506"/>
      <c r="Q119" s="2507"/>
    </row>
    <row r="120" spans="1:17" ht="15.75" thickBot="1">
      <c r="A120" s="1853"/>
      <c r="B120" s="1861"/>
      <c r="C120" s="1891">
        <v>100</v>
      </c>
      <c r="D120" s="1862">
        <f>C120-$K41</f>
        <v>100</v>
      </c>
      <c r="E120" s="1862">
        <f t="shared" ref="E120:M120" si="29">D120-$K41</f>
        <v>100</v>
      </c>
      <c r="F120" s="1862">
        <f t="shared" si="29"/>
        <v>100</v>
      </c>
      <c r="G120" s="1862">
        <f t="shared" si="29"/>
        <v>100</v>
      </c>
      <c r="H120" s="1862">
        <f t="shared" si="29"/>
        <v>100</v>
      </c>
      <c r="I120" s="1862">
        <f t="shared" si="29"/>
        <v>100</v>
      </c>
      <c r="J120" s="1862">
        <f t="shared" si="29"/>
        <v>100</v>
      </c>
      <c r="K120" s="1862">
        <f t="shared" si="29"/>
        <v>100</v>
      </c>
      <c r="L120" s="1862">
        <f t="shared" si="29"/>
        <v>100</v>
      </c>
      <c r="M120" s="1862">
        <f t="shared" si="29"/>
        <v>100</v>
      </c>
      <c r="N120" s="3015"/>
      <c r="O120" s="3015"/>
      <c r="P120" s="2057"/>
      <c r="Q120" s="1821"/>
    </row>
    <row r="121" spans="1:17" s="1771" customFormat="1" ht="15" thickTop="1">
      <c r="A121" s="1899"/>
      <c r="B121" s="1858" t="s">
        <v>2380</v>
      </c>
      <c r="C121" s="468"/>
      <c r="D121" s="468"/>
      <c r="E121" s="468"/>
      <c r="F121" s="1578"/>
      <c r="G121" s="443"/>
      <c r="H121" s="443"/>
      <c r="I121" s="443"/>
      <c r="J121" s="443"/>
      <c r="K121" s="443"/>
      <c r="L121" s="443"/>
      <c r="M121" s="1870"/>
      <c r="N121" s="3016"/>
      <c r="O121" s="3016"/>
      <c r="P121" s="2058"/>
      <c r="Q121" s="1873"/>
    </row>
    <row r="122" spans="1:17" s="1771" customFormat="1" ht="15.75" thickBot="1">
      <c r="A122" s="1869"/>
      <c r="B122" s="1854"/>
      <c r="C122" s="1874"/>
      <c r="D122" s="1874"/>
      <c r="E122" s="1874"/>
      <c r="F122" s="1874"/>
      <c r="G122" s="1874"/>
      <c r="H122" s="1874"/>
      <c r="I122" s="1874"/>
      <c r="J122" s="1874"/>
      <c r="K122" s="1874"/>
      <c r="L122" s="1874"/>
      <c r="M122" s="1874"/>
      <c r="N122" s="3016"/>
      <c r="O122" s="3016"/>
      <c r="P122" s="2058"/>
      <c r="Q122" s="1873"/>
    </row>
    <row r="123" spans="1:17" ht="15" thickTop="1">
      <c r="A123" s="1903"/>
      <c r="B123" s="1858" t="s">
        <v>2331</v>
      </c>
      <c r="C123" s="3158" t="s">
        <v>2895</v>
      </c>
      <c r="D123" s="3158" t="s">
        <v>2897</v>
      </c>
      <c r="E123" s="3158" t="s">
        <v>2898</v>
      </c>
      <c r="F123" s="3159" t="s">
        <v>2899</v>
      </c>
      <c r="G123" s="1578"/>
      <c r="H123" s="1578"/>
      <c r="I123" s="1578"/>
      <c r="J123" s="1578"/>
      <c r="K123" s="473"/>
      <c r="L123" s="473"/>
      <c r="M123" s="1893"/>
      <c r="N123" s="3014"/>
      <c r="O123" s="3014"/>
      <c r="P123" s="2057"/>
      <c r="Q123" s="1821"/>
    </row>
    <row r="124" spans="1:17" ht="15.75" thickBot="1">
      <c r="A124" s="1853"/>
      <c r="B124" s="1861"/>
      <c r="C124" s="1862">
        <v>100</v>
      </c>
      <c r="D124" s="1862">
        <f t="shared" ref="D124:M124" si="30">C124-$K43</f>
        <v>98</v>
      </c>
      <c r="E124" s="1862">
        <f t="shared" si="30"/>
        <v>96</v>
      </c>
      <c r="F124" s="1862">
        <f t="shared" si="30"/>
        <v>94</v>
      </c>
      <c r="G124" s="1862">
        <f t="shared" si="30"/>
        <v>92</v>
      </c>
      <c r="H124" s="1862">
        <f t="shared" si="30"/>
        <v>90</v>
      </c>
      <c r="I124" s="1862">
        <f t="shared" si="30"/>
        <v>88</v>
      </c>
      <c r="J124" s="1862">
        <f t="shared" si="30"/>
        <v>86</v>
      </c>
      <c r="K124" s="1862">
        <f t="shared" si="30"/>
        <v>84</v>
      </c>
      <c r="L124" s="1862">
        <f t="shared" si="30"/>
        <v>82</v>
      </c>
      <c r="M124" s="1863">
        <f t="shared" si="30"/>
        <v>80</v>
      </c>
      <c r="N124" s="3015"/>
      <c r="O124" s="3015"/>
      <c r="P124" s="2057"/>
      <c r="Q124" s="1821"/>
    </row>
    <row r="125" spans="1:17" ht="15" thickTop="1">
      <c r="A125" s="1903"/>
      <c r="B125" s="1858" t="s">
        <v>2332</v>
      </c>
      <c r="C125" s="579" t="s">
        <v>2307</v>
      </c>
      <c r="D125" s="579" t="s">
        <v>2308</v>
      </c>
      <c r="E125" s="579" t="s">
        <v>2309</v>
      </c>
      <c r="F125" s="579" t="s">
        <v>2310</v>
      </c>
      <c r="G125" s="579" t="s">
        <v>2311</v>
      </c>
      <c r="H125" s="1859"/>
      <c r="I125" s="1859"/>
      <c r="J125" s="1859"/>
      <c r="K125" s="428"/>
      <c r="L125" s="428"/>
      <c r="M125" s="1860"/>
      <c r="N125" s="3014"/>
      <c r="O125" s="3014"/>
      <c r="P125" s="2058"/>
      <c r="Q125" s="1821"/>
    </row>
    <row r="126" spans="1:17" ht="15.75" thickBot="1">
      <c r="A126" s="1853"/>
      <c r="B126" s="1861"/>
      <c r="C126" s="1862">
        <v>100</v>
      </c>
      <c r="D126" s="1862">
        <f>C126-$K44</f>
        <v>95</v>
      </c>
      <c r="E126" s="1862">
        <f>D126-$K44</f>
        <v>90</v>
      </c>
      <c r="F126" s="1862">
        <f>E126-$K44</f>
        <v>85</v>
      </c>
      <c r="G126" s="1862">
        <f>F126-$K44</f>
        <v>80</v>
      </c>
      <c r="H126" s="1862"/>
      <c r="I126" s="1862"/>
      <c r="J126" s="1862"/>
      <c r="K126" s="1862"/>
      <c r="L126" s="1862"/>
      <c r="M126" s="1863"/>
      <c r="N126" s="3015"/>
      <c r="O126" s="3015"/>
      <c r="P126" s="2057"/>
      <c r="Q126" s="1821"/>
    </row>
    <row r="127" spans="1:17" s="1771" customFormat="1" ht="15" thickTop="1">
      <c r="A127" s="1899"/>
      <c r="B127" s="1858" t="str">
        <f>B45</f>
        <v>物业类型</v>
      </c>
      <c r="C127" s="3158" t="s">
        <v>4994</v>
      </c>
      <c r="D127" s="3452" t="s">
        <v>5022</v>
      </c>
      <c r="E127" s="468"/>
      <c r="F127" s="468"/>
      <c r="G127" s="468"/>
      <c r="H127" s="443"/>
      <c r="I127" s="443"/>
      <c r="J127" s="443"/>
      <c r="K127" s="443"/>
      <c r="L127" s="443"/>
      <c r="M127" s="1870"/>
      <c r="N127" s="3016"/>
      <c r="O127" s="3016"/>
      <c r="P127" s="2058"/>
      <c r="Q127" s="1873"/>
    </row>
    <row r="128" spans="1:17" s="1771" customFormat="1" ht="15.75" thickBot="1">
      <c r="A128" s="1869"/>
      <c r="B128" s="1861"/>
      <c r="C128" s="1874">
        <v>100</v>
      </c>
      <c r="D128" s="1855">
        <v>95</v>
      </c>
      <c r="E128" s="1855"/>
      <c r="F128" s="1855"/>
      <c r="G128" s="1874"/>
      <c r="H128" s="1877"/>
      <c r="I128" s="1877"/>
      <c r="J128" s="1877"/>
      <c r="K128" s="1877"/>
      <c r="L128" s="1877"/>
      <c r="M128" s="1878"/>
      <c r="N128" s="3016"/>
      <c r="O128" s="3016"/>
      <c r="P128" s="2058"/>
      <c r="Q128" s="1873"/>
    </row>
    <row r="129" spans="1:17" ht="15" thickTop="1">
      <c r="A129" s="1903"/>
      <c r="B129" s="1858" t="e">
        <f>#REF!</f>
        <v>#REF!</v>
      </c>
      <c r="C129" s="3158" t="s">
        <v>4997</v>
      </c>
      <c r="D129" s="3158" t="s">
        <v>4998</v>
      </c>
      <c r="E129" s="468"/>
      <c r="F129" s="468"/>
      <c r="G129" s="1578"/>
      <c r="H129" s="1578"/>
      <c r="I129" s="1578"/>
      <c r="J129" s="1578"/>
      <c r="K129" s="473"/>
      <c r="L129" s="473"/>
      <c r="M129" s="1893"/>
      <c r="N129" s="3014"/>
      <c r="O129" s="3014"/>
      <c r="P129" s="2057"/>
      <c r="Q129" s="1821"/>
    </row>
    <row r="130" spans="1:17" ht="15.75" thickBot="1">
      <c r="A130" s="1853"/>
      <c r="B130" s="1861"/>
      <c r="C130" s="1874">
        <v>100</v>
      </c>
      <c r="D130" s="1874">
        <v>98</v>
      </c>
      <c r="E130" s="1874"/>
      <c r="F130" s="1874"/>
      <c r="G130" s="1855"/>
      <c r="H130" s="1855"/>
      <c r="I130" s="1855"/>
      <c r="J130" s="1855"/>
      <c r="K130" s="1855"/>
      <c r="L130" s="1855"/>
      <c r="M130" s="1856"/>
      <c r="N130" s="3015"/>
      <c r="O130" s="3015"/>
      <c r="P130" s="2057"/>
      <c r="Q130" s="1821"/>
    </row>
    <row r="131" spans="1:17" ht="15" thickTop="1">
      <c r="A131" s="1903"/>
      <c r="B131" s="1864" t="e">
        <f>#REF!</f>
        <v>#REF!</v>
      </c>
      <c r="C131" s="409"/>
      <c r="D131" s="409"/>
      <c r="E131" s="409"/>
      <c r="F131" s="409"/>
      <c r="G131" s="1894"/>
      <c r="H131" s="1894"/>
      <c r="I131" s="1894"/>
      <c r="J131" s="1894"/>
      <c r="K131" s="409"/>
      <c r="L131" s="409"/>
      <c r="M131" s="1895"/>
      <c r="N131" s="3014"/>
      <c r="O131" s="3014"/>
      <c r="P131" s="2057"/>
      <c r="Q131" s="1821"/>
    </row>
    <row r="132" spans="1:17" ht="15.75" thickBot="1">
      <c r="A132" s="2508"/>
      <c r="B132" s="1881"/>
      <c r="C132" s="1882"/>
      <c r="D132" s="1882"/>
      <c r="E132" s="1882"/>
      <c r="F132" s="1882"/>
      <c r="G132" s="1897"/>
      <c r="H132" s="1897"/>
      <c r="I132" s="1897"/>
      <c r="J132" s="1897"/>
      <c r="K132" s="1897"/>
      <c r="L132" s="1897"/>
      <c r="M132" s="1898"/>
      <c r="N132" s="3015"/>
      <c r="O132" s="3015"/>
      <c r="P132" s="2057"/>
      <c r="Q132" s="182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7" type="noConversion"/>
  <conditionalFormatting sqref="F53 H53">
    <cfRule type="containsText" dxfId="67" priority="20" stopIfTrue="1" operator="containsText" text="超过">
      <formula>NOT(ISERROR(SEARCH("超过",F53)))</formula>
    </cfRule>
  </conditionalFormatting>
  <conditionalFormatting sqref="H55">
    <cfRule type="containsText" dxfId="66" priority="19" stopIfTrue="1" operator="containsText" text="超过">
      <formula>NOT(ISERROR(SEARCH("超过",H55)))</formula>
    </cfRule>
  </conditionalFormatting>
  <conditionalFormatting sqref="F55">
    <cfRule type="containsText" dxfId="65" priority="18" stopIfTrue="1" operator="containsText" text="超过">
      <formula>NOT(ISERROR(SEARCH("超过",F55)))</formula>
    </cfRule>
  </conditionalFormatting>
  <conditionalFormatting sqref="F54 H54">
    <cfRule type="containsText" dxfId="64" priority="17" stopIfTrue="1" operator="containsText" text="超过">
      <formula>NOT(ISERROR(SEARCH("超过",F54)))</formula>
    </cfRule>
  </conditionalFormatting>
  <conditionalFormatting sqref="E53">
    <cfRule type="expression" dxfId="63" priority="16" stopIfTrue="1">
      <formula>$F$53="超过30%"</formula>
    </cfRule>
  </conditionalFormatting>
  <conditionalFormatting sqref="E54">
    <cfRule type="expression" dxfId="62" priority="15" stopIfTrue="1">
      <formula>$F$54="超过20%"</formula>
    </cfRule>
  </conditionalFormatting>
  <conditionalFormatting sqref="E55">
    <cfRule type="expression" dxfId="61" priority="14" stopIfTrue="1">
      <formula>$F$55="超过30%"</formula>
    </cfRule>
  </conditionalFormatting>
  <conditionalFormatting sqref="G55">
    <cfRule type="expression" dxfId="60" priority="13" stopIfTrue="1">
      <formula>$H$55="超过30%"</formula>
    </cfRule>
  </conditionalFormatting>
  <conditionalFormatting sqref="G53">
    <cfRule type="expression" dxfId="59" priority="12" stopIfTrue="1">
      <formula>$H$53="超过30%"</formula>
    </cfRule>
  </conditionalFormatting>
  <conditionalFormatting sqref="G54">
    <cfRule type="expression" dxfId="58" priority="11" stopIfTrue="1">
      <formula>$H$54="超过20%"</formula>
    </cfRule>
  </conditionalFormatting>
  <conditionalFormatting sqref="J53">
    <cfRule type="containsText" dxfId="57" priority="10" stopIfTrue="1" operator="containsText" text="超过">
      <formula>NOT(ISERROR(SEARCH("超过",J53)))</formula>
    </cfRule>
  </conditionalFormatting>
  <conditionalFormatting sqref="J55">
    <cfRule type="containsText" dxfId="56" priority="9" stopIfTrue="1" operator="containsText" text="超过">
      <formula>NOT(ISERROR(SEARCH("超过",J55)))</formula>
    </cfRule>
  </conditionalFormatting>
  <conditionalFormatting sqref="J54">
    <cfRule type="containsText" dxfId="55" priority="8" stopIfTrue="1" operator="containsText" text="超过">
      <formula>NOT(ISERROR(SEARCH("超过",J54)))</formula>
    </cfRule>
  </conditionalFormatting>
  <conditionalFormatting sqref="I53">
    <cfRule type="expression" dxfId="54" priority="7" stopIfTrue="1">
      <formula>$J$53="超过30%"</formula>
    </cfRule>
  </conditionalFormatting>
  <conditionalFormatting sqref="I54">
    <cfRule type="expression" dxfId="53" priority="6" stopIfTrue="1">
      <formula>$J$53+$J$54="超过20%"</formula>
    </cfRule>
  </conditionalFormatting>
  <conditionalFormatting sqref="I55">
    <cfRule type="expression" dxfId="52" priority="5" stopIfTrue="1">
      <formula>$J$55="超过30%"</formula>
    </cfRule>
  </conditionalFormatting>
  <conditionalFormatting sqref="F49">
    <cfRule type="expression" dxfId="51" priority="4">
      <formula>$D$49="简单平均"</formula>
    </cfRule>
  </conditionalFormatting>
  <conditionalFormatting sqref="H49">
    <cfRule type="expression" dxfId="50" priority="3">
      <formula>$D$49="简单平均"</formula>
    </cfRule>
  </conditionalFormatting>
  <conditionalFormatting sqref="J49">
    <cfRule type="expression" dxfId="49" priority="2">
      <formula>$D$49="简单平均"</formula>
    </cfRule>
  </conditionalFormatting>
  <conditionalFormatting sqref="F7:F47 H7:H47 J7:J47">
    <cfRule type="cellIs" dxfId="48" priority="1" operator="notEqual">
      <formula>100</formula>
    </cfRule>
  </conditionalFormatting>
  <dataValidations count="25">
    <dataValidation type="list" allowBlank="1" showInputMessage="1" showErrorMessage="1" sqref="D49" xr:uid="{00000000-0002-0000-2000-000000000000}">
      <formula1>"简单平均,加权平均"</formula1>
    </dataValidation>
    <dataValidation type="list" allowBlank="1" showInputMessage="1" showErrorMessage="1" sqref="G2" xr:uid="{00000000-0002-0000-2000-000001000000}">
      <formula1>估价方法</formula1>
    </dataValidation>
    <dataValidation type="list" allowBlank="1" showInputMessage="1" showErrorMessage="1" sqref="D2" xr:uid="{00000000-0002-0000-2000-000002000000}">
      <formula1>"需扣减承租人权益,——"</formula1>
    </dataValidation>
    <dataValidation type="list" allowBlank="1" showInputMessage="1" showErrorMessage="1" sqref="E1" xr:uid="{00000000-0002-0000-2000-000003000000}">
      <formula1>"售价,租金"</formula1>
    </dataValidation>
    <dataValidation type="list" allowBlank="1" showInputMessage="1" showErrorMessage="1" sqref="C22 E22 G22 I22" xr:uid="{00000000-0002-0000-2000-000004000000}">
      <formula1>基础设施水平</formula1>
    </dataValidation>
    <dataValidation type="list" allowBlank="1" showInputMessage="1" showErrorMessage="1" sqref="C1" xr:uid="{00000000-0002-0000-2000-000005000000}">
      <formula1>"估价对象,仅计算典型户型"</formula1>
    </dataValidation>
    <dataValidation type="list" allowBlank="1" showInputMessage="1" showErrorMessage="1" sqref="C8 E8 G8 I8" xr:uid="{00000000-0002-0000-2000-000006000000}">
      <formula1>办公交易情况</formula1>
    </dataValidation>
    <dataValidation type="list" allowBlank="1" showInputMessage="1" showErrorMessage="1" sqref="C43 E43 G43 I43" xr:uid="{00000000-0002-0000-2000-000007000000}">
      <formula1>办公内部装修</formula1>
    </dataValidation>
    <dataValidation type="list" allowBlank="1" showInputMessage="1" showErrorMessage="1" sqref="C41 E41 G41 I41" xr:uid="{00000000-0002-0000-2000-000008000000}">
      <formula1>办公层高</formula1>
    </dataValidation>
    <dataValidation type="list" allowBlank="1" showInputMessage="1" showErrorMessage="1" sqref="C40 E40 G40 I40" xr:uid="{00000000-0002-0000-2000-000009000000}">
      <formula1>办公基础设施水平</formula1>
    </dataValidation>
    <dataValidation type="list" allowBlank="1" showInputMessage="1" showErrorMessage="1" sqref="C39 E39 G39 I39" xr:uid="{00000000-0002-0000-2000-00000A000000}">
      <formula1>办公物业管理</formula1>
    </dataValidation>
    <dataValidation type="list" allowBlank="1" showInputMessage="1" showErrorMessage="1" sqref="C38 E38 G38 I38" xr:uid="{00000000-0002-0000-2000-00000B000000}">
      <formula1>写字楼等级</formula1>
    </dataValidation>
    <dataValidation type="list" allowBlank="1" showInputMessage="1" showErrorMessage="1" sqref="C36 E36 G36 I36" xr:uid="{00000000-0002-0000-2000-00000C000000}">
      <formula1>办公公共部分装修</formula1>
    </dataValidation>
    <dataValidation type="list" allowBlank="1" showInputMessage="1" showErrorMessage="1" sqref="C33 E33 G33 I33" xr:uid="{00000000-0002-0000-2000-00000D000000}">
      <formula1>办公建筑类型</formula1>
    </dataValidation>
    <dataValidation type="list" allowBlank="1" showInputMessage="1" showErrorMessage="1" sqref="C27 E27 G27 I27" xr:uid="{00000000-0002-0000-2000-00000E000000}">
      <formula1>办公楼层</formula1>
    </dataValidation>
    <dataValidation type="list" allowBlank="1" showInputMessage="1" showErrorMessage="1" sqref="C28 E28 G28 I28" xr:uid="{00000000-0002-0000-2000-00000F000000}">
      <formula1>办公朝向</formula1>
    </dataValidation>
    <dataValidation type="list" allowBlank="1" showInputMessage="1" showErrorMessage="1" sqref="G26 C26 E26 I26" xr:uid="{00000000-0002-0000-2000-000010000000}">
      <formula1>办公道路级别</formula1>
    </dataValidation>
    <dataValidation type="list" allowBlank="1" showInputMessage="1" showErrorMessage="1" sqref="C16 E16 G16 I16" xr:uid="{00000000-0002-0000-2000-000011000000}">
      <formula1>办公集聚程度</formula1>
    </dataValidation>
    <dataValidation type="list" allowBlank="1" showInputMessage="1" showErrorMessage="1" sqref="E9 G9 I9" xr:uid="{00000000-0002-0000-2000-000012000000}">
      <formula1>办公用途</formula1>
    </dataValidation>
    <dataValidation type="list" allowBlank="1" showInputMessage="1" showErrorMessage="1" sqref="C10 E10 G10 I10" xr:uid="{00000000-0002-0000-2000-000013000000}">
      <formula1>土地年限区间</formula1>
    </dataValidation>
    <dataValidation type="list" allowBlank="1" showInputMessage="1" showErrorMessage="1" sqref="C44 E44 G44 I44" xr:uid="{00000000-0002-0000-2000-000014000000}">
      <formula1>内部装修维护情况</formula1>
    </dataValidation>
    <dataValidation type="list" allowBlank="1" showInputMessage="1" showErrorMessage="1" sqref="E20 G20 C20 I20" xr:uid="{00000000-0002-0000-2000-000015000000}">
      <formula1>公共配套设施</formula1>
    </dataValidation>
    <dataValidation type="list" allowBlank="1" showInputMessage="1" showErrorMessage="1" sqref="E18 G18 I18 C18" xr:uid="{00000000-0002-0000-2000-000016000000}">
      <formula1>交通便捷度</formula1>
    </dataValidation>
    <dataValidation type="list" allowBlank="1" showInputMessage="1" showErrorMessage="1" sqref="E24 G24 I24 C24" xr:uid="{00000000-0002-0000-2000-000017000000}">
      <formula1>环境</formula1>
    </dataValidation>
    <dataValidation type="list" allowBlank="1" showInputMessage="1" showErrorMessage="1" sqref="C35 E35 G35 I35" xr:uid="{00000000-0002-0000-2000-000018000000}">
      <formula1>办公建筑结构</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AC132"/>
  <sheetViews>
    <sheetView view="pageBreakPreview" topLeftCell="A15" zoomScale="90" zoomScaleNormal="60" zoomScaleSheetLayoutView="90" workbookViewId="0">
      <selection activeCell="I38" sqref="I38"/>
    </sheetView>
  </sheetViews>
  <sheetFormatPr defaultColWidth="9" defaultRowHeight="14.25"/>
  <cols>
    <col min="1" max="1" width="10.5" style="1666" customWidth="1"/>
    <col min="2" max="2" width="15.625" style="1666" customWidth="1"/>
    <col min="3" max="3" width="18" style="1666" customWidth="1"/>
    <col min="4" max="4" width="12.125" style="1666" customWidth="1"/>
    <col min="5" max="5" width="16.125" style="1666" customWidth="1"/>
    <col min="6" max="6" width="12.125" style="1666" customWidth="1"/>
    <col min="7" max="7" width="14.5" style="1666" customWidth="1"/>
    <col min="8" max="8" width="12.125" style="1666" customWidth="1"/>
    <col min="9" max="9" width="14.5" style="1666" customWidth="1"/>
    <col min="10" max="10" width="12.125" style="1666" customWidth="1"/>
    <col min="11" max="11" width="12.125" style="1909" customWidth="1"/>
    <col min="12" max="12" width="12.125" style="1910" customWidth="1"/>
    <col min="13" max="15" width="12.125" style="1666" customWidth="1"/>
    <col min="16" max="16" width="4.625" style="1666" customWidth="1"/>
    <col min="17" max="17" width="19.5" style="1666" customWidth="1"/>
    <col min="18" max="22" width="6.125" style="1666" customWidth="1"/>
    <col min="23" max="23" width="5.625" style="1666" customWidth="1"/>
    <col min="24" max="24" width="4.125" style="1666" customWidth="1"/>
    <col min="25" max="25" width="3.5" style="1666" customWidth="1"/>
    <col min="26" max="26" width="19.625" style="1666" customWidth="1"/>
    <col min="27" max="28" width="9.375" style="1666" customWidth="1"/>
    <col min="29" max="16384" width="9" style="1666"/>
  </cols>
  <sheetData>
    <row r="1" spans="1:29" s="1647" customFormat="1" ht="28.5" customHeight="1" thickBot="1">
      <c r="A1" s="1636" t="s">
        <v>2240</v>
      </c>
      <c r="B1" s="1637" t="s">
        <v>2382</v>
      </c>
      <c r="C1" s="1638" t="s">
        <v>2741</v>
      </c>
      <c r="D1" s="1637"/>
      <c r="E1" s="1640" t="s">
        <v>1224</v>
      </c>
      <c r="F1" s="1641" t="s">
        <v>2242</v>
      </c>
      <c r="G1" s="1637"/>
      <c r="H1" s="1637"/>
      <c r="I1" s="1637"/>
      <c r="J1" s="1637"/>
      <c r="K1" s="1642"/>
      <c r="L1" s="1643"/>
      <c r="M1" s="1637"/>
      <c r="N1" s="1637"/>
      <c r="O1" s="1637"/>
      <c r="P1" s="1637"/>
      <c r="Q1" s="1637"/>
      <c r="R1" s="1637"/>
      <c r="S1" s="1637"/>
      <c r="T1" s="1637"/>
      <c r="U1" s="1637"/>
      <c r="V1" s="1637"/>
      <c r="W1" s="1637"/>
      <c r="X1" s="1637"/>
      <c r="Y1" s="1637"/>
      <c r="Z1" s="1637"/>
      <c r="AA1" s="1637"/>
      <c r="AB1" s="2485"/>
      <c r="AC1" s="1646"/>
    </row>
    <row r="2" spans="1:29" s="1959" customFormat="1" ht="28.5" customHeight="1" thickTop="1">
      <c r="A2" s="1648" t="s">
        <v>1287</v>
      </c>
      <c r="B2" s="1649">
        <f>IF(D2="——",IF(C2="元",ROUND(C50*D3,0),ROUND(C50*D3/10000,0)),IF(C2="元",ROUND(C50*D3,0),ROUND(C50*D3/10000,0))-E2)</f>
        <v>10058</v>
      </c>
      <c r="C2" s="1650" t="str">
        <f>'数据-取费表'!B3</f>
        <v>元</v>
      </c>
      <c r="D2" s="1651" t="s">
        <v>1240</v>
      </c>
      <c r="E2" s="2486" t="e">
        <f ca="1">SUMIF(INDIRECT("'"&amp;G2&amp;"'"&amp;"!A:A"),"承租人权益价值",INDIRECT("'"&amp;G2&amp;"'"&amp;"!c:c"))</f>
        <v>#REF!</v>
      </c>
      <c r="F2" s="1653" t="str">
        <f>C2</f>
        <v>元</v>
      </c>
      <c r="G2" s="1654"/>
      <c r="H2" s="3010"/>
      <c r="I2" s="3010"/>
      <c r="J2" s="3010"/>
      <c r="K2" s="3010"/>
      <c r="L2" s="3012"/>
      <c r="M2" s="3010"/>
      <c r="N2" s="3010"/>
      <c r="O2" s="3010"/>
      <c r="P2" s="1956"/>
      <c r="Q2" s="1956"/>
      <c r="R2" s="1956"/>
      <c r="S2" s="1956"/>
      <c r="T2" s="1956"/>
      <c r="U2" s="1956"/>
      <c r="V2" s="1956"/>
      <c r="W2" s="1956"/>
      <c r="X2" s="1956"/>
      <c r="Y2" s="1956"/>
      <c r="Z2" s="1956"/>
      <c r="AA2" s="1956"/>
      <c r="AB2" s="2487"/>
      <c r="AC2" s="1964"/>
    </row>
    <row r="3" spans="1:29" s="1959" customFormat="1" ht="28.5" customHeight="1" thickBot="1">
      <c r="A3" s="1658" t="s">
        <v>1288</v>
      </c>
      <c r="B3" s="1962">
        <f>ROUND(IF(D2="——",C50,IF(C2="万元",B2*10000/D3,B2/D3)),0)</f>
        <v>9</v>
      </c>
      <c r="C3" s="1659" t="s">
        <v>2243</v>
      </c>
      <c r="D3" s="1659">
        <f>IF(C1="仅计算典型户型",'数据-取费表'!E5,'数据-取费表'!B5)</f>
        <v>1088.48</v>
      </c>
      <c r="F3" s="3009"/>
      <c r="G3" s="3010"/>
      <c r="H3" s="3010"/>
      <c r="I3" s="3010"/>
      <c r="J3" s="3010"/>
      <c r="K3" s="3011"/>
      <c r="L3" s="3012"/>
      <c r="M3" s="3010"/>
      <c r="N3" s="3010"/>
      <c r="O3" s="3010"/>
      <c r="P3" s="3017"/>
      <c r="Q3" s="1951"/>
      <c r="R3" s="1951"/>
      <c r="S3" s="1951"/>
      <c r="T3" s="1951"/>
      <c r="U3" s="1951"/>
      <c r="V3" s="1951"/>
      <c r="W3" s="1951"/>
      <c r="X3" s="1956"/>
      <c r="Y3" s="1951"/>
      <c r="Z3" s="1951"/>
      <c r="AA3" s="1951"/>
      <c r="AB3" s="2488"/>
      <c r="AC3" s="1964"/>
    </row>
    <row r="4" spans="1:29" ht="15">
      <c r="A4" s="1662" t="s">
        <v>2244</v>
      </c>
      <c r="B4" s="1663"/>
      <c r="C4" s="4515" t="s">
        <v>2245</v>
      </c>
      <c r="D4" s="4516"/>
      <c r="E4" s="4517" t="s">
        <v>2246</v>
      </c>
      <c r="F4" s="4518"/>
      <c r="G4" s="4515" t="s">
        <v>2247</v>
      </c>
      <c r="H4" s="4516"/>
      <c r="I4" s="4515" t="s">
        <v>2248</v>
      </c>
      <c r="J4" s="4516"/>
      <c r="K4" s="1965" t="s">
        <v>2249</v>
      </c>
      <c r="L4" s="2995"/>
      <c r="M4" s="2996"/>
      <c r="N4" s="2996"/>
      <c r="O4" s="2996"/>
      <c r="P4" s="4519" t="s">
        <v>2250</v>
      </c>
      <c r="Q4" s="4520"/>
      <c r="R4" s="4504" t="s">
        <v>2246</v>
      </c>
      <c r="S4" s="4505"/>
      <c r="T4" s="4504" t="s">
        <v>2247</v>
      </c>
      <c r="U4" s="4505"/>
      <c r="V4" s="4525" t="s">
        <v>2248</v>
      </c>
      <c r="W4" s="4525"/>
      <c r="X4" s="4102"/>
      <c r="Y4" s="4504" t="s">
        <v>2250</v>
      </c>
      <c r="Z4" s="4505"/>
      <c r="AA4" s="4512" t="s">
        <v>2246</v>
      </c>
      <c r="AB4" s="4512" t="s">
        <v>2247</v>
      </c>
      <c r="AC4" s="4512" t="s">
        <v>2248</v>
      </c>
    </row>
    <row r="5" spans="1:29" ht="15">
      <c r="A5" s="1667"/>
      <c r="B5" s="1668"/>
      <c r="C5" s="4742" t="s">
        <v>4980</v>
      </c>
      <c r="D5" s="4501"/>
      <c r="E5" s="4739" t="s">
        <v>4982</v>
      </c>
      <c r="F5" s="4527"/>
      <c r="G5" s="4742" t="str">
        <f>E5</f>
        <v>数字传媒大厦</v>
      </c>
      <c r="H5" s="4501"/>
      <c r="I5" s="4742" t="str">
        <f>E5</f>
        <v>数字传媒大厦</v>
      </c>
      <c r="J5" s="4501"/>
      <c r="K5" s="1965"/>
      <c r="L5" s="2995"/>
      <c r="M5" s="2996"/>
      <c r="N5" s="2996"/>
      <c r="O5" s="2996"/>
      <c r="P5" s="4521"/>
      <c r="Q5" s="4522"/>
      <c r="R5" s="4506"/>
      <c r="S5" s="4507"/>
      <c r="T5" s="4506"/>
      <c r="U5" s="4507"/>
      <c r="V5" s="4525"/>
      <c r="W5" s="4525"/>
      <c r="X5" s="4102"/>
      <c r="Y5" s="4506"/>
      <c r="Z5" s="4507"/>
      <c r="AA5" s="4513"/>
      <c r="AB5" s="4513"/>
      <c r="AC5" s="4513"/>
    </row>
    <row r="6" spans="1:29" ht="30" customHeight="1" thickBot="1">
      <c r="A6" s="1670"/>
      <c r="B6" s="1671"/>
      <c r="C6" s="4498" t="s">
        <v>4981</v>
      </c>
      <c r="D6" s="4499"/>
      <c r="E6" s="4528" t="str">
        <f>合同租金汇总!C9</f>
        <v>海淀区上地信息路7号1层18-2-103</v>
      </c>
      <c r="F6" s="4529"/>
      <c r="G6" s="4498" t="str">
        <f>合同租金汇总!C14</f>
        <v>海淀区上地信息路7号1层18-2-106</v>
      </c>
      <c r="H6" s="4499"/>
      <c r="I6" s="4498" t="str">
        <f>合同租金汇总!C24</f>
        <v>海淀区上地信息路7号1层18-2-109、110</v>
      </c>
      <c r="J6" s="4499"/>
      <c r="K6" s="1965" t="s">
        <v>2256</v>
      </c>
      <c r="L6" s="2995"/>
      <c r="M6" s="2996"/>
      <c r="N6" s="2996"/>
      <c r="O6" s="2996"/>
      <c r="P6" s="4523"/>
      <c r="Q6" s="4524"/>
      <c r="R6" s="4506"/>
      <c r="S6" s="4507"/>
      <c r="T6" s="4508"/>
      <c r="U6" s="4509"/>
      <c r="V6" s="4525"/>
      <c r="W6" s="4525"/>
      <c r="X6" s="4102"/>
      <c r="Y6" s="4508"/>
      <c r="Z6" s="4509"/>
      <c r="AA6" s="4514"/>
      <c r="AB6" s="4514"/>
      <c r="AC6" s="4514"/>
    </row>
    <row r="7" spans="1:29" s="1684" customFormat="1" ht="15.75" thickBot="1">
      <c r="A7" s="1672" t="s">
        <v>2257</v>
      </c>
      <c r="B7" s="1673"/>
      <c r="C7" s="4119">
        <v>43101</v>
      </c>
      <c r="D7" s="1675">
        <v>100</v>
      </c>
      <c r="E7" s="1676">
        <f>合同租金汇总!G9</f>
        <v>43078</v>
      </c>
      <c r="F7" s="1677">
        <f>SUMIF(59:59,YEAR(E7)&amp;"-"&amp;MONTH(E7),60:60)</f>
        <v>99.8</v>
      </c>
      <c r="G7" s="1966">
        <f>合同租金汇总!G14</f>
        <v>43101</v>
      </c>
      <c r="H7" s="1675">
        <f>SUMIF(59:59,YEAR(G7)&amp;"-"&amp;MONTH(G7),60:60)</f>
        <v>100</v>
      </c>
      <c r="I7" s="1966">
        <f>合同租金汇总!G19</f>
        <v>43101</v>
      </c>
      <c r="J7" s="1675">
        <f>SUMIF(59:59,YEAR(I7)&amp;"-"&amp;MONTH(I7),60:60)</f>
        <v>100</v>
      </c>
      <c r="K7" s="1967"/>
      <c r="L7" s="2995" t="s">
        <v>2905</v>
      </c>
      <c r="M7" s="2968"/>
      <c r="N7" s="2968"/>
      <c r="O7" s="2968"/>
      <c r="P7" s="4502" t="s">
        <v>2258</v>
      </c>
      <c r="Q7" s="4510"/>
      <c r="R7" s="1680" t="s">
        <v>25</v>
      </c>
      <c r="S7" s="1681">
        <f t="shared" ref="S7:S15" si="0">F7</f>
        <v>99.8</v>
      </c>
      <c r="T7" s="1680" t="s">
        <v>25</v>
      </c>
      <c r="U7" s="1681">
        <f t="shared" ref="U7:U15" si="1">H7</f>
        <v>100</v>
      </c>
      <c r="V7" s="1680" t="s">
        <v>25</v>
      </c>
      <c r="W7" s="1681">
        <f t="shared" ref="W7:W15" si="2">J7</f>
        <v>100</v>
      </c>
      <c r="X7" s="1682"/>
      <c r="Y7" s="4502" t="s">
        <v>2258</v>
      </c>
      <c r="Z7" s="4503"/>
      <c r="AA7" s="1683">
        <f>D7/F7</f>
        <v>1.0020040080160322</v>
      </c>
      <c r="AB7" s="1683">
        <f>D7/H7</f>
        <v>1</v>
      </c>
      <c r="AC7" s="1683">
        <f>D7/J7</f>
        <v>1</v>
      </c>
    </row>
    <row r="8" spans="1:29" s="1684" customFormat="1" ht="15.75" thickBot="1">
      <c r="A8" s="1672" t="s">
        <v>2259</v>
      </c>
      <c r="B8" s="1673"/>
      <c r="C8" s="1685" t="s">
        <v>2873</v>
      </c>
      <c r="D8" s="1675">
        <v>100</v>
      </c>
      <c r="E8" s="1685" t="s">
        <v>2873</v>
      </c>
      <c r="F8" s="1677">
        <f>SUMIF(62:62,E8,63:63)-SUMIF(62:62,C8,63:63)+100</f>
        <v>100</v>
      </c>
      <c r="G8" s="1685" t="s">
        <v>2873</v>
      </c>
      <c r="H8" s="1675">
        <f>SUMIF(62:62,G8,63:63)-SUMIF(62:62,C8,63:63)+100</f>
        <v>100</v>
      </c>
      <c r="I8" s="1685" t="s">
        <v>2873</v>
      </c>
      <c r="J8" s="1675">
        <f>SUMIF(62:62,I8,63:63)-SUMIF(62:62,C8,63:63)+100</f>
        <v>100</v>
      </c>
      <c r="K8" s="1967"/>
      <c r="L8" s="2995"/>
      <c r="M8" s="2968"/>
      <c r="N8" s="2968"/>
      <c r="O8" s="2968"/>
      <c r="P8" s="4502" t="s">
        <v>2261</v>
      </c>
      <c r="Q8" s="4503"/>
      <c r="R8" s="1680" t="s">
        <v>25</v>
      </c>
      <c r="S8" s="1681">
        <f t="shared" si="0"/>
        <v>100</v>
      </c>
      <c r="T8" s="1680" t="s">
        <v>25</v>
      </c>
      <c r="U8" s="1681">
        <f t="shared" si="1"/>
        <v>100</v>
      </c>
      <c r="V8" s="1680" t="s">
        <v>25</v>
      </c>
      <c r="W8" s="1681">
        <f t="shared" si="2"/>
        <v>100</v>
      </c>
      <c r="X8" s="1682"/>
      <c r="Y8" s="4502" t="s">
        <v>2261</v>
      </c>
      <c r="Z8" s="4503"/>
      <c r="AA8" s="1683">
        <f t="shared" ref="AA8:AA47" si="3">D8/F8</f>
        <v>1</v>
      </c>
      <c r="AB8" s="1683">
        <f t="shared" ref="AB8:AB47" si="4">D8/H8</f>
        <v>1</v>
      </c>
      <c r="AC8" s="1683">
        <f t="shared" ref="AC8:AC47" si="5">D8/J8</f>
        <v>1</v>
      </c>
    </row>
    <row r="9" spans="1:29" s="1684" customFormat="1" ht="15" thickBot="1">
      <c r="A9" s="4100" t="s">
        <v>2262</v>
      </c>
      <c r="B9" s="1687" t="s">
        <v>2263</v>
      </c>
      <c r="C9" s="3450" t="s">
        <v>3351</v>
      </c>
      <c r="D9" s="1689">
        <v>100</v>
      </c>
      <c r="E9" s="1692" t="s">
        <v>2929</v>
      </c>
      <c r="F9" s="1689">
        <f>SUMIF(64:64,E9,65:65)-SUMIF(64:64,C9,65:65)+100</f>
        <v>100</v>
      </c>
      <c r="G9" s="1692" t="s">
        <v>2929</v>
      </c>
      <c r="H9" s="1689">
        <f>SUMIF(64:64,G9,65:65)-SUMIF(64:64,C9,65:65)+100</f>
        <v>100</v>
      </c>
      <c r="I9" s="1692" t="s">
        <v>2929</v>
      </c>
      <c r="J9" s="1689">
        <f>SUMIF(64:64,I9,65:65)-SUMIF(64:64,C9,65:65)+100</f>
        <v>100</v>
      </c>
      <c r="K9" s="1967"/>
      <c r="L9" s="2995"/>
      <c r="M9" s="2968"/>
      <c r="N9" s="2968"/>
      <c r="O9" s="2968"/>
      <c r="P9" s="4488" t="s">
        <v>2264</v>
      </c>
      <c r="Q9" s="4099" t="str">
        <f t="shared" ref="Q9:Q15" si="6">B9</f>
        <v>用途</v>
      </c>
      <c r="R9" s="1680" t="s">
        <v>25</v>
      </c>
      <c r="S9" s="1681">
        <f t="shared" si="0"/>
        <v>100</v>
      </c>
      <c r="T9" s="1680" t="s">
        <v>25</v>
      </c>
      <c r="U9" s="1681">
        <f t="shared" si="1"/>
        <v>100</v>
      </c>
      <c r="V9" s="1680" t="s">
        <v>25</v>
      </c>
      <c r="W9" s="1681">
        <f t="shared" si="2"/>
        <v>100</v>
      </c>
      <c r="X9" s="1682"/>
      <c r="Y9" s="4349" t="s">
        <v>2265</v>
      </c>
      <c r="Z9" s="1693" t="str">
        <f t="shared" ref="Z9:Z15" si="7">Q9</f>
        <v>用途</v>
      </c>
      <c r="AA9" s="1683">
        <f t="shared" si="3"/>
        <v>1</v>
      </c>
      <c r="AB9" s="1683">
        <f t="shared" si="4"/>
        <v>1</v>
      </c>
      <c r="AC9" s="1683">
        <f t="shared" si="5"/>
        <v>1</v>
      </c>
    </row>
    <row r="10" spans="1:29" s="1701" customFormat="1" ht="27.75" hidden="1" thickBot="1">
      <c r="A10" s="1694"/>
      <c r="B10" s="1695" t="s">
        <v>2266</v>
      </c>
      <c r="C10" s="1696"/>
      <c r="D10" s="1697">
        <v>100</v>
      </c>
      <c r="E10" s="1696"/>
      <c r="F10" s="1697">
        <f>SUMIF(66:66,E10,67:67)-SUMIF(66:66,C10,67:67)+100</f>
        <v>100</v>
      </c>
      <c r="G10" s="1698"/>
      <c r="H10" s="1697">
        <f>SUMIF(66:66,G10,67:67)-SUMIF(66:66,C10,67:67)+100</f>
        <v>100</v>
      </c>
      <c r="I10" s="1696"/>
      <c r="J10" s="1697">
        <f>SUMIF(66:66,I10,67:67)-SUMIF(66:66,C10,67:67)+100</f>
        <v>100</v>
      </c>
      <c r="K10" s="1992"/>
      <c r="L10" s="2997"/>
      <c r="M10" s="2998"/>
      <c r="N10" s="2998"/>
      <c r="O10" s="2998"/>
      <c r="P10" s="4488"/>
      <c r="Q10" s="4099" t="str">
        <f t="shared" si="6"/>
        <v>土地使用年限（年）</v>
      </c>
      <c r="R10" s="1680" t="s">
        <v>25</v>
      </c>
      <c r="S10" s="1681">
        <f t="shared" si="0"/>
        <v>100</v>
      </c>
      <c r="T10" s="1680" t="s">
        <v>25</v>
      </c>
      <c r="U10" s="1681">
        <f t="shared" si="1"/>
        <v>100</v>
      </c>
      <c r="V10" s="1680" t="s">
        <v>25</v>
      </c>
      <c r="W10" s="1681">
        <f t="shared" si="2"/>
        <v>100</v>
      </c>
      <c r="X10" s="1682"/>
      <c r="Y10" s="4349"/>
      <c r="Z10" s="1693" t="str">
        <f t="shared" si="7"/>
        <v>土地使用年限（年）</v>
      </c>
      <c r="AA10" s="1683">
        <f t="shared" si="3"/>
        <v>1</v>
      </c>
      <c r="AB10" s="1683">
        <f t="shared" si="4"/>
        <v>1</v>
      </c>
      <c r="AC10" s="1683">
        <f t="shared" si="5"/>
        <v>1</v>
      </c>
    </row>
    <row r="11" spans="1:29" ht="15.75" hidden="1" thickBot="1">
      <c r="A11" s="1702"/>
      <c r="B11" s="1695" t="s">
        <v>2267</v>
      </c>
      <c r="C11" s="1703"/>
      <c r="D11" s="1697">
        <v>100</v>
      </c>
      <c r="E11" s="1703"/>
      <c r="F11" s="1697">
        <f>LOOKUP(E11,69:69,70:70)-LOOKUP(C11,69:69,70:70)+100</f>
        <v>100</v>
      </c>
      <c r="G11" s="1704"/>
      <c r="H11" s="1697">
        <f>LOOKUP(G11,69:69,70:70)-LOOKUP(C11,69:69,70:70)+100</f>
        <v>100</v>
      </c>
      <c r="I11" s="1703"/>
      <c r="J11" s="1697">
        <f>LOOKUP(I11,69:69,70:70)-LOOKUP(C11,69:69,70:70)+100</f>
        <v>100</v>
      </c>
      <c r="K11" s="1992"/>
      <c r="L11" s="2999"/>
      <c r="M11" s="2996"/>
      <c r="N11" s="2996"/>
      <c r="O11" s="2996"/>
      <c r="P11" s="4488"/>
      <c r="Q11" s="4099" t="str">
        <f t="shared" si="6"/>
        <v>容积率</v>
      </c>
      <c r="R11" s="1680" t="s">
        <v>25</v>
      </c>
      <c r="S11" s="1681">
        <f t="shared" si="0"/>
        <v>100</v>
      </c>
      <c r="T11" s="1680" t="s">
        <v>25</v>
      </c>
      <c r="U11" s="1681">
        <f t="shared" si="1"/>
        <v>100</v>
      </c>
      <c r="V11" s="1680" t="s">
        <v>25</v>
      </c>
      <c r="W11" s="1681">
        <f t="shared" si="2"/>
        <v>100</v>
      </c>
      <c r="X11" s="1682"/>
      <c r="Y11" s="4349"/>
      <c r="Z11" s="1693" t="str">
        <f t="shared" si="7"/>
        <v>容积率</v>
      </c>
      <c r="AA11" s="1683">
        <f t="shared" si="3"/>
        <v>1</v>
      </c>
      <c r="AB11" s="1683">
        <f t="shared" si="4"/>
        <v>1</v>
      </c>
      <c r="AC11" s="1683">
        <f t="shared" si="5"/>
        <v>1</v>
      </c>
    </row>
    <row r="12" spans="1:29" s="1684" customFormat="1" ht="15.75" hidden="1" thickBot="1">
      <c r="A12" s="4101"/>
      <c r="B12" s="1706">
        <v>111</v>
      </c>
      <c r="C12" s="1707"/>
      <c r="D12" s="1708">
        <v>100</v>
      </c>
      <c r="E12" s="1707"/>
      <c r="F12" s="1697">
        <f>SUMIF(71:71,E12,72:72)-SUMIF(71:71,C12,72:72)+100</f>
        <v>100</v>
      </c>
      <c r="G12" s="2489"/>
      <c r="H12" s="1697">
        <f>SUMIF(71:71,G12,72:72)-SUMIF(71:71,C12,72:72)+100</f>
        <v>100</v>
      </c>
      <c r="I12" s="1707"/>
      <c r="J12" s="1697">
        <f>SUMIF(71:71,I12,72:72)-SUMIF(71:71,C12,72:72)+100</f>
        <v>100</v>
      </c>
      <c r="K12" s="1989"/>
      <c r="L12" s="2995"/>
      <c r="M12" s="2968"/>
      <c r="N12" s="2968"/>
      <c r="O12" s="2968"/>
      <c r="P12" s="4488"/>
      <c r="Q12" s="4099">
        <f t="shared" si="6"/>
        <v>111</v>
      </c>
      <c r="R12" s="1680" t="s">
        <v>25</v>
      </c>
      <c r="S12" s="1681">
        <f t="shared" si="0"/>
        <v>100</v>
      </c>
      <c r="T12" s="1680" t="s">
        <v>25</v>
      </c>
      <c r="U12" s="1681">
        <f t="shared" si="1"/>
        <v>100</v>
      </c>
      <c r="V12" s="1680" t="s">
        <v>25</v>
      </c>
      <c r="W12" s="1681">
        <f t="shared" si="2"/>
        <v>100</v>
      </c>
      <c r="X12" s="1682"/>
      <c r="Y12" s="4349"/>
      <c r="Z12" s="1693">
        <f t="shared" si="7"/>
        <v>111</v>
      </c>
      <c r="AA12" s="1683">
        <f>D12/F12</f>
        <v>1</v>
      </c>
      <c r="AB12" s="1683">
        <f>D12/H12</f>
        <v>1</v>
      </c>
      <c r="AC12" s="1683">
        <f>D12/J12</f>
        <v>1</v>
      </c>
    </row>
    <row r="13" spans="1:29" ht="15.75" hidden="1" thickBot="1">
      <c r="A13" s="1702"/>
      <c r="B13" s="1706">
        <v>111</v>
      </c>
      <c r="C13" s="1710"/>
      <c r="D13" s="1711">
        <v>100</v>
      </c>
      <c r="E13" s="1707"/>
      <c r="F13" s="1697">
        <f>SUMIF(73:73,E13,74:74)-SUMIF(73:73,C13,74:74)+100</f>
        <v>100</v>
      </c>
      <c r="G13" s="2489"/>
      <c r="H13" s="1711">
        <f>SUMIF(73:73,G13,74:74)-SUMIF(73:73,C13,74:74)+100</f>
        <v>100</v>
      </c>
      <c r="I13" s="1707"/>
      <c r="J13" s="1711">
        <f>SUMIF(73:73,I13,74:74)-SUMIF(73:73,C13,74:74)+100</f>
        <v>100</v>
      </c>
      <c r="K13" s="1989"/>
      <c r="L13" s="3000"/>
      <c r="M13" s="2996"/>
      <c r="N13" s="2996"/>
      <c r="O13" s="2996"/>
      <c r="P13" s="4488"/>
      <c r="Q13" s="4099">
        <f t="shared" si="6"/>
        <v>111</v>
      </c>
      <c r="R13" s="1680" t="s">
        <v>25</v>
      </c>
      <c r="S13" s="1681">
        <f t="shared" si="0"/>
        <v>100</v>
      </c>
      <c r="T13" s="1680" t="s">
        <v>25</v>
      </c>
      <c r="U13" s="1681">
        <f t="shared" si="1"/>
        <v>100</v>
      </c>
      <c r="V13" s="1680" t="s">
        <v>25</v>
      </c>
      <c r="W13" s="1681">
        <f t="shared" si="2"/>
        <v>100</v>
      </c>
      <c r="X13" s="1682"/>
      <c r="Y13" s="4349"/>
      <c r="Z13" s="1693">
        <f t="shared" si="7"/>
        <v>111</v>
      </c>
      <c r="AA13" s="1683">
        <f t="shared" si="3"/>
        <v>1</v>
      </c>
      <c r="AB13" s="1683">
        <f t="shared" si="4"/>
        <v>1</v>
      </c>
      <c r="AC13" s="1683">
        <f t="shared" si="5"/>
        <v>1</v>
      </c>
    </row>
    <row r="14" spans="1:29" ht="15.75" hidden="1" thickBot="1">
      <c r="A14" s="1712"/>
      <c r="B14" s="1713">
        <v>111</v>
      </c>
      <c r="C14" s="1714"/>
      <c r="D14" s="1715">
        <v>100</v>
      </c>
      <c r="E14" s="2490"/>
      <c r="F14" s="1715">
        <f>SUMIF(75:75,E14,76:76)-SUMIF(75:75,C14,76:76)+100</f>
        <v>100</v>
      </c>
      <c r="G14" s="2489"/>
      <c r="H14" s="1715">
        <f>SUMIF(75:75,G14,76:76)-SUMIF(75:75,C14,76:76)+100</f>
        <v>100</v>
      </c>
      <c r="I14" s="1707"/>
      <c r="J14" s="1715">
        <f>SUMIF(75:75,I14,76:76)-SUMIF(75:75,C14,76:76)+100</f>
        <v>100</v>
      </c>
      <c r="K14" s="1989"/>
      <c r="L14" s="3000"/>
      <c r="M14" s="2996"/>
      <c r="N14" s="2996"/>
      <c r="O14" s="2996"/>
      <c r="P14" s="4488"/>
      <c r="Q14" s="4099">
        <f t="shared" si="6"/>
        <v>111</v>
      </c>
      <c r="R14" s="1680" t="s">
        <v>25</v>
      </c>
      <c r="S14" s="1681">
        <f t="shared" si="0"/>
        <v>100</v>
      </c>
      <c r="T14" s="1680" t="s">
        <v>25</v>
      </c>
      <c r="U14" s="1681">
        <f t="shared" si="1"/>
        <v>100</v>
      </c>
      <c r="V14" s="1680" t="s">
        <v>25</v>
      </c>
      <c r="W14" s="1681">
        <f t="shared" si="2"/>
        <v>100</v>
      </c>
      <c r="X14" s="1682"/>
      <c r="Y14" s="4349"/>
      <c r="Z14" s="1693">
        <f t="shared" si="7"/>
        <v>111</v>
      </c>
      <c r="AA14" s="1683">
        <f t="shared" si="3"/>
        <v>1</v>
      </c>
      <c r="AB14" s="1683">
        <f t="shared" si="4"/>
        <v>1</v>
      </c>
      <c r="AC14" s="1683">
        <f t="shared" si="5"/>
        <v>1</v>
      </c>
    </row>
    <row r="15" spans="1:29" ht="31.5" customHeight="1">
      <c r="A15" s="1717" t="s">
        <v>2268</v>
      </c>
      <c r="B15" s="2491" t="s">
        <v>2383</v>
      </c>
      <c r="C15" s="1973" t="str">
        <f>估价对象房地状况!C5</f>
        <v>估价对象位于上地商圈，周边办公楼项目有上地研华科技大厦、许继大厦、华为大厦、华环大厦、自主创新大厦等，入驻率高，办公集聚程度较好。</v>
      </c>
      <c r="D15" s="1720">
        <v>100</v>
      </c>
      <c r="E15" s="3728"/>
      <c r="F15" s="1720">
        <f>SUMIF(77:77,E16,78:78)-SUMIF(77:77,C16,78:78)+100</f>
        <v>100</v>
      </c>
      <c r="G15" s="3728"/>
      <c r="H15" s="1720">
        <f>SUMIF(77:77,G16,78:78)-SUMIF(77:77,C16,78:78)+100</f>
        <v>100</v>
      </c>
      <c r="I15" s="3728"/>
      <c r="J15" s="1720">
        <f>SUMIF(77:77,I16,78:78)-SUMIF(77:77,C16,78:78)+100</f>
        <v>100</v>
      </c>
      <c r="K15" s="2471">
        <v>2</v>
      </c>
      <c r="L15" s="3000"/>
      <c r="M15" s="2996"/>
      <c r="N15" s="2996"/>
      <c r="O15" s="2996"/>
      <c r="P15" s="4491" t="s">
        <v>2269</v>
      </c>
      <c r="Q15" s="4105" t="str">
        <f t="shared" si="6"/>
        <v>办公集聚程度</v>
      </c>
      <c r="R15" s="1725" t="s">
        <v>25</v>
      </c>
      <c r="S15" s="1726">
        <f t="shared" si="0"/>
        <v>100</v>
      </c>
      <c r="T15" s="1725" t="s">
        <v>25</v>
      </c>
      <c r="U15" s="1726">
        <f t="shared" si="1"/>
        <v>100</v>
      </c>
      <c r="V15" s="1725" t="s">
        <v>25</v>
      </c>
      <c r="W15" s="1726">
        <f t="shared" si="2"/>
        <v>100</v>
      </c>
      <c r="X15" s="4102"/>
      <c r="Y15" s="4491" t="s">
        <v>2269</v>
      </c>
      <c r="Z15" s="4103" t="str">
        <f t="shared" si="7"/>
        <v>办公集聚程度</v>
      </c>
      <c r="AA15" s="4106">
        <f t="shared" si="3"/>
        <v>1</v>
      </c>
      <c r="AB15" s="4106">
        <f t="shared" si="4"/>
        <v>1</v>
      </c>
      <c r="AC15" s="4106">
        <f t="shared" si="5"/>
        <v>1</v>
      </c>
    </row>
    <row r="16" spans="1:29" ht="15">
      <c r="A16" s="1702"/>
      <c r="B16" s="2492"/>
      <c r="C16" s="1975" t="s">
        <v>30</v>
      </c>
      <c r="D16" s="1731"/>
      <c r="E16" s="1975" t="s">
        <v>30</v>
      </c>
      <c r="F16" s="1731"/>
      <c r="G16" s="1975" t="s">
        <v>30</v>
      </c>
      <c r="H16" s="1735"/>
      <c r="I16" s="1975" t="s">
        <v>30</v>
      </c>
      <c r="J16" s="1731"/>
      <c r="K16" s="2472"/>
      <c r="L16" s="3000"/>
      <c r="M16" s="2996"/>
      <c r="N16" s="2996"/>
      <c r="O16" s="2996"/>
      <c r="P16" s="4492"/>
      <c r="Q16" s="4105"/>
      <c r="R16" s="1725"/>
      <c r="S16" s="1726"/>
      <c r="T16" s="1725"/>
      <c r="U16" s="1726"/>
      <c r="V16" s="1725"/>
      <c r="W16" s="1726"/>
      <c r="X16" s="4102"/>
      <c r="Y16" s="4492"/>
      <c r="Z16" s="4103"/>
      <c r="AA16" s="4106">
        <v>1</v>
      </c>
      <c r="AB16" s="4106">
        <v>1</v>
      </c>
      <c r="AC16" s="4106">
        <v>1</v>
      </c>
    </row>
    <row r="17" spans="1:29" ht="36.75" customHeight="1">
      <c r="A17" s="1702"/>
      <c r="B17" s="2493" t="s">
        <v>1704</v>
      </c>
      <c r="C17" s="1980" t="str">
        <f>估价对象房地状况!C6</f>
        <v>估价对象临近高速路-京新高速，紧邻城市主干道-信息路，距离清河火车站、地铁昌平线、13号线清河站约900米，周边有320路、365路、446路、447路、495路等公交线路通达，停车便捷程度较好，综合评价交通便捷度好。</v>
      </c>
      <c r="D17" s="1735">
        <v>100</v>
      </c>
      <c r="E17" s="3730"/>
      <c r="F17" s="1735">
        <f>SUMIF(79:79,E18,80:80)-SUMIF(79:79,C18,80:80)+100</f>
        <v>100</v>
      </c>
      <c r="G17" s="3730"/>
      <c r="H17" s="1742">
        <f>SUMIF(79:79,G18,80:80)-SUMIF(79:79,C18,80:80)+100</f>
        <v>100</v>
      </c>
      <c r="I17" s="3730"/>
      <c r="J17" s="1742">
        <f>SUMIF(79:79,I18,80:80)-SUMIF(79:79,C18,80:80)+100</f>
        <v>100</v>
      </c>
      <c r="K17" s="2471">
        <v>2</v>
      </c>
      <c r="L17" s="3000"/>
      <c r="M17" s="2996"/>
      <c r="N17" s="2996"/>
      <c r="O17" s="2996"/>
      <c r="P17" s="4492"/>
      <c r="Q17" s="4105" t="str">
        <f>B17</f>
        <v>交通便捷度</v>
      </c>
      <c r="R17" s="1725" t="s">
        <v>25</v>
      </c>
      <c r="S17" s="1726">
        <f>F17</f>
        <v>100</v>
      </c>
      <c r="T17" s="1725" t="s">
        <v>25</v>
      </c>
      <c r="U17" s="1726">
        <f>H17</f>
        <v>100</v>
      </c>
      <c r="V17" s="1725" t="s">
        <v>25</v>
      </c>
      <c r="W17" s="1726">
        <f>J17</f>
        <v>100</v>
      </c>
      <c r="X17" s="4102"/>
      <c r="Y17" s="4492"/>
      <c r="Z17" s="4103" t="str">
        <f>Q17</f>
        <v>交通便捷度</v>
      </c>
      <c r="AA17" s="4106">
        <f t="shared" si="3"/>
        <v>1</v>
      </c>
      <c r="AB17" s="4106">
        <f t="shared" si="4"/>
        <v>1</v>
      </c>
      <c r="AC17" s="4106">
        <f t="shared" si="5"/>
        <v>1</v>
      </c>
    </row>
    <row r="18" spans="1:29" ht="15">
      <c r="A18" s="1702"/>
      <c r="B18" s="2494"/>
      <c r="C18" s="1979" t="s">
        <v>30</v>
      </c>
      <c r="D18" s="1735"/>
      <c r="E18" s="1979" t="s">
        <v>30</v>
      </c>
      <c r="F18" s="1735"/>
      <c r="G18" s="1979" t="s">
        <v>30</v>
      </c>
      <c r="H18" s="1731"/>
      <c r="I18" s="1979" t="s">
        <v>30</v>
      </c>
      <c r="J18" s="1731"/>
      <c r="K18" s="2472"/>
      <c r="L18" s="3000"/>
      <c r="M18" s="2996"/>
      <c r="N18" s="2996"/>
      <c r="O18" s="2996"/>
      <c r="P18" s="4492"/>
      <c r="Q18" s="4105"/>
      <c r="R18" s="1725"/>
      <c r="S18" s="1726"/>
      <c r="T18" s="1725"/>
      <c r="U18" s="1726"/>
      <c r="V18" s="1725"/>
      <c r="W18" s="1726"/>
      <c r="X18" s="4102"/>
      <c r="Y18" s="4492"/>
      <c r="Z18" s="4103"/>
      <c r="AA18" s="4106">
        <v>1</v>
      </c>
      <c r="AB18" s="4106">
        <v>1</v>
      </c>
      <c r="AC18" s="4106">
        <v>1</v>
      </c>
    </row>
    <row r="19" spans="1:29" ht="36" customHeight="1">
      <c r="A19" s="1702"/>
      <c r="B19" s="2493" t="s">
        <v>2384</v>
      </c>
      <c r="C19" s="1980" t="str">
        <f>估价对象房地状况!C7</f>
        <v>银行：农村商业银行、北京银行（上地支行）、中国工商银行（北京中关村支行）、中国银行（北京上地信息路支行）等金融场所；
商业设施：北京华联上地购物中心、数字山谷下沉商业广场等商业设施；
教育机构：北京八维研修学院、北京市上地实验学校、中关村第一小学（西二旗分校）、北京市海淀区第二实验小学（当代校区）、美和园幼儿园（智学苑分园）等教育机构；
医疗机构：北京市上地医院、北京市海淀区清河街道西二旗社区卫生服务站等医疗机构；
估价对象所在区域公共配套设施齐备情况较好。</v>
      </c>
      <c r="D19" s="1742">
        <v>100</v>
      </c>
      <c r="E19" s="3729"/>
      <c r="F19" s="1742">
        <f>SUMIF(81:81,E20,82:82)-SUMIF(81:81,C20,82:82)+100</f>
        <v>100</v>
      </c>
      <c r="G19" s="3729"/>
      <c r="H19" s="1735">
        <f>SUMIF(81:81,G20,82:82)-SUMIF(81:81,C20,82:82)+100</f>
        <v>100</v>
      </c>
      <c r="I19" s="3729"/>
      <c r="J19" s="1735">
        <f>SUMIF(81:81,I20,82:82)-SUMIF(81:81,C20,82:82)+100</f>
        <v>100</v>
      </c>
      <c r="K19" s="2471">
        <v>2</v>
      </c>
      <c r="L19" s="3000"/>
      <c r="M19" s="2996"/>
      <c r="N19" s="2996"/>
      <c r="O19" s="2996"/>
      <c r="P19" s="4492"/>
      <c r="Q19" s="4105" t="str">
        <f>B19</f>
        <v>公共配套设施</v>
      </c>
      <c r="R19" s="1725" t="s">
        <v>25</v>
      </c>
      <c r="S19" s="1726">
        <f>F19</f>
        <v>100</v>
      </c>
      <c r="T19" s="1725" t="s">
        <v>25</v>
      </c>
      <c r="U19" s="1726">
        <f>H19</f>
        <v>100</v>
      </c>
      <c r="V19" s="1725" t="s">
        <v>25</v>
      </c>
      <c r="W19" s="1726">
        <f>J19</f>
        <v>100</v>
      </c>
      <c r="X19" s="4102"/>
      <c r="Y19" s="4492"/>
      <c r="Z19" s="4103" t="str">
        <f>Q19</f>
        <v>公共配套设施</v>
      </c>
      <c r="AA19" s="4106">
        <f t="shared" si="3"/>
        <v>1</v>
      </c>
      <c r="AB19" s="4106">
        <f t="shared" si="4"/>
        <v>1</v>
      </c>
      <c r="AC19" s="4106">
        <f t="shared" si="5"/>
        <v>1</v>
      </c>
    </row>
    <row r="20" spans="1:29" ht="15">
      <c r="A20" s="1702"/>
      <c r="B20" s="2494"/>
      <c r="C20" s="1975" t="s">
        <v>31</v>
      </c>
      <c r="D20" s="1731"/>
      <c r="E20" s="1975" t="s">
        <v>31</v>
      </c>
      <c r="F20" s="1731"/>
      <c r="G20" s="1975" t="s">
        <v>31</v>
      </c>
      <c r="H20" s="1731"/>
      <c r="I20" s="1975" t="s">
        <v>31</v>
      </c>
      <c r="J20" s="1731"/>
      <c r="K20" s="2472"/>
      <c r="L20" s="3000"/>
      <c r="M20" s="2996"/>
      <c r="N20" s="2996"/>
      <c r="O20" s="2996"/>
      <c r="P20" s="4492"/>
      <c r="Q20" s="4105"/>
      <c r="R20" s="1725"/>
      <c r="S20" s="1726"/>
      <c r="T20" s="1725"/>
      <c r="U20" s="1726"/>
      <c r="V20" s="1725"/>
      <c r="W20" s="1726"/>
      <c r="X20" s="4102"/>
      <c r="Y20" s="4492"/>
      <c r="Z20" s="4103"/>
      <c r="AA20" s="4106">
        <v>1</v>
      </c>
      <c r="AB20" s="4106">
        <v>1</v>
      </c>
      <c r="AC20" s="4106">
        <v>1</v>
      </c>
    </row>
    <row r="21" spans="1:29" ht="36" customHeight="1">
      <c r="A21" s="1702"/>
      <c r="B21" s="2495" t="s">
        <v>2385</v>
      </c>
      <c r="C21" s="1980" t="str">
        <f>估价对象房地状况!C8</f>
        <v>估价对象所在区域基础设施水平-七通</v>
      </c>
      <c r="D21" s="1742">
        <v>100</v>
      </c>
      <c r="E21" s="3731"/>
      <c r="F21" s="1742">
        <f>SUMIF(83:83,E22,84:84)-SUMIF(83:83,C22,84:84)+100</f>
        <v>100</v>
      </c>
      <c r="G21" s="3731"/>
      <c r="H21" s="1735">
        <f>SUMIF(83:83,G22,84:84)-SUMIF(83:83,C22,84:84)+100</f>
        <v>100</v>
      </c>
      <c r="I21" s="3731"/>
      <c r="J21" s="1735">
        <f>SUMIF(83:83,I22,84:84)-SUMIF(83:83,C22,84:84)+100</f>
        <v>100</v>
      </c>
      <c r="K21" s="2471">
        <v>1</v>
      </c>
      <c r="L21" s="3000"/>
      <c r="M21" s="2996"/>
      <c r="N21" s="2996"/>
      <c r="O21" s="2996"/>
      <c r="P21" s="4492"/>
      <c r="Q21" s="4105" t="str">
        <f>B21</f>
        <v>基础设施水平</v>
      </c>
      <c r="R21" s="1725" t="s">
        <v>25</v>
      </c>
      <c r="S21" s="1726">
        <f>F21</f>
        <v>100</v>
      </c>
      <c r="T21" s="1725" t="s">
        <v>25</v>
      </c>
      <c r="U21" s="1726">
        <f>H21</f>
        <v>100</v>
      </c>
      <c r="V21" s="1725" t="s">
        <v>25</v>
      </c>
      <c r="W21" s="1726">
        <f>J21</f>
        <v>100</v>
      </c>
      <c r="X21" s="4102"/>
      <c r="Y21" s="4492"/>
      <c r="Z21" s="4103" t="str">
        <f>Q21</f>
        <v>基础设施水平</v>
      </c>
      <c r="AA21" s="4106">
        <f t="shared" ref="AA21" si="8">D21/F21</f>
        <v>1</v>
      </c>
      <c r="AB21" s="4106">
        <f t="shared" ref="AB21" si="9">D21/H21</f>
        <v>1</v>
      </c>
      <c r="AC21" s="4106">
        <f t="shared" ref="AC21" si="10">D21/J21</f>
        <v>1</v>
      </c>
    </row>
    <row r="22" spans="1:29" ht="15">
      <c r="A22" s="1702"/>
      <c r="B22" s="2495"/>
      <c r="C22" s="1979" t="s">
        <v>2921</v>
      </c>
      <c r="D22" s="1731"/>
      <c r="E22" s="1979" t="s">
        <v>2921</v>
      </c>
      <c r="F22" s="1731"/>
      <c r="G22" s="1979" t="s">
        <v>2921</v>
      </c>
      <c r="H22" s="1731"/>
      <c r="I22" s="1979" t="s">
        <v>2921</v>
      </c>
      <c r="J22" s="1731"/>
      <c r="K22" s="2473"/>
      <c r="L22" s="3000"/>
      <c r="M22" s="2996"/>
      <c r="N22" s="2996"/>
      <c r="O22" s="2996"/>
      <c r="P22" s="4492"/>
      <c r="Q22" s="4105"/>
      <c r="R22" s="1725"/>
      <c r="S22" s="1726"/>
      <c r="T22" s="1725"/>
      <c r="U22" s="1726"/>
      <c r="V22" s="1725"/>
      <c r="W22" s="1726"/>
      <c r="X22" s="4102"/>
      <c r="Y22" s="4492"/>
      <c r="Z22" s="4103"/>
      <c r="AA22" s="4106">
        <v>1</v>
      </c>
      <c r="AB22" s="4106">
        <v>1</v>
      </c>
      <c r="AC22" s="4106">
        <v>1</v>
      </c>
    </row>
    <row r="23" spans="1:29" ht="44.25" customHeight="1">
      <c r="A23" s="1702"/>
      <c r="B23" s="2493" t="s">
        <v>2386</v>
      </c>
      <c r="C23" s="1980" t="str">
        <f>估价对象房地状况!C9</f>
        <v>区域自然环境：上地公园、快乐成长家庭人口文化园等；人文环境；周边人文设施较少；
综合评价环境状况一般。</v>
      </c>
      <c r="D23" s="1735">
        <v>100</v>
      </c>
      <c r="E23" s="3729"/>
      <c r="F23" s="1735">
        <f>SUMIF(85:85,E24,86:86)-SUMIF(85:85,C24,86:86)+100</f>
        <v>100</v>
      </c>
      <c r="G23" s="3729"/>
      <c r="H23" s="1735">
        <f>SUMIF(85:85,G24,86:86)-SUMIF(85:85,C24,86:86)+100</f>
        <v>100</v>
      </c>
      <c r="I23" s="3729"/>
      <c r="J23" s="1735">
        <f>SUMIF(85:85,I24,86:86)-SUMIF(85:85,C24,86:86)+100</f>
        <v>100</v>
      </c>
      <c r="K23" s="2471">
        <v>2</v>
      </c>
      <c r="L23" s="3000"/>
      <c r="M23" s="2996"/>
      <c r="N23" s="2996"/>
      <c r="O23" s="2996"/>
      <c r="P23" s="4492"/>
      <c r="Q23" s="4105" t="str">
        <f>B23</f>
        <v>环境质量</v>
      </c>
      <c r="R23" s="1725" t="s">
        <v>25</v>
      </c>
      <c r="S23" s="1726">
        <f>F23</f>
        <v>100</v>
      </c>
      <c r="T23" s="1725" t="s">
        <v>25</v>
      </c>
      <c r="U23" s="1726">
        <f>H23</f>
        <v>100</v>
      </c>
      <c r="V23" s="1725" t="s">
        <v>25</v>
      </c>
      <c r="W23" s="1726">
        <f>J23</f>
        <v>100</v>
      </c>
      <c r="X23" s="4102"/>
      <c r="Y23" s="4492"/>
      <c r="Z23" s="4103" t="str">
        <f>Q23</f>
        <v>环境质量</v>
      </c>
      <c r="AA23" s="4106">
        <f t="shared" si="3"/>
        <v>1</v>
      </c>
      <c r="AB23" s="4106">
        <f t="shared" si="4"/>
        <v>1</v>
      </c>
      <c r="AC23" s="4106">
        <f t="shared" si="5"/>
        <v>1</v>
      </c>
    </row>
    <row r="24" spans="1:29" ht="15">
      <c r="A24" s="1702"/>
      <c r="B24" s="2495"/>
      <c r="C24" s="1975" t="s">
        <v>31</v>
      </c>
      <c r="D24" s="1731"/>
      <c r="E24" s="1975" t="s">
        <v>31</v>
      </c>
      <c r="F24" s="1731"/>
      <c r="G24" s="1975" t="s">
        <v>31</v>
      </c>
      <c r="H24" s="1731"/>
      <c r="I24" s="1975" t="s">
        <v>31</v>
      </c>
      <c r="J24" s="1731"/>
      <c r="K24" s="2472"/>
      <c r="L24" s="3000"/>
      <c r="M24" s="2996"/>
      <c r="N24" s="2996"/>
      <c r="O24" s="2996"/>
      <c r="P24" s="4492"/>
      <c r="Q24" s="4105"/>
      <c r="R24" s="1725"/>
      <c r="S24" s="1726"/>
      <c r="T24" s="1725"/>
      <c r="U24" s="1726"/>
      <c r="V24" s="1725"/>
      <c r="W24" s="1726"/>
      <c r="X24" s="4102"/>
      <c r="Y24" s="4492"/>
      <c r="Z24" s="4103"/>
      <c r="AA24" s="4106">
        <v>1</v>
      </c>
      <c r="AB24" s="4106">
        <v>1</v>
      </c>
      <c r="AC24" s="4106">
        <v>1</v>
      </c>
    </row>
    <row r="25" spans="1:29" ht="27">
      <c r="A25" s="1667"/>
      <c r="B25" s="2493" t="s">
        <v>2387</v>
      </c>
      <c r="C25" s="3732" t="s">
        <v>4988</v>
      </c>
      <c r="D25" s="1711">
        <v>100</v>
      </c>
      <c r="E25" s="3727" t="s">
        <v>4984</v>
      </c>
      <c r="F25" s="1711">
        <f>SUMIF(87:87,E26,88:88)-SUMIF(87:87,C26,88:88)+100</f>
        <v>96</v>
      </c>
      <c r="G25" s="3732" t="str">
        <f>E25</f>
        <v>城市支路-上地六街</v>
      </c>
      <c r="H25" s="1711">
        <f>SUMIF(87:87,G26,88:88)-SUMIF(87:87,C26,88:88)+100</f>
        <v>96</v>
      </c>
      <c r="I25" s="3732" t="str">
        <f>E25</f>
        <v>城市支路-上地六街</v>
      </c>
      <c r="J25" s="1711">
        <f>SUMIF(87:87,I26,88:88)-SUMIF(87:87,C26,88:88)+100</f>
        <v>96</v>
      </c>
      <c r="K25" s="2471">
        <v>2</v>
      </c>
      <c r="L25" s="3000"/>
      <c r="M25" s="2996"/>
      <c r="N25" s="2996"/>
      <c r="O25" s="2996"/>
      <c r="P25" s="4492"/>
      <c r="Q25" s="4105" t="str">
        <f>B25</f>
        <v>毗邻道路的类型与等级</v>
      </c>
      <c r="R25" s="1725" t="s">
        <v>25</v>
      </c>
      <c r="S25" s="1726">
        <f>F25</f>
        <v>96</v>
      </c>
      <c r="T25" s="1725" t="s">
        <v>25</v>
      </c>
      <c r="U25" s="1726">
        <f>H25</f>
        <v>96</v>
      </c>
      <c r="V25" s="1725" t="s">
        <v>25</v>
      </c>
      <c r="W25" s="1726">
        <f>J25</f>
        <v>96</v>
      </c>
      <c r="X25" s="4102"/>
      <c r="Y25" s="4492"/>
      <c r="Z25" s="4103" t="str">
        <f>Q25</f>
        <v>毗邻道路的类型与等级</v>
      </c>
      <c r="AA25" s="4106">
        <f t="shared" si="3"/>
        <v>1.0416666666666667</v>
      </c>
      <c r="AB25" s="4106">
        <f t="shared" si="4"/>
        <v>1.0416666666666667</v>
      </c>
      <c r="AC25" s="4106">
        <f t="shared" si="5"/>
        <v>1.0416666666666667</v>
      </c>
    </row>
    <row r="26" spans="1:29" ht="15">
      <c r="A26" s="1667"/>
      <c r="B26" s="2494"/>
      <c r="C26" s="1983" t="s">
        <v>4987</v>
      </c>
      <c r="D26" s="1711"/>
      <c r="E26" s="1991" t="s">
        <v>4985</v>
      </c>
      <c r="F26" s="1711"/>
      <c r="G26" s="1983" t="s">
        <v>4985</v>
      </c>
      <c r="H26" s="1711"/>
      <c r="I26" s="1991" t="s">
        <v>4985</v>
      </c>
      <c r="J26" s="1711"/>
      <c r="K26" s="2472"/>
      <c r="L26" s="3000"/>
      <c r="M26" s="2996"/>
      <c r="N26" s="2996"/>
      <c r="O26" s="2996"/>
      <c r="P26" s="4492"/>
      <c r="Q26" s="4105"/>
      <c r="R26" s="1725"/>
      <c r="S26" s="1726"/>
      <c r="T26" s="1725"/>
      <c r="U26" s="1726"/>
      <c r="V26" s="1725"/>
      <c r="W26" s="1726"/>
      <c r="X26" s="4102"/>
      <c r="Y26" s="4492"/>
      <c r="Z26" s="4103"/>
      <c r="AA26" s="4106">
        <v>1</v>
      </c>
      <c r="AB26" s="4106">
        <v>1</v>
      </c>
      <c r="AC26" s="4106">
        <v>1</v>
      </c>
    </row>
    <row r="27" spans="1:29" ht="15.75" thickBot="1">
      <c r="A27" s="1702"/>
      <c r="B27" s="2494" t="s">
        <v>2360</v>
      </c>
      <c r="C27" s="1983" t="s">
        <v>4593</v>
      </c>
      <c r="D27" s="1711">
        <v>100</v>
      </c>
      <c r="E27" s="1983" t="s">
        <v>4593</v>
      </c>
      <c r="F27" s="1711">
        <f>SUMIF(89:89,E27,90:90)-SUMIF(89:89,C27,90:90)+100</f>
        <v>100</v>
      </c>
      <c r="G27" s="1983" t="s">
        <v>4593</v>
      </c>
      <c r="H27" s="1711">
        <f>SUMIF(89:89,G27,90:90)-SUMIF(89:89,C27,90:90)+100</f>
        <v>100</v>
      </c>
      <c r="I27" s="1983" t="s">
        <v>4593</v>
      </c>
      <c r="J27" s="1711">
        <f>SUMIF(89:89,I27,90:90)-SUMIF(89:89,C27,90:90)+100</f>
        <v>100</v>
      </c>
      <c r="K27" s="1992">
        <v>2</v>
      </c>
      <c r="L27" s="3000"/>
      <c r="M27" s="2996"/>
      <c r="N27" s="2996"/>
      <c r="O27" s="2996"/>
      <c r="P27" s="4492"/>
      <c r="Q27" s="4105" t="str">
        <f t="shared" ref="Q27:Q45" si="11">B27</f>
        <v>楼层</v>
      </c>
      <c r="R27" s="1725" t="s">
        <v>25</v>
      </c>
      <c r="S27" s="1726">
        <f>F27</f>
        <v>100</v>
      </c>
      <c r="T27" s="1725" t="s">
        <v>25</v>
      </c>
      <c r="U27" s="1726">
        <f>H27</f>
        <v>100</v>
      </c>
      <c r="V27" s="1725" t="s">
        <v>25</v>
      </c>
      <c r="W27" s="1726">
        <f>J27</f>
        <v>100</v>
      </c>
      <c r="X27" s="4102"/>
      <c r="Y27" s="4492"/>
      <c r="Z27" s="4103" t="str">
        <f>Q27</f>
        <v>楼层</v>
      </c>
      <c r="AA27" s="4106">
        <f t="shared" si="3"/>
        <v>1</v>
      </c>
      <c r="AB27" s="4106">
        <f t="shared" si="4"/>
        <v>1</v>
      </c>
      <c r="AC27" s="4106">
        <f t="shared" si="5"/>
        <v>1</v>
      </c>
    </row>
    <row r="28" spans="1:29" s="1684" customFormat="1" ht="15.75" hidden="1" thickBot="1">
      <c r="A28" s="4101"/>
      <c r="B28" s="2493" t="s">
        <v>2388</v>
      </c>
      <c r="C28" s="2497"/>
      <c r="D28" s="1756">
        <v>100</v>
      </c>
      <c r="E28" s="2475"/>
      <c r="F28" s="1756">
        <f>SUMIF(91:91,E28,92:92)-SUMIF(91:91,C28,92:92)+100</f>
        <v>100</v>
      </c>
      <c r="G28" s="2497"/>
      <c r="H28" s="1756">
        <f>SUMIF(91:91,G28,92:92)-SUMIF(91:91,C28,92:92)+100</f>
        <v>100</v>
      </c>
      <c r="I28" s="2475"/>
      <c r="J28" s="1756">
        <f>SUMIF(91:91,I28,92:92)-SUMIF(91:91,C28,92:92)+100</f>
        <v>100</v>
      </c>
      <c r="K28" s="1992">
        <v>2</v>
      </c>
      <c r="L28" s="2995"/>
      <c r="M28" s="2968"/>
      <c r="N28" s="2968"/>
      <c r="O28" s="2968"/>
      <c r="P28" s="4492"/>
      <c r="Q28" s="4099" t="str">
        <f t="shared" si="11"/>
        <v>朝向</v>
      </c>
      <c r="R28" s="1680" t="s">
        <v>25</v>
      </c>
      <c r="S28" s="1681">
        <f>F28</f>
        <v>100</v>
      </c>
      <c r="T28" s="1680" t="s">
        <v>25</v>
      </c>
      <c r="U28" s="1681">
        <f>H28</f>
        <v>100</v>
      </c>
      <c r="V28" s="1680" t="s">
        <v>25</v>
      </c>
      <c r="W28" s="1681">
        <f>J28</f>
        <v>100</v>
      </c>
      <c r="X28" s="1682"/>
      <c r="Y28" s="4492"/>
      <c r="Z28" s="1693" t="str">
        <f>Q28</f>
        <v>朝向</v>
      </c>
      <c r="AA28" s="4106">
        <f>D28/F28</f>
        <v>1</v>
      </c>
      <c r="AB28" s="4106">
        <f>D28/H28</f>
        <v>1</v>
      </c>
      <c r="AC28" s="4106">
        <f>D28/J28</f>
        <v>1</v>
      </c>
    </row>
    <row r="29" spans="1:29" ht="15.75" hidden="1" thickBot="1">
      <c r="A29" s="1702"/>
      <c r="C29" s="2496"/>
      <c r="D29" s="1711">
        <v>100</v>
      </c>
      <c r="E29" s="1707"/>
      <c r="F29" s="1711">
        <f>SUMIF(93:93,E29,94:94)-SUMIF(93:93,C29,94:94)+100</f>
        <v>100</v>
      </c>
      <c r="G29" s="2489"/>
      <c r="H29" s="1711">
        <f>SUMIF(93:93,G29,94:94)-SUMIF(93:93,C29,94:94)+100</f>
        <v>100</v>
      </c>
      <c r="I29" s="1707"/>
      <c r="J29" s="1711">
        <f>SUMIF(93:93,I29,94:94)-SUMIF(93:93,C29,94:94)+100</f>
        <v>100</v>
      </c>
      <c r="K29" s="1989"/>
      <c r="L29" s="3000"/>
      <c r="M29" s="2996"/>
      <c r="N29" s="2996"/>
      <c r="O29" s="2996"/>
      <c r="P29" s="4492"/>
      <c r="Q29" s="4105">
        <f>B47</f>
        <v>0</v>
      </c>
      <c r="R29" s="1725" t="s">
        <v>25</v>
      </c>
      <c r="S29" s="1726">
        <f t="shared" ref="S29:S47" si="12">F29</f>
        <v>100</v>
      </c>
      <c r="T29" s="1725" t="s">
        <v>25</v>
      </c>
      <c r="U29" s="1726">
        <f t="shared" ref="U29:U47" si="13">H29</f>
        <v>100</v>
      </c>
      <c r="V29" s="1725" t="s">
        <v>25</v>
      </c>
      <c r="W29" s="1726">
        <f t="shared" ref="W29:W47" si="14">J29</f>
        <v>100</v>
      </c>
      <c r="X29" s="4102"/>
      <c r="Y29" s="4492"/>
      <c r="Z29" s="4103">
        <f t="shared" ref="Z29:Z47" si="15">Q29</f>
        <v>0</v>
      </c>
      <c r="AA29" s="4106">
        <f t="shared" si="3"/>
        <v>1</v>
      </c>
      <c r="AB29" s="4106">
        <f t="shared" si="4"/>
        <v>1</v>
      </c>
      <c r="AC29" s="4106">
        <f t="shared" si="5"/>
        <v>1</v>
      </c>
    </row>
    <row r="30" spans="1:29" ht="15.75" hidden="1" thickBot="1">
      <c r="A30" s="1702"/>
      <c r="B30" s="2498">
        <v>111</v>
      </c>
      <c r="C30" s="2496"/>
      <c r="D30" s="1711">
        <v>100</v>
      </c>
      <c r="E30" s="1707"/>
      <c r="F30" s="1711">
        <f>SUMIF(95:95,E30,96:96)-SUMIF(95:95,C30,96:96)+100</f>
        <v>100</v>
      </c>
      <c r="G30" s="2489"/>
      <c r="H30" s="1711">
        <f>SUMIF(95:95,G30,96:96)-SUMIF(95:95,C30,96:96)+100</f>
        <v>100</v>
      </c>
      <c r="I30" s="1707"/>
      <c r="J30" s="1711">
        <f>SUMIF(95:95,I30,96:96)-SUMIF(95:95,C30,96:96)+100</f>
        <v>100</v>
      </c>
      <c r="K30" s="1989"/>
      <c r="L30" s="3000"/>
      <c r="M30" s="2996"/>
      <c r="N30" s="2996"/>
      <c r="O30" s="2996"/>
      <c r="P30" s="4492"/>
      <c r="Q30" s="4105">
        <f t="shared" si="11"/>
        <v>111</v>
      </c>
      <c r="R30" s="1725" t="s">
        <v>25</v>
      </c>
      <c r="S30" s="1726">
        <f t="shared" si="12"/>
        <v>100</v>
      </c>
      <c r="T30" s="1725" t="s">
        <v>25</v>
      </c>
      <c r="U30" s="1726">
        <f t="shared" si="13"/>
        <v>100</v>
      </c>
      <c r="V30" s="1725" t="s">
        <v>25</v>
      </c>
      <c r="W30" s="1726">
        <f t="shared" si="14"/>
        <v>100</v>
      </c>
      <c r="X30" s="4102"/>
      <c r="Y30" s="4492"/>
      <c r="Z30" s="4103">
        <f t="shared" si="15"/>
        <v>111</v>
      </c>
      <c r="AA30" s="4106">
        <f t="shared" si="3"/>
        <v>1</v>
      </c>
      <c r="AB30" s="4106">
        <f t="shared" si="4"/>
        <v>1</v>
      </c>
      <c r="AC30" s="4106">
        <f t="shared" si="5"/>
        <v>1</v>
      </c>
    </row>
    <row r="31" spans="1:29" ht="15.75" hidden="1" thickBot="1">
      <c r="A31" s="1702"/>
      <c r="B31" s="2498">
        <v>111</v>
      </c>
      <c r="C31" s="2496"/>
      <c r="D31" s="1711">
        <v>100</v>
      </c>
      <c r="E31" s="1707"/>
      <c r="F31" s="1711">
        <f>SUMIF(97:97,E31,98:98)-SUMIF(97:97,C31,98:98)+100</f>
        <v>100</v>
      </c>
      <c r="G31" s="2489"/>
      <c r="H31" s="1711">
        <f>SUMIF(97:97,G31,98:98)-SUMIF(97:97,C31,98:98)+100</f>
        <v>100</v>
      </c>
      <c r="I31" s="1707"/>
      <c r="J31" s="1711">
        <f>SUMIF(97:97,I31,98:98)-SUMIF(97:97,C31,98:98)+100</f>
        <v>100</v>
      </c>
      <c r="K31" s="1989"/>
      <c r="L31" s="3000"/>
      <c r="M31" s="2996"/>
      <c r="N31" s="2996"/>
      <c r="O31" s="2996"/>
      <c r="P31" s="4492"/>
      <c r="Q31" s="4105">
        <f t="shared" si="11"/>
        <v>111</v>
      </c>
      <c r="R31" s="1725" t="s">
        <v>25</v>
      </c>
      <c r="S31" s="1726">
        <f t="shared" si="12"/>
        <v>100</v>
      </c>
      <c r="T31" s="1725" t="s">
        <v>25</v>
      </c>
      <c r="U31" s="1726">
        <f t="shared" si="13"/>
        <v>100</v>
      </c>
      <c r="V31" s="1725" t="s">
        <v>25</v>
      </c>
      <c r="W31" s="1726">
        <f t="shared" si="14"/>
        <v>100</v>
      </c>
      <c r="X31" s="4102"/>
      <c r="Y31" s="4492"/>
      <c r="Z31" s="4103">
        <f t="shared" si="15"/>
        <v>111</v>
      </c>
      <c r="AA31" s="4106">
        <f t="shared" si="3"/>
        <v>1</v>
      </c>
      <c r="AB31" s="4106">
        <f t="shared" si="4"/>
        <v>1</v>
      </c>
      <c r="AC31" s="4106">
        <f t="shared" si="5"/>
        <v>1</v>
      </c>
    </row>
    <row r="32" spans="1:29" ht="15.75" hidden="1" thickBot="1">
      <c r="A32" s="1712"/>
      <c r="B32" s="2499">
        <v>111</v>
      </c>
      <c r="C32" s="2500"/>
      <c r="D32" s="1715">
        <v>100</v>
      </c>
      <c r="E32" s="2490"/>
      <c r="F32" s="1715">
        <f>SUMIF(99:99,E32,100:100)-SUMIF(99:99,C32,100:100)+100</f>
        <v>100</v>
      </c>
      <c r="G32" s="2489"/>
      <c r="H32" s="1715">
        <f>SUMIF(99:99,G32,100:100)-SUMIF(99:99,C32,100:100)+100</f>
        <v>100</v>
      </c>
      <c r="I32" s="1707"/>
      <c r="J32" s="1715">
        <f>SUMIF(99:99,I32,100:100)-SUMIF(99:99,C32,100:100)+100</f>
        <v>100</v>
      </c>
      <c r="K32" s="1989"/>
      <c r="L32" s="3000"/>
      <c r="M32" s="2996"/>
      <c r="N32" s="2996"/>
      <c r="O32" s="2996"/>
      <c r="P32" s="4492"/>
      <c r="Q32" s="4105">
        <f t="shared" si="11"/>
        <v>111</v>
      </c>
      <c r="R32" s="1725" t="s">
        <v>25</v>
      </c>
      <c r="S32" s="1726">
        <f t="shared" si="12"/>
        <v>100</v>
      </c>
      <c r="T32" s="1725" t="s">
        <v>25</v>
      </c>
      <c r="U32" s="1726">
        <f t="shared" si="13"/>
        <v>100</v>
      </c>
      <c r="V32" s="1725" t="s">
        <v>25</v>
      </c>
      <c r="W32" s="1726">
        <f t="shared" si="14"/>
        <v>100</v>
      </c>
      <c r="X32" s="4102"/>
      <c r="Y32" s="4492"/>
      <c r="Z32" s="4103">
        <f t="shared" si="15"/>
        <v>111</v>
      </c>
      <c r="AA32" s="4106">
        <f t="shared" si="3"/>
        <v>1</v>
      </c>
      <c r="AB32" s="4106">
        <f t="shared" si="4"/>
        <v>1</v>
      </c>
      <c r="AC32" s="4106">
        <f t="shared" si="5"/>
        <v>1</v>
      </c>
    </row>
    <row r="33" spans="1:29" ht="15">
      <c r="A33" s="1717" t="s">
        <v>2273</v>
      </c>
      <c r="B33" s="1687" t="s">
        <v>2389</v>
      </c>
      <c r="C33" s="2501"/>
      <c r="D33" s="1762">
        <v>100</v>
      </c>
      <c r="E33" s="2501"/>
      <c r="F33" s="1754">
        <f>SUMIF(101:101,E33,102:102)-SUMIF(101:101,C33,102:102)+100</f>
        <v>100</v>
      </c>
      <c r="G33" s="2501"/>
      <c r="H33" s="1711">
        <f>SUMIF(101:101,G33,102:102)-SUMIF(101:101,C33,102:102)+100</f>
        <v>100</v>
      </c>
      <c r="I33" s="2501"/>
      <c r="J33" s="1762">
        <f>SUMIF(101:101,I33,102:102)-SUMIF(101:101,C33,102:102)+100</f>
        <v>100</v>
      </c>
      <c r="K33" s="1992">
        <v>1</v>
      </c>
      <c r="L33" s="3000"/>
      <c r="M33" s="2996"/>
      <c r="N33" s="2996"/>
      <c r="O33" s="2996"/>
      <c r="P33" s="4576" t="s">
        <v>2275</v>
      </c>
      <c r="Q33" s="4105" t="str">
        <f t="shared" si="11"/>
        <v>建筑类型</v>
      </c>
      <c r="R33" s="1725" t="s">
        <v>25</v>
      </c>
      <c r="S33" s="1726">
        <f t="shared" si="12"/>
        <v>100</v>
      </c>
      <c r="T33" s="1725" t="s">
        <v>25</v>
      </c>
      <c r="U33" s="1726">
        <f t="shared" si="13"/>
        <v>100</v>
      </c>
      <c r="V33" s="1725" t="s">
        <v>25</v>
      </c>
      <c r="W33" s="1726">
        <f t="shared" si="14"/>
        <v>100</v>
      </c>
      <c r="X33" s="4102"/>
      <c r="Y33" s="4496" t="s">
        <v>2275</v>
      </c>
      <c r="Z33" s="4103" t="str">
        <f t="shared" si="15"/>
        <v>建筑类型</v>
      </c>
      <c r="AA33" s="4106">
        <f t="shared" si="3"/>
        <v>1</v>
      </c>
      <c r="AB33" s="4106">
        <f t="shared" si="4"/>
        <v>1</v>
      </c>
      <c r="AC33" s="4106">
        <f t="shared" si="5"/>
        <v>1</v>
      </c>
    </row>
    <row r="34" spans="1:29" s="1771" customFormat="1" ht="15">
      <c r="A34" s="1764"/>
      <c r="B34" s="1695" t="s">
        <v>2276</v>
      </c>
      <c r="C34" s="1765">
        <f>面积表!E4+面积表!E5</f>
        <v>1394.67</v>
      </c>
      <c r="D34" s="1697">
        <v>100</v>
      </c>
      <c r="E34" s="1704">
        <f>合同租金汇总!D9</f>
        <v>188.24</v>
      </c>
      <c r="F34" s="1699">
        <f>LOOKUP(E34,104:104,105:105)-LOOKUP(C34,104:104,105:105)+100</f>
        <v>102</v>
      </c>
      <c r="G34" s="1703">
        <f>合同租金汇总!D14</f>
        <v>188.24</v>
      </c>
      <c r="H34" s="1697">
        <f>LOOKUP(G34,104:104,105:105)-LOOKUP(C34,104:104,105:105)+100</f>
        <v>102</v>
      </c>
      <c r="I34" s="1703">
        <f>合同租金汇总!D24</f>
        <v>278.18</v>
      </c>
      <c r="J34" s="1697">
        <f>LOOKUP(I34,104:104,105:105)-LOOKUP(C34,104:104,105:105)+100</f>
        <v>102</v>
      </c>
      <c r="K34" s="1989"/>
      <c r="L34" s="2999"/>
      <c r="M34" s="2059"/>
      <c r="N34" s="2059"/>
      <c r="O34" s="2059"/>
      <c r="P34" s="4496"/>
      <c r="Q34" s="1766" t="str">
        <f t="shared" si="11"/>
        <v>项目建筑规模</v>
      </c>
      <c r="R34" s="1767" t="s">
        <v>25</v>
      </c>
      <c r="S34" s="1768">
        <f t="shared" si="12"/>
        <v>102</v>
      </c>
      <c r="T34" s="1767" t="s">
        <v>25</v>
      </c>
      <c r="U34" s="1768">
        <f t="shared" si="13"/>
        <v>102</v>
      </c>
      <c r="V34" s="1767" t="s">
        <v>25</v>
      </c>
      <c r="W34" s="1768">
        <f t="shared" si="14"/>
        <v>102</v>
      </c>
      <c r="X34" s="1769"/>
      <c r="Y34" s="4496"/>
      <c r="Z34" s="1770" t="str">
        <f t="shared" si="15"/>
        <v>项目建筑规模</v>
      </c>
      <c r="AA34" s="4106">
        <f t="shared" si="3"/>
        <v>0.98039215686274506</v>
      </c>
      <c r="AB34" s="4106">
        <f t="shared" si="4"/>
        <v>0.98039215686274506</v>
      </c>
      <c r="AC34" s="4106">
        <f t="shared" si="5"/>
        <v>0.98039215686274506</v>
      </c>
    </row>
    <row r="35" spans="1:29" ht="15">
      <c r="A35" s="1772"/>
      <c r="B35" s="1695" t="s">
        <v>2277</v>
      </c>
      <c r="C35" s="1752" t="s">
        <v>2892</v>
      </c>
      <c r="D35" s="1711">
        <v>100</v>
      </c>
      <c r="E35" s="1752" t="s">
        <v>2892</v>
      </c>
      <c r="F35" s="1754">
        <f>SUMIF(106:106,E35,107:107)-SUMIF(106:106,C35,107:107)+100</f>
        <v>100</v>
      </c>
      <c r="G35" s="1752" t="s">
        <v>2892</v>
      </c>
      <c r="H35" s="1711">
        <f>SUMIF(106:106,G35,107:107)-SUMIF(106:106,C35,107:107)+100</f>
        <v>100</v>
      </c>
      <c r="I35" s="1752" t="s">
        <v>2892</v>
      </c>
      <c r="J35" s="1711">
        <f>SUMIF(106:106,I35,107:107)-SUMIF(106:106,C35,107:107)+100</f>
        <v>100</v>
      </c>
      <c r="K35" s="1992">
        <v>1</v>
      </c>
      <c r="L35" s="3000"/>
      <c r="M35" s="2996"/>
      <c r="N35" s="2996"/>
      <c r="O35" s="2996"/>
      <c r="P35" s="4496"/>
      <c r="Q35" s="4105" t="str">
        <f t="shared" si="11"/>
        <v>建筑结构</v>
      </c>
      <c r="R35" s="1725" t="s">
        <v>25</v>
      </c>
      <c r="S35" s="1726">
        <f t="shared" si="12"/>
        <v>100</v>
      </c>
      <c r="T35" s="1725" t="s">
        <v>25</v>
      </c>
      <c r="U35" s="1726">
        <f t="shared" si="13"/>
        <v>100</v>
      </c>
      <c r="V35" s="1725" t="s">
        <v>25</v>
      </c>
      <c r="W35" s="1726">
        <f t="shared" si="14"/>
        <v>100</v>
      </c>
      <c r="X35" s="4102"/>
      <c r="Y35" s="4496"/>
      <c r="Z35" s="4103" t="str">
        <f t="shared" si="15"/>
        <v>建筑结构</v>
      </c>
      <c r="AA35" s="4106">
        <f t="shared" si="3"/>
        <v>1</v>
      </c>
      <c r="AB35" s="4106">
        <f t="shared" si="4"/>
        <v>1</v>
      </c>
      <c r="AC35" s="4106">
        <f t="shared" si="5"/>
        <v>1</v>
      </c>
    </row>
    <row r="36" spans="1:29" ht="15">
      <c r="A36" s="1772"/>
      <c r="B36" s="1695" t="s">
        <v>2362</v>
      </c>
      <c r="C36" s="1752" t="s">
        <v>2896</v>
      </c>
      <c r="D36" s="1711">
        <v>100</v>
      </c>
      <c r="E36" s="1752" t="s">
        <v>2896</v>
      </c>
      <c r="F36" s="1754">
        <f>SUMIF(108:108,E36,109:109)-SUMIF(108:108,C36,109:109)+100</f>
        <v>100</v>
      </c>
      <c r="G36" s="1752" t="s">
        <v>2896</v>
      </c>
      <c r="H36" s="1711">
        <f>SUMIF(108:108,G36,109:109)-SUMIF(108:108,C36,109:109)+100</f>
        <v>100</v>
      </c>
      <c r="I36" s="1752" t="s">
        <v>2896</v>
      </c>
      <c r="J36" s="1711">
        <f>SUMIF(108:108,I36,109:109)-SUMIF(108:108,C36,109:109)+100</f>
        <v>100</v>
      </c>
      <c r="K36" s="1992">
        <v>2</v>
      </c>
      <c r="L36" s="3000"/>
      <c r="M36" s="2996"/>
      <c r="N36" s="2996"/>
      <c r="O36" s="2996"/>
      <c r="P36" s="4496"/>
      <c r="Q36" s="4105" t="str">
        <f t="shared" si="11"/>
        <v>公共部分装修</v>
      </c>
      <c r="R36" s="1725" t="s">
        <v>25</v>
      </c>
      <c r="S36" s="1726">
        <f t="shared" si="12"/>
        <v>100</v>
      </c>
      <c r="T36" s="1725" t="s">
        <v>25</v>
      </c>
      <c r="U36" s="1726">
        <f t="shared" si="13"/>
        <v>100</v>
      </c>
      <c r="V36" s="1725" t="s">
        <v>25</v>
      </c>
      <c r="W36" s="1726">
        <f t="shared" si="14"/>
        <v>100</v>
      </c>
      <c r="X36" s="4102"/>
      <c r="Y36" s="4496"/>
      <c r="Z36" s="4103" t="str">
        <f t="shared" si="15"/>
        <v>公共部分装修</v>
      </c>
      <c r="AA36" s="4106">
        <f t="shared" si="3"/>
        <v>1</v>
      </c>
      <c r="AB36" s="4106">
        <f t="shared" si="4"/>
        <v>1</v>
      </c>
      <c r="AC36" s="4106">
        <f t="shared" si="5"/>
        <v>1</v>
      </c>
    </row>
    <row r="37" spans="1:29" ht="15">
      <c r="A37" s="1772"/>
      <c r="B37" s="1695" t="s">
        <v>2363</v>
      </c>
      <c r="C37" s="1776">
        <v>0.68</v>
      </c>
      <c r="D37" s="1711">
        <v>100</v>
      </c>
      <c r="E37" s="1776">
        <f>C37</f>
        <v>0.68</v>
      </c>
      <c r="F37" s="1754">
        <f>LOOKUP(E37,111:111,112:112)-LOOKUP(C37,111:111,112:112)+100</f>
        <v>100</v>
      </c>
      <c r="G37" s="1776">
        <f>C37</f>
        <v>0.68</v>
      </c>
      <c r="H37" s="1754">
        <f>LOOKUP(G37,111:111,112:112)-LOOKUP(C37,111:111,112:112)+100</f>
        <v>100</v>
      </c>
      <c r="I37" s="1776">
        <f>C37</f>
        <v>0.68</v>
      </c>
      <c r="J37" s="1711">
        <f>LOOKUP(I37,111:111,112:112)-LOOKUP(C37,111:111,112:112)+100</f>
        <v>100</v>
      </c>
      <c r="K37" s="1992">
        <v>1</v>
      </c>
      <c r="L37" s="3000"/>
      <c r="M37" s="2996"/>
      <c r="N37" s="2996"/>
      <c r="O37" s="2996"/>
      <c r="P37" s="4496"/>
      <c r="Q37" s="4105" t="str">
        <f t="shared" si="11"/>
        <v>成新度</v>
      </c>
      <c r="R37" s="1725" t="s">
        <v>25</v>
      </c>
      <c r="S37" s="1726">
        <f t="shared" si="12"/>
        <v>100</v>
      </c>
      <c r="T37" s="1725" t="s">
        <v>25</v>
      </c>
      <c r="U37" s="1726">
        <f t="shared" si="13"/>
        <v>100</v>
      </c>
      <c r="V37" s="1725" t="s">
        <v>25</v>
      </c>
      <c r="W37" s="1726">
        <f t="shared" si="14"/>
        <v>100</v>
      </c>
      <c r="X37" s="4102"/>
      <c r="Y37" s="4496"/>
      <c r="Z37" s="4103" t="str">
        <f t="shared" si="15"/>
        <v>成新度</v>
      </c>
      <c r="AA37" s="4106">
        <f t="shared" si="3"/>
        <v>1</v>
      </c>
      <c r="AB37" s="4106">
        <f t="shared" si="4"/>
        <v>1</v>
      </c>
      <c r="AC37" s="4106">
        <f t="shared" si="5"/>
        <v>1</v>
      </c>
    </row>
    <row r="38" spans="1:29" s="1684" customFormat="1" ht="15">
      <c r="A38" s="1775"/>
      <c r="B38" s="1695" t="s">
        <v>2390</v>
      </c>
      <c r="C38" s="1752" t="s">
        <v>5045</v>
      </c>
      <c r="D38" s="1697">
        <v>100</v>
      </c>
      <c r="E38" s="1752" t="s">
        <v>5045</v>
      </c>
      <c r="F38" s="1754">
        <f>SUMIF(113:113,E38,114:114)-SUMIF(113:113,C38,114:114)+100</f>
        <v>100</v>
      </c>
      <c r="G38" s="1752" t="s">
        <v>5045</v>
      </c>
      <c r="H38" s="1711">
        <f>SUMIF(113:113,G38,114:114)-SUMIF(113:113,C38,114:114)+100</f>
        <v>100</v>
      </c>
      <c r="I38" s="1752" t="s">
        <v>5045</v>
      </c>
      <c r="J38" s="1711">
        <f>SUMIF(113:113,I38,114:114)-SUMIF(113:113,C38,114:114)+100</f>
        <v>100</v>
      </c>
      <c r="K38" s="1992">
        <v>2</v>
      </c>
      <c r="L38" s="2995"/>
      <c r="M38" s="2968"/>
      <c r="N38" s="2968"/>
      <c r="O38" s="2968"/>
      <c r="P38" s="4496"/>
      <c r="Q38" s="4099" t="str">
        <f t="shared" si="11"/>
        <v>写字楼等级</v>
      </c>
      <c r="R38" s="1680" t="s">
        <v>25</v>
      </c>
      <c r="S38" s="1681">
        <f t="shared" si="12"/>
        <v>100</v>
      </c>
      <c r="T38" s="1680" t="s">
        <v>25</v>
      </c>
      <c r="U38" s="1681">
        <f t="shared" si="13"/>
        <v>100</v>
      </c>
      <c r="V38" s="1680" t="s">
        <v>25</v>
      </c>
      <c r="W38" s="1681">
        <f t="shared" si="14"/>
        <v>100</v>
      </c>
      <c r="X38" s="1682"/>
      <c r="Y38" s="4496"/>
      <c r="Z38" s="1693" t="str">
        <f t="shared" si="15"/>
        <v>写字楼等级</v>
      </c>
      <c r="AA38" s="1683">
        <f t="shared" si="3"/>
        <v>1</v>
      </c>
      <c r="AB38" s="1683">
        <f t="shared" si="4"/>
        <v>1</v>
      </c>
      <c r="AC38" s="1683">
        <f t="shared" si="5"/>
        <v>1</v>
      </c>
    </row>
    <row r="39" spans="1:29" ht="15">
      <c r="A39" s="1772"/>
      <c r="B39" s="1695" t="s">
        <v>2391</v>
      </c>
      <c r="C39" s="1752" t="s">
        <v>3524</v>
      </c>
      <c r="D39" s="1711">
        <v>100</v>
      </c>
      <c r="E39" s="1752" t="s">
        <v>3524</v>
      </c>
      <c r="F39" s="1754">
        <f>SUMIF(115:115,E39,116:116)-SUMIF(115:115,C39,116:116)+100</f>
        <v>100</v>
      </c>
      <c r="G39" s="1752" t="s">
        <v>3524</v>
      </c>
      <c r="H39" s="1711">
        <f>SUMIF(115:115,G39,116:116)-SUMIF(115:115,C39,116:116)+100</f>
        <v>100</v>
      </c>
      <c r="I39" s="1752" t="s">
        <v>3524</v>
      </c>
      <c r="J39" s="1711">
        <f>SUMIF(115:115,I39,116:116)-SUMIF(115:115,C39,116:116)+100</f>
        <v>100</v>
      </c>
      <c r="K39" s="1992"/>
      <c r="L39" s="3000"/>
      <c r="M39" s="2996"/>
      <c r="N39" s="2996"/>
      <c r="O39" s="2996"/>
      <c r="P39" s="4496" t="s">
        <v>2275</v>
      </c>
      <c r="Q39" s="4105" t="str">
        <f t="shared" si="11"/>
        <v>物业管理</v>
      </c>
      <c r="R39" s="1725" t="s">
        <v>25</v>
      </c>
      <c r="S39" s="1726">
        <f t="shared" si="12"/>
        <v>100</v>
      </c>
      <c r="T39" s="1725" t="s">
        <v>25</v>
      </c>
      <c r="U39" s="1726">
        <f t="shared" si="13"/>
        <v>100</v>
      </c>
      <c r="V39" s="1725" t="s">
        <v>25</v>
      </c>
      <c r="W39" s="1726">
        <f t="shared" si="14"/>
        <v>100</v>
      </c>
      <c r="X39" s="4102"/>
      <c r="Y39" s="4496" t="s">
        <v>2275</v>
      </c>
      <c r="Z39" s="4103" t="str">
        <f t="shared" si="15"/>
        <v>物业管理</v>
      </c>
      <c r="AA39" s="4106">
        <f t="shared" si="3"/>
        <v>1</v>
      </c>
      <c r="AB39" s="4106">
        <f t="shared" si="4"/>
        <v>1</v>
      </c>
      <c r="AC39" s="4106">
        <f t="shared" si="5"/>
        <v>1</v>
      </c>
    </row>
    <row r="40" spans="1:29" ht="15">
      <c r="A40" s="1772"/>
      <c r="B40" s="1695" t="s">
        <v>2364</v>
      </c>
      <c r="C40" s="1752" t="s">
        <v>3525</v>
      </c>
      <c r="D40" s="1711">
        <v>100</v>
      </c>
      <c r="E40" s="1752" t="s">
        <v>3525</v>
      </c>
      <c r="F40" s="1754">
        <f>SUMIF(117:117,E40,118:118)-SUMIF(117:117,C40,118:118)+100</f>
        <v>100</v>
      </c>
      <c r="G40" s="1752" t="s">
        <v>3525</v>
      </c>
      <c r="H40" s="1711">
        <f>SUMIF(117:117,G40,118:118)-SUMIF(117:117,C40,118:118)+100</f>
        <v>100</v>
      </c>
      <c r="I40" s="1752" t="s">
        <v>3525</v>
      </c>
      <c r="J40" s="1711">
        <f>SUMIF(117:117,I40,118:118)-SUMIF(117:117,C40,118:118)+100</f>
        <v>100</v>
      </c>
      <c r="K40" s="1992"/>
      <c r="L40" s="3000"/>
      <c r="M40" s="2996"/>
      <c r="N40" s="2996"/>
      <c r="O40" s="2996"/>
      <c r="P40" s="4496"/>
      <c r="Q40" s="4105" t="str">
        <f t="shared" si="11"/>
        <v>市政基础设施</v>
      </c>
      <c r="R40" s="1725" t="s">
        <v>25</v>
      </c>
      <c r="S40" s="1726">
        <f t="shared" si="12"/>
        <v>100</v>
      </c>
      <c r="T40" s="1725" t="s">
        <v>25</v>
      </c>
      <c r="U40" s="1726">
        <f t="shared" si="13"/>
        <v>100</v>
      </c>
      <c r="V40" s="1725" t="s">
        <v>25</v>
      </c>
      <c r="W40" s="1726">
        <f t="shared" si="14"/>
        <v>100</v>
      </c>
      <c r="X40" s="4102"/>
      <c r="Y40" s="4496"/>
      <c r="Z40" s="4103" t="str">
        <f t="shared" si="15"/>
        <v>市政基础设施</v>
      </c>
      <c r="AA40" s="4106">
        <f t="shared" si="3"/>
        <v>1</v>
      </c>
      <c r="AB40" s="4106">
        <f t="shared" si="4"/>
        <v>1</v>
      </c>
      <c r="AC40" s="4106">
        <f t="shared" si="5"/>
        <v>1</v>
      </c>
    </row>
    <row r="41" spans="1:29" ht="15">
      <c r="A41" s="1772"/>
      <c r="B41" s="1695" t="s">
        <v>2366</v>
      </c>
      <c r="C41" s="1991" t="s">
        <v>4243</v>
      </c>
      <c r="D41" s="1711">
        <v>100</v>
      </c>
      <c r="E41" s="1991" t="s">
        <v>4243</v>
      </c>
      <c r="F41" s="1754">
        <f>SUMIF(119:119,E41,120:120)-SUMIF(119:119,C41,120:120)+100</f>
        <v>100</v>
      </c>
      <c r="G41" s="1991" t="s">
        <v>4243</v>
      </c>
      <c r="H41" s="1711">
        <f>SUMIF(119:119,G41,120:120)-SUMIF(119:119,C41,120:120)+100</f>
        <v>100</v>
      </c>
      <c r="I41" s="1991" t="s">
        <v>4243</v>
      </c>
      <c r="J41" s="1711">
        <f>SUMIF(119:119,I41,120:120)-SUMIF(119:119,C41,120:120)+100</f>
        <v>100</v>
      </c>
      <c r="K41" s="1992"/>
      <c r="L41" s="3000"/>
      <c r="M41" s="2996"/>
      <c r="N41" s="2996"/>
      <c r="O41" s="2996"/>
      <c r="P41" s="4496"/>
      <c r="Q41" s="4105" t="str">
        <f t="shared" si="11"/>
        <v>层高</v>
      </c>
      <c r="R41" s="1725" t="s">
        <v>25</v>
      </c>
      <c r="S41" s="1726">
        <f t="shared" si="12"/>
        <v>100</v>
      </c>
      <c r="T41" s="1725" t="s">
        <v>25</v>
      </c>
      <c r="U41" s="1726">
        <f t="shared" si="13"/>
        <v>100</v>
      </c>
      <c r="V41" s="1725" t="s">
        <v>25</v>
      </c>
      <c r="W41" s="1726">
        <f t="shared" si="14"/>
        <v>100</v>
      </c>
      <c r="X41" s="4102"/>
      <c r="Y41" s="4496"/>
      <c r="Z41" s="4103" t="str">
        <f t="shared" si="15"/>
        <v>层高</v>
      </c>
      <c r="AA41" s="4106">
        <f t="shared" si="3"/>
        <v>1</v>
      </c>
      <c r="AB41" s="4106">
        <f t="shared" si="4"/>
        <v>1</v>
      </c>
      <c r="AC41" s="4106">
        <f t="shared" si="5"/>
        <v>1</v>
      </c>
    </row>
    <row r="42" spans="1:29" s="1771" customFormat="1" ht="15" hidden="1">
      <c r="A42" s="1764"/>
      <c r="B42" s="4107" t="s">
        <v>2392</v>
      </c>
      <c r="C42" s="1710"/>
      <c r="D42" s="1711">
        <v>100</v>
      </c>
      <c r="E42" s="1710"/>
      <c r="F42" s="1754">
        <f>SUMIF(121:121,E42,122:122)-SUMIF(121:121,C42,122:122)+100</f>
        <v>100</v>
      </c>
      <c r="G42" s="1710"/>
      <c r="H42" s="1711">
        <f>SUMIF(121:121,G42,122:122)-SUMIF(121:121,C42,122:122)+100</f>
        <v>100</v>
      </c>
      <c r="I42" s="1710"/>
      <c r="J42" s="1711">
        <f>SUMIF(121:121,I42,122:122)-SUMIF(121:121,C42,122:122)+100</f>
        <v>100</v>
      </c>
      <c r="K42" s="1989"/>
      <c r="L42" s="2999"/>
      <c r="M42" s="2059"/>
      <c r="N42" s="2059"/>
      <c r="O42" s="2059"/>
      <c r="P42" s="4496"/>
      <c r="Q42" s="1766" t="str">
        <f t="shared" si="11"/>
        <v>单套建筑面积</v>
      </c>
      <c r="R42" s="1767" t="s">
        <v>25</v>
      </c>
      <c r="S42" s="1768">
        <f t="shared" si="12"/>
        <v>100</v>
      </c>
      <c r="T42" s="1767" t="s">
        <v>25</v>
      </c>
      <c r="U42" s="1768">
        <f t="shared" si="13"/>
        <v>100</v>
      </c>
      <c r="V42" s="1767" t="s">
        <v>25</v>
      </c>
      <c r="W42" s="1768">
        <f t="shared" si="14"/>
        <v>100</v>
      </c>
      <c r="X42" s="1769"/>
      <c r="Y42" s="4496"/>
      <c r="Z42" s="1770" t="str">
        <f t="shared" si="15"/>
        <v>单套建筑面积</v>
      </c>
      <c r="AA42" s="4106">
        <f t="shared" si="3"/>
        <v>1</v>
      </c>
      <c r="AB42" s="4106">
        <f t="shared" si="4"/>
        <v>1</v>
      </c>
      <c r="AC42" s="4106">
        <f t="shared" si="5"/>
        <v>1</v>
      </c>
    </row>
    <row r="43" spans="1:29" ht="15">
      <c r="A43" s="1772"/>
      <c r="B43" s="1695" t="s">
        <v>2369</v>
      </c>
      <c r="C43" s="1752" t="s">
        <v>2896</v>
      </c>
      <c r="D43" s="1711">
        <v>100</v>
      </c>
      <c r="E43" s="1752" t="s">
        <v>2896</v>
      </c>
      <c r="F43" s="1754">
        <f>SUMIF(123:123,E43,124:124)-SUMIF(123:123,C43,124:124)+100</f>
        <v>100</v>
      </c>
      <c r="G43" s="1752" t="s">
        <v>2896</v>
      </c>
      <c r="H43" s="1711">
        <f>SUMIF(123:123,G43,124:124)-SUMIF(123:123,C43,124:124)+100</f>
        <v>100</v>
      </c>
      <c r="I43" s="1752" t="s">
        <v>2896</v>
      </c>
      <c r="J43" s="1711">
        <f>SUMIF(123:123,I43,124:124)-SUMIF(123:123,C43,124:124)+100</f>
        <v>100</v>
      </c>
      <c r="K43" s="1992">
        <v>2</v>
      </c>
      <c r="L43" s="3000"/>
      <c r="M43" s="2996"/>
      <c r="N43" s="2996"/>
      <c r="O43" s="2996"/>
      <c r="P43" s="4496"/>
      <c r="Q43" s="4105" t="str">
        <f t="shared" si="11"/>
        <v>内部装修</v>
      </c>
      <c r="R43" s="1725" t="s">
        <v>25</v>
      </c>
      <c r="S43" s="1726">
        <f t="shared" si="12"/>
        <v>100</v>
      </c>
      <c r="T43" s="1725" t="s">
        <v>25</v>
      </c>
      <c r="U43" s="1726">
        <f t="shared" si="13"/>
        <v>100</v>
      </c>
      <c r="V43" s="1725" t="s">
        <v>25</v>
      </c>
      <c r="W43" s="1726">
        <f t="shared" si="14"/>
        <v>100</v>
      </c>
      <c r="X43" s="4102"/>
      <c r="Y43" s="4496"/>
      <c r="Z43" s="4103" t="str">
        <f t="shared" si="15"/>
        <v>内部装修</v>
      </c>
      <c r="AA43" s="4106">
        <f t="shared" si="3"/>
        <v>1</v>
      </c>
      <c r="AB43" s="4106">
        <f t="shared" si="4"/>
        <v>1</v>
      </c>
      <c r="AC43" s="4106">
        <f t="shared" si="5"/>
        <v>1</v>
      </c>
    </row>
    <row r="44" spans="1:29" ht="15" hidden="1">
      <c r="A44" s="1772"/>
      <c r="B44" s="1695" t="s">
        <v>2286</v>
      </c>
      <c r="C44" s="1752" t="s">
        <v>30</v>
      </c>
      <c r="D44" s="1711">
        <v>100</v>
      </c>
      <c r="E44" s="1752" t="s">
        <v>30</v>
      </c>
      <c r="F44" s="1754">
        <f>SUMIF(125:125,E44,126:126)-SUMIF(125:125,C44,126:126)+100</f>
        <v>100</v>
      </c>
      <c r="G44" s="1752" t="s">
        <v>30</v>
      </c>
      <c r="H44" s="1711">
        <f>SUMIF(125:125,G44,126:126)-SUMIF(125:125,C44,126:126)+100</f>
        <v>100</v>
      </c>
      <c r="I44" s="1752" t="s">
        <v>30</v>
      </c>
      <c r="J44" s="1711">
        <f>SUMIF(125:125,I44,126:126)-SUMIF(125:125,C44,126:126)+100</f>
        <v>100</v>
      </c>
      <c r="K44" s="1992">
        <v>5</v>
      </c>
      <c r="L44" s="3000"/>
      <c r="M44" s="2996"/>
      <c r="N44" s="2996"/>
      <c r="O44" s="2996"/>
      <c r="P44" s="4496"/>
      <c r="Q44" s="4105" t="str">
        <f t="shared" si="11"/>
        <v>内部装修维护情况</v>
      </c>
      <c r="R44" s="1725" t="s">
        <v>25</v>
      </c>
      <c r="S44" s="1726">
        <f t="shared" si="12"/>
        <v>100</v>
      </c>
      <c r="T44" s="1725" t="s">
        <v>25</v>
      </c>
      <c r="U44" s="1726">
        <f t="shared" si="13"/>
        <v>100</v>
      </c>
      <c r="V44" s="1725" t="s">
        <v>25</v>
      </c>
      <c r="W44" s="1726">
        <f t="shared" si="14"/>
        <v>100</v>
      </c>
      <c r="X44" s="4102"/>
      <c r="Y44" s="4496"/>
      <c r="Z44" s="4103" t="str">
        <f t="shared" si="15"/>
        <v>内部装修维护情况</v>
      </c>
      <c r="AA44" s="4106">
        <f t="shared" si="3"/>
        <v>1</v>
      </c>
      <c r="AB44" s="4106">
        <f t="shared" si="4"/>
        <v>1</v>
      </c>
      <c r="AC44" s="4106">
        <f t="shared" si="5"/>
        <v>1</v>
      </c>
    </row>
    <row r="45" spans="1:29" s="1684" customFormat="1" ht="15">
      <c r="A45" s="1775"/>
      <c r="B45" s="4116" t="s">
        <v>4993</v>
      </c>
      <c r="C45" s="4117" t="s">
        <v>4994</v>
      </c>
      <c r="D45" s="1697">
        <v>100</v>
      </c>
      <c r="E45" s="4118" t="s">
        <v>4996</v>
      </c>
      <c r="F45" s="1699">
        <f>SUMIF(127:127,E45,128:128)-SUMIF(127:127,C45,128:128)+100</f>
        <v>85</v>
      </c>
      <c r="G45" s="4118" t="s">
        <v>4996</v>
      </c>
      <c r="H45" s="1697">
        <f>SUMIF(127:127,G45,128:128)-SUMIF(127:127,C45,128:128)+100</f>
        <v>85</v>
      </c>
      <c r="I45" s="4118" t="s">
        <v>4996</v>
      </c>
      <c r="J45" s="1697">
        <f>SUMIF(127:127,I45,128:128)-SUMIF(127:127,C45,128:128)+100</f>
        <v>85</v>
      </c>
      <c r="K45" s="1989"/>
      <c r="L45" s="2995"/>
      <c r="M45" s="2968"/>
      <c r="N45" s="2968"/>
      <c r="O45" s="2968"/>
      <c r="P45" s="4496"/>
      <c r="Q45" s="4099" t="str">
        <f t="shared" si="11"/>
        <v>物业类型</v>
      </c>
      <c r="R45" s="1680" t="s">
        <v>25</v>
      </c>
      <c r="S45" s="1681">
        <f t="shared" si="12"/>
        <v>85</v>
      </c>
      <c r="T45" s="1680" t="s">
        <v>25</v>
      </c>
      <c r="U45" s="1681">
        <f t="shared" si="13"/>
        <v>85</v>
      </c>
      <c r="V45" s="1680" t="s">
        <v>25</v>
      </c>
      <c r="W45" s="1681">
        <f t="shared" si="14"/>
        <v>85</v>
      </c>
      <c r="X45" s="1682"/>
      <c r="Y45" s="4496"/>
      <c r="Z45" s="1693" t="str">
        <f t="shared" si="15"/>
        <v>物业类型</v>
      </c>
      <c r="AA45" s="1683">
        <f t="shared" si="3"/>
        <v>1.1764705882352942</v>
      </c>
      <c r="AB45" s="1683">
        <f t="shared" si="4"/>
        <v>1.1764705882352942</v>
      </c>
      <c r="AC45" s="1683">
        <f t="shared" si="5"/>
        <v>1.1764705882352942</v>
      </c>
    </row>
    <row r="46" spans="1:29" ht="15">
      <c r="A46" s="1772"/>
      <c r="B46" s="3859" t="s">
        <v>4999</v>
      </c>
      <c r="C46" s="3727" t="s">
        <v>4997</v>
      </c>
      <c r="D46" s="1711">
        <v>100</v>
      </c>
      <c r="E46" s="4118" t="s">
        <v>4998</v>
      </c>
      <c r="F46" s="1754">
        <f>SUMIF(129:129,E46,130:130)-SUMIF(129:129,C46,130:130)+100</f>
        <v>95</v>
      </c>
      <c r="G46" s="4118" t="s">
        <v>4998</v>
      </c>
      <c r="H46" s="1711">
        <f>SUMIF(129:129,G46,130:130)-SUMIF(129:129,C46,130:130)+100</f>
        <v>95</v>
      </c>
      <c r="I46" s="4118" t="s">
        <v>4998</v>
      </c>
      <c r="J46" s="1711">
        <f>SUMIF(129:129,I46,130:130)-SUMIF(129:129,C46,130:130)+100</f>
        <v>95</v>
      </c>
      <c r="K46" s="1989"/>
      <c r="L46" s="3000"/>
      <c r="M46" s="2996"/>
      <c r="N46" s="2996"/>
      <c r="O46" s="2996"/>
      <c r="P46" s="4496"/>
      <c r="Q46" s="4105" t="e">
        <f>#REF!</f>
        <v>#REF!</v>
      </c>
      <c r="R46" s="1725" t="s">
        <v>25</v>
      </c>
      <c r="S46" s="1726">
        <f t="shared" si="12"/>
        <v>95</v>
      </c>
      <c r="T46" s="1725" t="s">
        <v>25</v>
      </c>
      <c r="U46" s="1726">
        <f t="shared" si="13"/>
        <v>95</v>
      </c>
      <c r="V46" s="1725" t="s">
        <v>25</v>
      </c>
      <c r="W46" s="1726">
        <f t="shared" si="14"/>
        <v>95</v>
      </c>
      <c r="X46" s="4102"/>
      <c r="Y46" s="4496"/>
      <c r="Z46" s="4103" t="e">
        <f t="shared" si="15"/>
        <v>#REF!</v>
      </c>
      <c r="AA46" s="4106">
        <f t="shared" si="3"/>
        <v>1.0526315789473684</v>
      </c>
      <c r="AB46" s="4106">
        <f t="shared" si="4"/>
        <v>1.0526315789473684</v>
      </c>
      <c r="AC46" s="4106">
        <f t="shared" si="5"/>
        <v>1.0526315789473684</v>
      </c>
    </row>
    <row r="47" spans="1:29" ht="15.75" thickBot="1">
      <c r="A47" s="1780"/>
      <c r="B47" s="4114"/>
      <c r="C47" s="1714"/>
      <c r="D47" s="1715">
        <v>100</v>
      </c>
      <c r="E47" s="1707"/>
      <c r="F47" s="1716">
        <f>SUMIF(131:131,E47,132:132)-SUMIF(131:131,C47,132:132)+100</f>
        <v>100</v>
      </c>
      <c r="G47" s="1707"/>
      <c r="H47" s="1715">
        <f>SUMIF(131:131,G47,132:132)-SUMIF(131:131,C47,132:132)+100</f>
        <v>100</v>
      </c>
      <c r="I47" s="1707"/>
      <c r="J47" s="1715">
        <f>SUMIF(131:131,I47,132:132)-SUMIF(131:131,C47,132:132)+100</f>
        <v>100</v>
      </c>
      <c r="K47" s="1989"/>
      <c r="L47" s="3000"/>
      <c r="M47" s="2996"/>
      <c r="N47" s="2996"/>
      <c r="O47" s="2996"/>
      <c r="P47" s="4497"/>
      <c r="Q47" s="4105" t="e">
        <f>#REF!</f>
        <v>#REF!</v>
      </c>
      <c r="R47" s="1725" t="s">
        <v>25</v>
      </c>
      <c r="S47" s="1726">
        <f t="shared" si="12"/>
        <v>100</v>
      </c>
      <c r="T47" s="1725" t="s">
        <v>25</v>
      </c>
      <c r="U47" s="1726">
        <f t="shared" si="13"/>
        <v>100</v>
      </c>
      <c r="V47" s="1725" t="s">
        <v>25</v>
      </c>
      <c r="W47" s="1726">
        <f t="shared" si="14"/>
        <v>100</v>
      </c>
      <c r="X47" s="4102"/>
      <c r="Y47" s="4497"/>
      <c r="Z47" s="4103" t="e">
        <f t="shared" si="15"/>
        <v>#REF!</v>
      </c>
      <c r="AA47" s="4106">
        <f t="shared" si="3"/>
        <v>1</v>
      </c>
      <c r="AB47" s="4106">
        <f t="shared" si="4"/>
        <v>1</v>
      </c>
      <c r="AC47" s="4106">
        <f t="shared" si="5"/>
        <v>1</v>
      </c>
    </row>
    <row r="48" spans="1:29" ht="15">
      <c r="A48" s="1781" t="s">
        <v>2287</v>
      </c>
      <c r="B48" s="1782"/>
      <c r="C48" s="1783" t="s">
        <v>1</v>
      </c>
      <c r="D48" s="1784"/>
      <c r="E48" s="1785">
        <f>合同租金汇总!I9-1.2</f>
        <v>7.3</v>
      </c>
      <c r="F48" s="1786"/>
      <c r="G48" s="1787">
        <f>合同租金汇总!I14-1.2</f>
        <v>7.3</v>
      </c>
      <c r="H48" s="1788"/>
      <c r="I48" s="4187">
        <v>7.3</v>
      </c>
      <c r="J48" s="1788"/>
      <c r="K48" s="2013"/>
      <c r="L48" s="3001"/>
      <c r="M48" s="2996"/>
      <c r="N48" s="2996"/>
      <c r="O48" s="2996"/>
      <c r="P48" s="4488" t="str">
        <f>A48</f>
        <v>成交单价（元/平方米）</v>
      </c>
      <c r="Q48" s="4488"/>
      <c r="R48" s="4745">
        <f>E48</f>
        <v>7.3</v>
      </c>
      <c r="S48" s="4745"/>
      <c r="T48" s="4745">
        <f>G48</f>
        <v>7.3</v>
      </c>
      <c r="U48" s="4745"/>
      <c r="V48" s="4745">
        <f>I48</f>
        <v>7.3</v>
      </c>
      <c r="W48" s="4745"/>
      <c r="X48" s="1791"/>
      <c r="Y48" s="4104"/>
      <c r="Z48" s="1791"/>
      <c r="AA48" s="1791"/>
      <c r="AB48" s="1791"/>
      <c r="AC48" s="1791"/>
    </row>
    <row r="49" spans="1:29" ht="15.75" thickBot="1">
      <c r="A49" s="1793" t="s">
        <v>2288</v>
      </c>
      <c r="B49" s="1794"/>
      <c r="C49" s="4209">
        <f>R50</f>
        <v>9.24</v>
      </c>
      <c r="D49" s="1796" t="s">
        <v>2738</v>
      </c>
      <c r="E49" s="1797">
        <f>R49</f>
        <v>9.25</v>
      </c>
      <c r="F49" s="1798"/>
      <c r="G49" s="1795">
        <f>T49</f>
        <v>9.23</v>
      </c>
      <c r="H49" s="1798"/>
      <c r="I49" s="1797">
        <f>V49</f>
        <v>9.23</v>
      </c>
      <c r="J49" s="1798"/>
      <c r="K49" s="2509">
        <f>F49+H49+J49</f>
        <v>0</v>
      </c>
      <c r="L49" s="3001"/>
      <c r="M49" s="2996"/>
      <c r="N49" s="2996"/>
      <c r="O49" s="2996"/>
      <c r="P49" s="4488" t="str">
        <f>A49</f>
        <v>比较价值（元/平方米）</v>
      </c>
      <c r="Q49" s="4488"/>
      <c r="R49" s="4745">
        <f>IF(E1="售价",ROUND(PRODUCT(R48,AA7:AA47),2),ROUND(PRODUCT(R48,AA7:AA47),2))</f>
        <v>9.25</v>
      </c>
      <c r="S49" s="4745"/>
      <c r="T49" s="4745">
        <f>IF(E1="售价",ROUND(PRODUCT(T48,AB7:AB47),2),ROUND(PRODUCT(T48,AB7:AB47),2))</f>
        <v>9.23</v>
      </c>
      <c r="U49" s="4745"/>
      <c r="V49" s="4745">
        <f>IF(E1="售价",ROUND(PRODUCT(V48,AC7:AC47),2),ROUND(PRODUCT(V48,AC7:AC47),2))</f>
        <v>9.23</v>
      </c>
      <c r="W49" s="4745"/>
      <c r="X49" s="1791"/>
      <c r="Y49" s="1791"/>
      <c r="Z49" s="1791"/>
      <c r="AA49" s="1791"/>
      <c r="AB49" s="1791"/>
      <c r="AC49" s="1791"/>
    </row>
    <row r="50" spans="1:29" ht="15.75" thickBot="1">
      <c r="A50" s="1799" t="s">
        <v>2289</v>
      </c>
      <c r="B50" s="1800"/>
      <c r="C50" s="4210">
        <f>R50</f>
        <v>9.24</v>
      </c>
      <c r="D50" s="1802"/>
      <c r="E50" s="1802"/>
      <c r="F50" s="1802"/>
      <c r="G50" s="1802"/>
      <c r="H50" s="1802"/>
      <c r="I50" s="1802"/>
      <c r="J50" s="1802"/>
      <c r="K50" s="2018"/>
      <c r="L50" s="3001"/>
      <c r="M50" s="2996"/>
      <c r="N50" s="2996"/>
      <c r="O50" s="2996"/>
      <c r="P50" s="4485" t="str">
        <f>A50</f>
        <v>估价对象XX用房的比较价值（楼面单价，元/平方米）</v>
      </c>
      <c r="Q50" s="4486"/>
      <c r="R50" s="4746">
        <f>IF(E1="售价",ROUND(IF(D49="简单平均",AVERAGE(R49:V49),R49*F49+T49*H49+V49*J49),2),ROUND(IF(D49="简单平均",AVERAGE(R49:V49),R49*F49+T49*H49+V49*J49),2))</f>
        <v>9.24</v>
      </c>
      <c r="S50" s="4746"/>
      <c r="T50" s="4746"/>
      <c r="U50" s="4746"/>
      <c r="V50" s="4746"/>
      <c r="W50" s="4746"/>
      <c r="X50" s="1791"/>
      <c r="Y50" s="1791"/>
      <c r="Z50" s="1791"/>
      <c r="AA50" s="1791"/>
      <c r="AB50" s="1791"/>
      <c r="AC50" s="1791"/>
    </row>
    <row r="51" spans="1:29">
      <c r="C51" s="1666">
        <v>2004</v>
      </c>
      <c r="E51" s="1666">
        <v>2006</v>
      </c>
      <c r="G51" s="3007">
        <v>2000</v>
      </c>
      <c r="I51" s="1666">
        <v>2001</v>
      </c>
    </row>
    <row r="53" spans="1:29" ht="13.5" customHeight="1">
      <c r="C53" s="383" t="s">
        <v>2290</v>
      </c>
      <c r="D53" s="1807"/>
      <c r="E53" s="1808">
        <f>IF(E48&lt;E49,E49/E48-1,E48/E49-1)</f>
        <v>0.26712328767123283</v>
      </c>
      <c r="F53" s="1809" t="str">
        <f>IF(OR(E53&gt;=0.3,E53&lt;=-0.3),"超过30%","")</f>
        <v/>
      </c>
      <c r="G53" s="1808">
        <f>IF(G48&lt;G49,G49/G48-1,G48/G49-1)</f>
        <v>0.2643835616438357</v>
      </c>
      <c r="H53" s="1809" t="str">
        <f>IF(OR(G53&gt;=0.3,G53&lt;=-0.3),"超过30%","")</f>
        <v/>
      </c>
      <c r="I53" s="1808">
        <f>IF(I48&lt;I49,I49/I48-1,I48/I49-1)</f>
        <v>0.2643835616438357</v>
      </c>
      <c r="J53" s="1809" t="str">
        <f>IF(OR(I53&gt;=0.3,I53&lt;=-0.3),"超过30%","")</f>
        <v/>
      </c>
    </row>
    <row r="54" spans="1:29" ht="13.5" customHeight="1">
      <c r="C54" s="383" t="s">
        <v>2291</v>
      </c>
      <c r="D54" s="1810"/>
      <c r="E54" s="1808">
        <f>IF(E49&lt;G49,G49/E49-1,E49/G49-1)</f>
        <v>2.1668472372697867E-3</v>
      </c>
      <c r="F54" s="1809" t="str">
        <f>IF(OR(E54&gt;=0.2,E54&lt;=-0.2),"超过20%","")</f>
        <v/>
      </c>
      <c r="G54" s="1808">
        <f>IF(G49&lt;I49,I49/G49-1,G49/I49-1)</f>
        <v>0</v>
      </c>
      <c r="H54" s="1809" t="str">
        <f>IF(OR(G54&gt;=0.2,G54&lt;=-0.2),"超过20%","")</f>
        <v/>
      </c>
      <c r="I54" s="1808">
        <f>IF(I49&lt;E49,E49/I49-1,I49/E49-1)</f>
        <v>2.1668472372697867E-3</v>
      </c>
      <c r="J54" s="1809" t="str">
        <f>IF(OR(I54&gt;=0.2,I54&lt;=-0.2),"超过20%","")</f>
        <v/>
      </c>
    </row>
    <row r="55" spans="1:29" s="1813" customFormat="1" ht="13.5" customHeight="1">
      <c r="C55" s="383" t="s">
        <v>2292</v>
      </c>
      <c r="D55" s="1810"/>
      <c r="E55" s="1808">
        <f>IF(E48&lt;G48,G48/E48-1,E48/G48-1)</f>
        <v>0</v>
      </c>
      <c r="F55" s="1809" t="str">
        <f>IF(OR(E55&gt;=0.3,E55&lt;=-0.3),"超过30%","")</f>
        <v/>
      </c>
      <c r="G55" s="1808">
        <f>IF(G48&lt;I48,I48/G48-1,G48/I48-1)</f>
        <v>0</v>
      </c>
      <c r="H55" s="1809" t="str">
        <f>IF(OR(G55&gt;=0.3,G55&lt;=-0.3),"超过30%","")</f>
        <v/>
      </c>
      <c r="I55" s="1808">
        <f>IF(I48&lt;E48,E48/I48-1,I48/E48-1)</f>
        <v>0</v>
      </c>
      <c r="J55" s="1809" t="str">
        <f>IF(OR(I55&gt;=0.3,I55&lt;=-0.3),"超过30%","")</f>
        <v/>
      </c>
      <c r="K55" s="3008"/>
      <c r="L55" s="3002"/>
    </row>
    <row r="56" spans="1:29" s="1813" customFormat="1">
      <c r="B56" s="3006"/>
      <c r="C56" s="3007"/>
      <c r="K56" s="3008"/>
      <c r="L56" s="3002"/>
    </row>
    <row r="57" spans="1:29">
      <c r="B57" s="3006"/>
      <c r="C57" s="3007"/>
    </row>
    <row r="58" spans="1:29" ht="21.75" thickBot="1">
      <c r="A58" s="1816" t="s">
        <v>2293</v>
      </c>
      <c r="B58" s="1791"/>
      <c r="C58" s="1817"/>
      <c r="D58" s="1817"/>
      <c r="E58" s="1817"/>
      <c r="F58" s="1817"/>
      <c r="G58" s="1817"/>
      <c r="H58" s="1817"/>
      <c r="I58" s="1817"/>
      <c r="J58" s="1817"/>
      <c r="K58" s="1818"/>
      <c r="L58" s="1819"/>
      <c r="M58" s="1817"/>
      <c r="N58" s="3004"/>
      <c r="O58" s="3004"/>
      <c r="P58" s="2045"/>
      <c r="Q58" s="1821"/>
    </row>
    <row r="59" spans="1:29" s="1827" customFormat="1" ht="15">
      <c r="A59" s="1822" t="s">
        <v>2257</v>
      </c>
      <c r="B59" s="1823"/>
      <c r="C59" s="1824" t="str">
        <f>YEAR(C7)&amp;"-"&amp;MONTH(C7)</f>
        <v>2018-1</v>
      </c>
      <c r="D59" s="1825">
        <f>EDATE(C59,-1)</f>
        <v>43070</v>
      </c>
      <c r="E59" s="1825">
        <f t="shared" ref="E59:O59" si="16">EDATE(D59,-1)</f>
        <v>43040</v>
      </c>
      <c r="F59" s="1825">
        <f t="shared" si="16"/>
        <v>43009</v>
      </c>
      <c r="G59" s="1825">
        <f t="shared" si="16"/>
        <v>42979</v>
      </c>
      <c r="H59" s="1825">
        <f t="shared" si="16"/>
        <v>42948</v>
      </c>
      <c r="I59" s="1825">
        <f t="shared" si="16"/>
        <v>42917</v>
      </c>
      <c r="J59" s="1825">
        <f t="shared" si="16"/>
        <v>42887</v>
      </c>
      <c r="K59" s="1825">
        <f t="shared" si="16"/>
        <v>42856</v>
      </c>
      <c r="L59" s="1825">
        <f t="shared" si="16"/>
        <v>42826</v>
      </c>
      <c r="M59" s="1825">
        <f t="shared" si="16"/>
        <v>42795</v>
      </c>
      <c r="N59" s="1825">
        <f t="shared" si="16"/>
        <v>42767</v>
      </c>
      <c r="O59" s="1825">
        <f t="shared" si="16"/>
        <v>42736</v>
      </c>
      <c r="P59" s="2502"/>
    </row>
    <row r="60" spans="1:29" s="1684" customFormat="1" ht="15">
      <c r="A60" s="1828"/>
      <c r="B60" s="1829"/>
      <c r="C60" s="1830">
        <v>100</v>
      </c>
      <c r="D60" s="1831">
        <v>99.8</v>
      </c>
      <c r="E60" s="1831">
        <v>99.8</v>
      </c>
      <c r="F60" s="1831">
        <v>99.8</v>
      </c>
      <c r="G60" s="1831">
        <v>99.8</v>
      </c>
      <c r="H60" s="1831">
        <v>99.8</v>
      </c>
      <c r="I60" s="1831">
        <v>99.8</v>
      </c>
      <c r="J60" s="1831">
        <v>99.6</v>
      </c>
      <c r="K60" s="1831">
        <v>99.6</v>
      </c>
      <c r="L60" s="1831">
        <v>99.6</v>
      </c>
      <c r="M60" s="1831">
        <v>99.6</v>
      </c>
      <c r="N60" s="1831">
        <v>99.6</v>
      </c>
      <c r="O60" s="1831">
        <v>99.6</v>
      </c>
      <c r="P60" s="1821"/>
    </row>
    <row r="61" spans="1:29" s="1684" customFormat="1" ht="15.75" thickBot="1">
      <c r="A61" s="1834" t="s">
        <v>2295</v>
      </c>
      <c r="B61" s="1835"/>
      <c r="C61" s="1836"/>
      <c r="D61" s="1837"/>
      <c r="E61" s="1837"/>
      <c r="F61" s="1837"/>
      <c r="G61" s="1837"/>
      <c r="H61" s="1837"/>
      <c r="I61" s="1837"/>
      <c r="J61" s="1837"/>
      <c r="K61" s="1837"/>
      <c r="L61" s="1837"/>
      <c r="M61" s="1838"/>
      <c r="N61" s="1837"/>
      <c r="O61" s="2503"/>
      <c r="P61" s="1821"/>
      <c r="Q61" s="1821"/>
    </row>
    <row r="62" spans="1:29" s="1684" customFormat="1" ht="15">
      <c r="A62" s="1839" t="s">
        <v>2259</v>
      </c>
      <c r="B62" s="1829"/>
      <c r="C62" s="1840" t="s">
        <v>2260</v>
      </c>
      <c r="D62" s="409"/>
      <c r="E62" s="409"/>
      <c r="F62" s="409"/>
      <c r="G62" s="409"/>
      <c r="H62" s="409"/>
      <c r="I62" s="409"/>
      <c r="J62" s="409"/>
      <c r="K62" s="409"/>
      <c r="L62" s="409"/>
      <c r="M62" s="1841"/>
      <c r="N62" s="3013"/>
      <c r="O62" s="3013"/>
      <c r="P62" s="2056"/>
      <c r="Q62" s="1821"/>
    </row>
    <row r="63" spans="1:29" s="1684" customFormat="1" ht="15.75" thickBot="1">
      <c r="A63" s="1839"/>
      <c r="B63" s="1829"/>
      <c r="C63" s="1844">
        <v>100</v>
      </c>
      <c r="D63" s="1831"/>
      <c r="E63" s="1831"/>
      <c r="F63" s="1831"/>
      <c r="G63" s="1831"/>
      <c r="H63" s="1831"/>
      <c r="I63" s="1831"/>
      <c r="J63" s="1831"/>
      <c r="K63" s="1831"/>
      <c r="L63" s="1831"/>
      <c r="M63" s="1845"/>
      <c r="N63" s="3013"/>
      <c r="O63" s="3013"/>
      <c r="P63" s="1821"/>
      <c r="Q63" s="1821"/>
    </row>
    <row r="64" spans="1:29">
      <c r="A64" s="1846" t="s">
        <v>2298</v>
      </c>
      <c r="B64" s="1847" t="s">
        <v>2263</v>
      </c>
      <c r="C64" s="1848" t="str">
        <f>C9</f>
        <v>办公</v>
      </c>
      <c r="D64" s="1849"/>
      <c r="E64" s="1849"/>
      <c r="F64" s="1849"/>
      <c r="G64" s="1849"/>
      <c r="H64" s="1849"/>
      <c r="I64" s="1849"/>
      <c r="J64" s="1849"/>
      <c r="K64" s="417"/>
      <c r="L64" s="417"/>
      <c r="M64" s="1850"/>
      <c r="N64" s="3014"/>
      <c r="O64" s="3014"/>
      <c r="P64" s="2057"/>
      <c r="Q64" s="1821"/>
    </row>
    <row r="65" spans="1:17" ht="15.75" thickBot="1">
      <c r="A65" s="1853"/>
      <c r="B65" s="1854"/>
      <c r="C65" s="1855">
        <v>100</v>
      </c>
      <c r="D65" s="1855"/>
      <c r="E65" s="1855"/>
      <c r="F65" s="1855"/>
      <c r="G65" s="1855"/>
      <c r="H65" s="1855"/>
      <c r="I65" s="1855"/>
      <c r="J65" s="1855"/>
      <c r="K65" s="1855"/>
      <c r="L65" s="1855"/>
      <c r="M65" s="1856"/>
      <c r="N65" s="3015"/>
      <c r="O65" s="3015"/>
      <c r="P65" s="2057"/>
      <c r="Q65" s="1821"/>
    </row>
    <row r="66" spans="1:17" ht="27.75" thickTop="1">
      <c r="A66" s="1853"/>
      <c r="B66" s="1858" t="s">
        <v>2266</v>
      </c>
      <c r="C66" s="1859" t="s">
        <v>2299</v>
      </c>
      <c r="D66" s="1859" t="s">
        <v>2300</v>
      </c>
      <c r="E66" s="1859" t="s">
        <v>2301</v>
      </c>
      <c r="F66" s="1859" t="s">
        <v>2302</v>
      </c>
      <c r="G66" s="1859" t="s">
        <v>2303</v>
      </c>
      <c r="H66" s="1859" t="s">
        <v>2304</v>
      </c>
      <c r="I66" s="1859" t="s">
        <v>2305</v>
      </c>
      <c r="J66" s="1859"/>
      <c r="K66" s="428"/>
      <c r="L66" s="428"/>
      <c r="M66" s="1860"/>
      <c r="N66" s="3014"/>
      <c r="O66" s="3014"/>
      <c r="P66" s="2057"/>
      <c r="Q66" s="1821"/>
    </row>
    <row r="67" spans="1:17" ht="15.75" thickBot="1">
      <c r="A67" s="1853"/>
      <c r="B67" s="1861"/>
      <c r="C67" s="1862" t="s">
        <v>36</v>
      </c>
      <c r="D67" s="1862" t="s">
        <v>36</v>
      </c>
      <c r="E67" s="1862">
        <v>100</v>
      </c>
      <c r="F67" s="1862">
        <f>E67-$K10</f>
        <v>100</v>
      </c>
      <c r="G67" s="1862">
        <f>F67-$K10</f>
        <v>100</v>
      </c>
      <c r="H67" s="1862">
        <f>G67-$K10</f>
        <v>100</v>
      </c>
      <c r="I67" s="1862">
        <f>H67-$K10</f>
        <v>100</v>
      </c>
      <c r="J67" s="1862"/>
      <c r="K67" s="1862"/>
      <c r="L67" s="1862"/>
      <c r="M67" s="1863"/>
      <c r="N67" s="3015"/>
      <c r="O67" s="3015"/>
      <c r="P67" s="2057"/>
      <c r="Q67" s="1821"/>
    </row>
    <row r="68" spans="1:17" ht="15.75" thickTop="1">
      <c r="A68" s="1853"/>
      <c r="B68" s="1864" t="s">
        <v>2267</v>
      </c>
      <c r="C68" s="1865" t="str">
        <f>C69&amp;"（含）"&amp;"-"&amp;D69</f>
        <v>0（含）-1</v>
      </c>
      <c r="D68" s="1865" t="str">
        <f t="shared" ref="D68:L68" si="17">D69&amp;"（含）"&amp;"-"&amp;E69</f>
        <v>1（含）-2</v>
      </c>
      <c r="E68" s="1865" t="str">
        <f t="shared" si="17"/>
        <v>2（含）-3</v>
      </c>
      <c r="F68" s="1865" t="str">
        <f t="shared" si="17"/>
        <v>3（含）-</v>
      </c>
      <c r="G68" s="1865" t="str">
        <f t="shared" si="17"/>
        <v>（含）-</v>
      </c>
      <c r="H68" s="1865" t="str">
        <f t="shared" si="17"/>
        <v>（含）-</v>
      </c>
      <c r="I68" s="1865" t="str">
        <f t="shared" si="17"/>
        <v>（含）-</v>
      </c>
      <c r="J68" s="1865" t="str">
        <f t="shared" si="17"/>
        <v>（含）-</v>
      </c>
      <c r="K68" s="1865" t="str">
        <f t="shared" si="17"/>
        <v>（含）-</v>
      </c>
      <c r="L68" s="1865" t="str">
        <f t="shared" si="17"/>
        <v>（含）-</v>
      </c>
      <c r="M68" s="1731" t="str">
        <f>M69&amp;"（含）"&amp;"-"&amp;P69</f>
        <v>（含）-</v>
      </c>
      <c r="N68" s="3015"/>
      <c r="O68" s="3015"/>
      <c r="P68" s="2057"/>
      <c r="Q68" s="1821"/>
    </row>
    <row r="69" spans="1:17" ht="15">
      <c r="A69" s="1853"/>
      <c r="B69" s="1866"/>
      <c r="C69" s="1867">
        <v>0</v>
      </c>
      <c r="D69" s="1867">
        <v>1</v>
      </c>
      <c r="E69" s="1867">
        <v>2</v>
      </c>
      <c r="F69" s="1867">
        <v>3</v>
      </c>
      <c r="G69" s="1867"/>
      <c r="H69" s="1867"/>
      <c r="I69" s="1867"/>
      <c r="J69" s="1867"/>
      <c r="K69" s="438"/>
      <c r="L69" s="438"/>
      <c r="M69" s="1868"/>
      <c r="N69" s="3014"/>
      <c r="O69" s="3014"/>
      <c r="P69" s="2057"/>
      <c r="Q69" s="1821"/>
    </row>
    <row r="70" spans="1:17" ht="15.75" thickBot="1">
      <c r="A70" s="1853"/>
      <c r="B70" s="1854"/>
      <c r="C70" s="1862">
        <v>100</v>
      </c>
      <c r="D70" s="1862">
        <f t="shared" ref="D70:M70" si="18">C70-$K11</f>
        <v>100</v>
      </c>
      <c r="E70" s="1862">
        <f t="shared" si="18"/>
        <v>100</v>
      </c>
      <c r="F70" s="1862">
        <f t="shared" si="18"/>
        <v>100</v>
      </c>
      <c r="G70" s="1862">
        <f t="shared" si="18"/>
        <v>100</v>
      </c>
      <c r="H70" s="1862">
        <f t="shared" si="18"/>
        <v>100</v>
      </c>
      <c r="I70" s="1862">
        <f t="shared" si="18"/>
        <v>100</v>
      </c>
      <c r="J70" s="1862">
        <f t="shared" si="18"/>
        <v>100</v>
      </c>
      <c r="K70" s="1862">
        <f t="shared" si="18"/>
        <v>100</v>
      </c>
      <c r="L70" s="1862">
        <f t="shared" si="18"/>
        <v>100</v>
      </c>
      <c r="M70" s="1863">
        <f t="shared" si="18"/>
        <v>100</v>
      </c>
      <c r="N70" s="3015"/>
      <c r="O70" s="3015"/>
      <c r="P70" s="2057"/>
      <c r="Q70" s="1821"/>
    </row>
    <row r="71" spans="1:17" s="1771" customFormat="1" ht="15.75" thickTop="1">
      <c r="A71" s="1869"/>
      <c r="B71" s="1858">
        <f>B12</f>
        <v>111</v>
      </c>
      <c r="C71" s="468"/>
      <c r="D71" s="468"/>
      <c r="E71" s="468"/>
      <c r="F71" s="468"/>
      <c r="G71" s="468"/>
      <c r="H71" s="443"/>
      <c r="I71" s="443"/>
      <c r="J71" s="443"/>
      <c r="K71" s="443"/>
      <c r="L71" s="443"/>
      <c r="M71" s="1870"/>
      <c r="N71" s="3016"/>
      <c r="O71" s="3016"/>
      <c r="P71" s="2058"/>
      <c r="Q71" s="1873"/>
    </row>
    <row r="72" spans="1:17" s="1771" customFormat="1" ht="15.75" thickBot="1">
      <c r="A72" s="1869"/>
      <c r="B72" s="1861"/>
      <c r="C72" s="1874"/>
      <c r="D72" s="1855"/>
      <c r="E72" s="1855"/>
      <c r="F72" s="1855"/>
      <c r="G72" s="1855"/>
      <c r="H72" s="1855"/>
      <c r="I72" s="1855"/>
      <c r="J72" s="1855"/>
      <c r="K72" s="1855"/>
      <c r="L72" s="1855"/>
      <c r="M72" s="1856"/>
      <c r="N72" s="3015"/>
      <c r="O72" s="3015"/>
      <c r="P72" s="2058"/>
      <c r="Q72" s="1873"/>
    </row>
    <row r="73" spans="1:17" s="1771" customFormat="1" ht="15.75" thickTop="1">
      <c r="A73" s="1869"/>
      <c r="B73" s="1858">
        <f>B13</f>
        <v>111</v>
      </c>
      <c r="C73" s="468"/>
      <c r="D73" s="468"/>
      <c r="E73" s="468"/>
      <c r="F73" s="468"/>
      <c r="G73" s="468"/>
      <c r="H73" s="443"/>
      <c r="I73" s="443"/>
      <c r="J73" s="443"/>
      <c r="K73" s="443"/>
      <c r="L73" s="443"/>
      <c r="M73" s="1870"/>
      <c r="N73" s="3016"/>
      <c r="O73" s="3016"/>
      <c r="P73" s="2059"/>
      <c r="Q73" s="1876"/>
    </row>
    <row r="74" spans="1:17" s="1771" customFormat="1" ht="15.75" thickBot="1">
      <c r="A74" s="1869"/>
      <c r="B74" s="1861"/>
      <c r="C74" s="1874"/>
      <c r="D74" s="1874"/>
      <c r="E74" s="1874"/>
      <c r="F74" s="1874"/>
      <c r="G74" s="1874"/>
      <c r="H74" s="1877"/>
      <c r="I74" s="1877"/>
      <c r="J74" s="1877"/>
      <c r="K74" s="1877"/>
      <c r="L74" s="1877"/>
      <c r="M74" s="1878"/>
      <c r="N74" s="3016"/>
      <c r="O74" s="3016"/>
      <c r="P74" s="2058"/>
      <c r="Q74" s="1873"/>
    </row>
    <row r="75" spans="1:17" s="1771" customFormat="1" ht="15.75" thickTop="1">
      <c r="A75" s="1869"/>
      <c r="B75" s="1864">
        <f>B14</f>
        <v>111</v>
      </c>
      <c r="C75" s="409"/>
      <c r="D75" s="409"/>
      <c r="E75" s="409"/>
      <c r="F75" s="409"/>
      <c r="G75" s="409"/>
      <c r="H75" s="453"/>
      <c r="I75" s="453"/>
      <c r="J75" s="453"/>
      <c r="K75" s="453"/>
      <c r="L75" s="453"/>
      <c r="M75" s="1879"/>
      <c r="N75" s="3016"/>
      <c r="O75" s="3016"/>
      <c r="P75" s="2058"/>
      <c r="Q75" s="1873"/>
    </row>
    <row r="76" spans="1:17" s="1771" customFormat="1" ht="15.75" thickBot="1">
      <c r="A76" s="1880"/>
      <c r="B76" s="1881"/>
      <c r="C76" s="1882"/>
      <c r="D76" s="1882"/>
      <c r="E76" s="1882"/>
      <c r="F76" s="1882"/>
      <c r="G76" s="1882"/>
      <c r="H76" s="1883"/>
      <c r="I76" s="1883"/>
      <c r="J76" s="1883"/>
      <c r="K76" s="1883"/>
      <c r="L76" s="1883"/>
      <c r="M76" s="1884"/>
      <c r="N76" s="3016"/>
      <c r="O76" s="3016"/>
      <c r="P76" s="2058"/>
      <c r="Q76" s="1873"/>
    </row>
    <row r="77" spans="1:17">
      <c r="A77" s="1846" t="s">
        <v>2268</v>
      </c>
      <c r="B77" s="1847" t="s">
        <v>2394</v>
      </c>
      <c r="C77" s="1885" t="s">
        <v>2307</v>
      </c>
      <c r="D77" s="1885" t="s">
        <v>2308</v>
      </c>
      <c r="E77" s="1885" t="s">
        <v>2309</v>
      </c>
      <c r="F77" s="1885" t="s">
        <v>2310</v>
      </c>
      <c r="G77" s="1885" t="s">
        <v>2311</v>
      </c>
      <c r="H77" s="1848"/>
      <c r="I77" s="1848"/>
      <c r="J77" s="1848"/>
      <c r="K77" s="463"/>
      <c r="L77" s="463"/>
      <c r="M77" s="1886"/>
      <c r="N77" s="3014"/>
      <c r="O77" s="3014"/>
      <c r="P77" s="2057"/>
      <c r="Q77" s="1821"/>
    </row>
    <row r="78" spans="1:17" ht="15.75" thickBot="1">
      <c r="A78" s="1853"/>
      <c r="B78" s="1861"/>
      <c r="C78" s="1862">
        <v>100</v>
      </c>
      <c r="D78" s="1862">
        <f>C78-$K15</f>
        <v>98</v>
      </c>
      <c r="E78" s="1862">
        <f>D78-$K15</f>
        <v>96</v>
      </c>
      <c r="F78" s="1862">
        <f>E78-$K15</f>
        <v>94</v>
      </c>
      <c r="G78" s="1862">
        <f>F78-$K15</f>
        <v>92</v>
      </c>
      <c r="H78" s="1862"/>
      <c r="I78" s="1862"/>
      <c r="J78" s="1862"/>
      <c r="K78" s="1862"/>
      <c r="L78" s="1862"/>
      <c r="M78" s="1863"/>
      <c r="N78" s="3015"/>
      <c r="O78" s="3015"/>
      <c r="P78" s="2057"/>
      <c r="Q78" s="1821"/>
    </row>
    <row r="79" spans="1:17" ht="15.75" thickTop="1">
      <c r="A79" s="1853"/>
      <c r="B79" s="1858" t="s">
        <v>2312</v>
      </c>
      <c r="C79" s="579" t="s">
        <v>2307</v>
      </c>
      <c r="D79" s="579" t="s">
        <v>2308</v>
      </c>
      <c r="E79" s="579" t="s">
        <v>2309</v>
      </c>
      <c r="F79" s="579" t="s">
        <v>2310</v>
      </c>
      <c r="G79" s="579" t="s">
        <v>2311</v>
      </c>
      <c r="H79" s="1859"/>
      <c r="I79" s="1859"/>
      <c r="J79" s="1859"/>
      <c r="K79" s="428"/>
      <c r="L79" s="428"/>
      <c r="M79" s="1860"/>
      <c r="N79" s="3014"/>
      <c r="O79" s="3014"/>
      <c r="P79" s="2057"/>
      <c r="Q79" s="1821"/>
    </row>
    <row r="80" spans="1:17" ht="15.75" thickBot="1">
      <c r="A80" s="1853"/>
      <c r="B80" s="1861"/>
      <c r="C80" s="1862">
        <v>100</v>
      </c>
      <c r="D80" s="1862">
        <f>C80-$K17</f>
        <v>98</v>
      </c>
      <c r="E80" s="1862">
        <f>D80-$K17</f>
        <v>96</v>
      </c>
      <c r="F80" s="1862">
        <f>E80-$K17</f>
        <v>94</v>
      </c>
      <c r="G80" s="1862">
        <f>F80-$K17</f>
        <v>92</v>
      </c>
      <c r="H80" s="1862"/>
      <c r="I80" s="1862"/>
      <c r="J80" s="1862"/>
      <c r="K80" s="1862"/>
      <c r="L80" s="1862"/>
      <c r="M80" s="1863"/>
      <c r="N80" s="3015"/>
      <c r="O80" s="3015"/>
      <c r="P80" s="2057"/>
      <c r="Q80" s="1821"/>
    </row>
    <row r="81" spans="1:17" ht="15.75" thickTop="1">
      <c r="A81" s="1853"/>
      <c r="B81" s="1858" t="s">
        <v>2313</v>
      </c>
      <c r="C81" s="579" t="s">
        <v>2307</v>
      </c>
      <c r="D81" s="579" t="s">
        <v>2308</v>
      </c>
      <c r="E81" s="579" t="s">
        <v>2309</v>
      </c>
      <c r="F81" s="579" t="s">
        <v>2310</v>
      </c>
      <c r="G81" s="579" t="s">
        <v>2311</v>
      </c>
      <c r="H81" s="1859"/>
      <c r="I81" s="1859"/>
      <c r="J81" s="1859"/>
      <c r="K81" s="428"/>
      <c r="L81" s="428"/>
      <c r="M81" s="1860"/>
      <c r="N81" s="3014"/>
      <c r="O81" s="3014"/>
      <c r="P81" s="2057"/>
      <c r="Q81" s="1821"/>
    </row>
    <row r="82" spans="1:17" ht="15.75" thickBot="1">
      <c r="A82" s="1853"/>
      <c r="B82" s="1861"/>
      <c r="C82" s="1862">
        <v>100</v>
      </c>
      <c r="D82" s="1862">
        <f>C82-$K19</f>
        <v>98</v>
      </c>
      <c r="E82" s="1862">
        <f>D82-$K19</f>
        <v>96</v>
      </c>
      <c r="F82" s="1862">
        <f>E82-$K19</f>
        <v>94</v>
      </c>
      <c r="G82" s="1862">
        <f>F82-$K19</f>
        <v>92</v>
      </c>
      <c r="H82" s="1862"/>
      <c r="I82" s="1862"/>
      <c r="J82" s="1862"/>
      <c r="K82" s="1862"/>
      <c r="L82" s="1862"/>
      <c r="M82" s="1863"/>
      <c r="N82" s="3015"/>
      <c r="O82" s="3015"/>
      <c r="P82" s="2057"/>
      <c r="Q82" s="1821"/>
    </row>
    <row r="83" spans="1:17" ht="15.75" thickTop="1">
      <c r="A83" s="1853"/>
      <c r="B83" s="1864" t="s">
        <v>2356</v>
      </c>
      <c r="C83" s="1859" t="s">
        <v>2314</v>
      </c>
      <c r="D83" s="1859" t="s">
        <v>2315</v>
      </c>
      <c r="E83" s="1859" t="s">
        <v>2316</v>
      </c>
      <c r="F83" s="1859" t="s">
        <v>2317</v>
      </c>
      <c r="G83" s="1859" t="s">
        <v>2318</v>
      </c>
      <c r="H83" s="1859"/>
      <c r="I83" s="1859"/>
      <c r="J83" s="1859"/>
      <c r="K83" s="1859"/>
      <c r="L83" s="1859"/>
      <c r="M83" s="1887"/>
      <c r="N83" s="3015"/>
      <c r="O83" s="3015"/>
      <c r="P83" s="2057"/>
      <c r="Q83" s="1821"/>
    </row>
    <row r="84" spans="1:17" ht="15.75" thickBot="1">
      <c r="A84" s="1853"/>
      <c r="B84" s="1864"/>
      <c r="C84" s="1862">
        <v>100</v>
      </c>
      <c r="D84" s="1862">
        <f>C84-$K21</f>
        <v>99</v>
      </c>
      <c r="E84" s="1862">
        <f>D84-$K21</f>
        <v>98</v>
      </c>
      <c r="F84" s="1862">
        <f>E84-$K21</f>
        <v>97</v>
      </c>
      <c r="G84" s="1862">
        <f>F84-$K21</f>
        <v>96</v>
      </c>
      <c r="H84" s="1888"/>
      <c r="I84" s="1888"/>
      <c r="J84" s="1888"/>
      <c r="K84" s="1888"/>
      <c r="L84" s="1888"/>
      <c r="M84" s="1735"/>
      <c r="N84" s="3015"/>
      <c r="O84" s="3015"/>
      <c r="P84" s="2057"/>
      <c r="Q84" s="1821"/>
    </row>
    <row r="85" spans="1:17" ht="15.75" thickTop="1">
      <c r="A85" s="1853"/>
      <c r="B85" s="1858" t="s">
        <v>2395</v>
      </c>
      <c r="C85" s="579" t="s">
        <v>2307</v>
      </c>
      <c r="D85" s="579" t="s">
        <v>2308</v>
      </c>
      <c r="E85" s="579" t="s">
        <v>2309</v>
      </c>
      <c r="F85" s="579" t="s">
        <v>2310</v>
      </c>
      <c r="G85" s="579" t="s">
        <v>2311</v>
      </c>
      <c r="H85" s="1859"/>
      <c r="I85" s="1859"/>
      <c r="J85" s="1859"/>
      <c r="K85" s="428"/>
      <c r="L85" s="428"/>
      <c r="M85" s="1860"/>
      <c r="N85" s="3014"/>
      <c r="O85" s="3014"/>
      <c r="P85" s="2057"/>
      <c r="Q85" s="1821"/>
    </row>
    <row r="86" spans="1:17" ht="15.75" thickBot="1">
      <c r="A86" s="1853"/>
      <c r="B86" s="1861"/>
      <c r="C86" s="1862">
        <v>100</v>
      </c>
      <c r="D86" s="1862">
        <f>C86-$K23</f>
        <v>98</v>
      </c>
      <c r="E86" s="1862">
        <f>D86-$K23</f>
        <v>96</v>
      </c>
      <c r="F86" s="1862">
        <f>E86-$K23</f>
        <v>94</v>
      </c>
      <c r="G86" s="1862">
        <f>F86-$K23</f>
        <v>92</v>
      </c>
      <c r="H86" s="1862"/>
      <c r="I86" s="1862"/>
      <c r="J86" s="1862"/>
      <c r="K86" s="1862"/>
      <c r="L86" s="1862"/>
      <c r="M86" s="1863"/>
      <c r="N86" s="3015"/>
      <c r="O86" s="3015"/>
      <c r="P86" s="2057"/>
      <c r="Q86" s="1821"/>
    </row>
    <row r="87" spans="1:17" s="1684" customFormat="1" ht="27.75" thickTop="1">
      <c r="A87" s="1889"/>
      <c r="B87" s="1858" t="s">
        <v>2396</v>
      </c>
      <c r="C87" s="3452" t="s">
        <v>3355</v>
      </c>
      <c r="D87" s="3158" t="s">
        <v>3356</v>
      </c>
      <c r="E87" s="3158" t="s">
        <v>3357</v>
      </c>
      <c r="F87" s="3158" t="s">
        <v>4986</v>
      </c>
      <c r="G87" s="468"/>
      <c r="H87" s="468"/>
      <c r="I87" s="468"/>
      <c r="J87" s="468"/>
      <c r="K87" s="468"/>
      <c r="L87" s="468"/>
      <c r="M87" s="1890"/>
      <c r="N87" s="3013"/>
      <c r="O87" s="3013"/>
      <c r="P87" s="2057"/>
      <c r="Q87" s="1821"/>
    </row>
    <row r="88" spans="1:17" s="1684" customFormat="1" ht="15.75" thickBot="1">
      <c r="A88" s="1889"/>
      <c r="B88" s="1861"/>
      <c r="C88" s="1891">
        <v>100</v>
      </c>
      <c r="D88" s="1862">
        <f t="shared" ref="D88:M88" si="19">C88-$K25</f>
        <v>98</v>
      </c>
      <c r="E88" s="1862">
        <f t="shared" si="19"/>
        <v>96</v>
      </c>
      <c r="F88" s="1862">
        <f t="shared" si="19"/>
        <v>94</v>
      </c>
      <c r="G88" s="1862">
        <f t="shared" si="19"/>
        <v>92</v>
      </c>
      <c r="H88" s="1862">
        <f t="shared" si="19"/>
        <v>90</v>
      </c>
      <c r="I88" s="1862">
        <f t="shared" si="19"/>
        <v>88</v>
      </c>
      <c r="J88" s="1862">
        <f t="shared" si="19"/>
        <v>86</v>
      </c>
      <c r="K88" s="1862">
        <f t="shared" si="19"/>
        <v>84</v>
      </c>
      <c r="L88" s="1862">
        <f t="shared" si="19"/>
        <v>82</v>
      </c>
      <c r="M88" s="1862">
        <f t="shared" si="19"/>
        <v>80</v>
      </c>
      <c r="N88" s="3015"/>
      <c r="O88" s="3015"/>
      <c r="P88" s="2057"/>
      <c r="Q88" s="1821"/>
    </row>
    <row r="89" spans="1:17" s="1684" customFormat="1" ht="15.75" thickTop="1">
      <c r="A89" s="1889"/>
      <c r="B89" s="1858" t="str">
        <f>B27</f>
        <v>楼层</v>
      </c>
      <c r="C89" s="3158" t="s">
        <v>4989</v>
      </c>
      <c r="D89" s="3158" t="s">
        <v>4991</v>
      </c>
      <c r="E89" s="3158"/>
      <c r="F89" s="1892"/>
      <c r="G89" s="468"/>
      <c r="H89" s="468"/>
      <c r="I89" s="468"/>
      <c r="J89" s="468"/>
      <c r="K89" s="468"/>
      <c r="L89" s="468"/>
      <c r="M89" s="1890"/>
      <c r="N89" s="3013"/>
      <c r="O89" s="3013"/>
      <c r="P89" s="2057"/>
      <c r="Q89" s="1821"/>
    </row>
    <row r="90" spans="1:17" s="1684" customFormat="1" ht="15.75" thickBot="1">
      <c r="A90" s="1889"/>
      <c r="B90" s="1861"/>
      <c r="C90" s="1891">
        <v>100</v>
      </c>
      <c r="D90" s="1862">
        <f>C90-$K27</f>
        <v>98</v>
      </c>
      <c r="E90" s="1862">
        <f t="shared" ref="E90:M90" si="20">D90-$K27</f>
        <v>96</v>
      </c>
      <c r="F90" s="1862">
        <f t="shared" si="20"/>
        <v>94</v>
      </c>
      <c r="G90" s="1862">
        <f t="shared" si="20"/>
        <v>92</v>
      </c>
      <c r="H90" s="1862">
        <f t="shared" si="20"/>
        <v>90</v>
      </c>
      <c r="I90" s="1862">
        <f t="shared" si="20"/>
        <v>88</v>
      </c>
      <c r="J90" s="1862">
        <f t="shared" si="20"/>
        <v>86</v>
      </c>
      <c r="K90" s="1862">
        <f t="shared" si="20"/>
        <v>84</v>
      </c>
      <c r="L90" s="1862">
        <f t="shared" si="20"/>
        <v>82</v>
      </c>
      <c r="M90" s="1862">
        <f t="shared" si="20"/>
        <v>80</v>
      </c>
      <c r="N90" s="3015"/>
      <c r="O90" s="3015"/>
      <c r="P90" s="2057"/>
      <c r="Q90" s="1821"/>
    </row>
    <row r="91" spans="1:17" s="1771" customFormat="1" ht="15.75" thickTop="1">
      <c r="A91" s="1869"/>
      <c r="B91" s="1858" t="str">
        <f>B28</f>
        <v>朝向</v>
      </c>
      <c r="C91" s="3158" t="s">
        <v>2900</v>
      </c>
      <c r="D91" s="3158" t="s">
        <v>2901</v>
      </c>
      <c r="E91" s="3158" t="s">
        <v>2902</v>
      </c>
      <c r="F91" s="3158" t="s">
        <v>2903</v>
      </c>
      <c r="G91" s="3158" t="s">
        <v>2904</v>
      </c>
      <c r="H91" s="443"/>
      <c r="I91" s="443"/>
      <c r="J91" s="443"/>
      <c r="K91" s="443"/>
      <c r="L91" s="443"/>
      <c r="M91" s="1870"/>
      <c r="N91" s="3016"/>
      <c r="O91" s="3016"/>
      <c r="P91" s="2058"/>
      <c r="Q91" s="1873"/>
    </row>
    <row r="92" spans="1:17" s="1771" customFormat="1" ht="15.75" thickBot="1">
      <c r="A92" s="1869"/>
      <c r="B92" s="1861"/>
      <c r="C92" s="1891">
        <v>100</v>
      </c>
      <c r="D92" s="1862">
        <f t="shared" ref="D92:M92" si="21">C92-$K28</f>
        <v>98</v>
      </c>
      <c r="E92" s="1862">
        <f t="shared" si="21"/>
        <v>96</v>
      </c>
      <c r="F92" s="1862">
        <f t="shared" si="21"/>
        <v>94</v>
      </c>
      <c r="G92" s="1862">
        <f t="shared" si="21"/>
        <v>92</v>
      </c>
      <c r="H92" s="1862">
        <f t="shared" si="21"/>
        <v>90</v>
      </c>
      <c r="I92" s="1862">
        <f t="shared" si="21"/>
        <v>88</v>
      </c>
      <c r="J92" s="1862">
        <f t="shared" si="21"/>
        <v>86</v>
      </c>
      <c r="K92" s="1862">
        <f t="shared" si="21"/>
        <v>84</v>
      </c>
      <c r="L92" s="1862">
        <f t="shared" si="21"/>
        <v>82</v>
      </c>
      <c r="M92" s="1862">
        <f t="shared" si="21"/>
        <v>80</v>
      </c>
      <c r="N92" s="3016"/>
      <c r="O92" s="3016"/>
      <c r="P92" s="2058"/>
      <c r="Q92" s="1873"/>
    </row>
    <row r="93" spans="1:17" ht="15.75" thickTop="1">
      <c r="A93" s="1853"/>
      <c r="B93" s="1858">
        <f>B47</f>
        <v>0</v>
      </c>
      <c r="C93" s="468"/>
      <c r="D93" s="468"/>
      <c r="E93" s="468"/>
      <c r="F93" s="468"/>
      <c r="G93" s="468"/>
      <c r="H93" s="468"/>
      <c r="I93" s="468"/>
      <c r="J93" s="468"/>
      <c r="K93" s="468"/>
      <c r="L93" s="468"/>
      <c r="M93" s="1890"/>
      <c r="N93" s="3014"/>
      <c r="O93" s="3014"/>
      <c r="P93" s="2057"/>
      <c r="Q93" s="1821"/>
    </row>
    <row r="94" spans="1:17" ht="15.75" thickBot="1">
      <c r="A94" s="1853"/>
      <c r="B94" s="1861"/>
      <c r="C94" s="1874"/>
      <c r="D94" s="1855"/>
      <c r="E94" s="1855"/>
      <c r="F94" s="1855"/>
      <c r="G94" s="1855"/>
      <c r="H94" s="1855"/>
      <c r="I94" s="1855"/>
      <c r="J94" s="1855"/>
      <c r="K94" s="1855"/>
      <c r="L94" s="1855"/>
      <c r="M94" s="1856"/>
      <c r="N94" s="3015"/>
      <c r="O94" s="3015"/>
      <c r="P94" s="2057"/>
      <c r="Q94" s="1821"/>
    </row>
    <row r="95" spans="1:17" ht="15.75" thickTop="1">
      <c r="A95" s="1853"/>
      <c r="B95" s="1858">
        <f>B30</f>
        <v>111</v>
      </c>
      <c r="C95" s="468"/>
      <c r="D95" s="468"/>
      <c r="E95" s="468"/>
      <c r="F95" s="468"/>
      <c r="G95" s="1578"/>
      <c r="H95" s="1578"/>
      <c r="I95" s="1578"/>
      <c r="J95" s="1578"/>
      <c r="K95" s="473"/>
      <c r="L95" s="473"/>
      <c r="M95" s="1893"/>
      <c r="N95" s="3014"/>
      <c r="O95" s="3014"/>
      <c r="P95" s="2057"/>
      <c r="Q95" s="1821"/>
    </row>
    <row r="96" spans="1:17" ht="15.75" thickBot="1">
      <c r="A96" s="1853"/>
      <c r="B96" s="1861"/>
      <c r="C96" s="1874"/>
      <c r="D96" s="1874"/>
      <c r="E96" s="1874"/>
      <c r="F96" s="1874"/>
      <c r="G96" s="1855"/>
      <c r="H96" s="1855"/>
      <c r="I96" s="1855"/>
      <c r="J96" s="1855"/>
      <c r="K96" s="1855"/>
      <c r="L96" s="1855"/>
      <c r="M96" s="1856"/>
      <c r="N96" s="3015"/>
      <c r="O96" s="3015"/>
      <c r="P96" s="2057"/>
      <c r="Q96" s="1821"/>
    </row>
    <row r="97" spans="1:17" ht="15.75" thickTop="1">
      <c r="A97" s="1853"/>
      <c r="B97" s="1858">
        <f>B31</f>
        <v>111</v>
      </c>
      <c r="C97" s="468"/>
      <c r="D97" s="468"/>
      <c r="E97" s="468"/>
      <c r="F97" s="468"/>
      <c r="G97" s="1578"/>
      <c r="H97" s="1578"/>
      <c r="I97" s="1578"/>
      <c r="J97" s="1578"/>
      <c r="K97" s="473"/>
      <c r="L97" s="473"/>
      <c r="M97" s="1893"/>
      <c r="N97" s="3014"/>
      <c r="O97" s="3014"/>
      <c r="P97" s="2057"/>
      <c r="Q97" s="1821"/>
    </row>
    <row r="98" spans="1:17" ht="15.75" thickBot="1">
      <c r="A98" s="1853"/>
      <c r="B98" s="1861"/>
      <c r="C98" s="1874"/>
      <c r="D98" s="1855"/>
      <c r="E98" s="1855"/>
      <c r="F98" s="1855"/>
      <c r="G98" s="1855"/>
      <c r="H98" s="1855"/>
      <c r="I98" s="1855"/>
      <c r="J98" s="1855"/>
      <c r="K98" s="1855"/>
      <c r="L98" s="1855"/>
      <c r="M98" s="1856"/>
      <c r="N98" s="3015"/>
      <c r="O98" s="3015"/>
      <c r="P98" s="2057"/>
      <c r="Q98" s="1821"/>
    </row>
    <row r="99" spans="1:17" ht="15.75" thickTop="1">
      <c r="A99" s="1853"/>
      <c r="B99" s="1864">
        <f>B32</f>
        <v>111</v>
      </c>
      <c r="C99" s="409"/>
      <c r="D99" s="409"/>
      <c r="E99" s="409"/>
      <c r="F99" s="409"/>
      <c r="G99" s="1894"/>
      <c r="H99" s="1894"/>
      <c r="I99" s="1894"/>
      <c r="J99" s="1894"/>
      <c r="K99" s="477"/>
      <c r="L99" s="477"/>
      <c r="M99" s="1895"/>
      <c r="N99" s="3014"/>
      <c r="O99" s="3014"/>
      <c r="P99" s="2057"/>
      <c r="Q99" s="1821"/>
    </row>
    <row r="100" spans="1:17" ht="15.75" thickBot="1">
      <c r="A100" s="1896"/>
      <c r="B100" s="1881"/>
      <c r="C100" s="1882"/>
      <c r="D100" s="1882"/>
      <c r="E100" s="1882"/>
      <c r="F100" s="1882"/>
      <c r="G100" s="1897"/>
      <c r="H100" s="1897"/>
      <c r="I100" s="1897"/>
      <c r="J100" s="1897"/>
      <c r="K100" s="1897"/>
      <c r="L100" s="1897"/>
      <c r="M100" s="1898"/>
      <c r="N100" s="3015"/>
      <c r="O100" s="3015"/>
      <c r="P100" s="2057"/>
      <c r="Q100" s="1821"/>
    </row>
    <row r="101" spans="1:17">
      <c r="A101" s="1846" t="s">
        <v>2273</v>
      </c>
      <c r="B101" s="1847" t="s">
        <v>2322</v>
      </c>
      <c r="C101" s="3859" t="s">
        <v>4242</v>
      </c>
      <c r="D101" s="3451" t="s">
        <v>3352</v>
      </c>
      <c r="E101" s="3451" t="s">
        <v>3353</v>
      </c>
      <c r="F101" s="3451" t="s">
        <v>3523</v>
      </c>
      <c r="G101" s="1849"/>
      <c r="H101" s="1849"/>
      <c r="I101" s="1849"/>
      <c r="J101" s="1849"/>
      <c r="K101" s="417"/>
      <c r="L101" s="417"/>
      <c r="M101" s="1850"/>
      <c r="N101" s="3014"/>
      <c r="O101" s="3014"/>
      <c r="P101" s="2057"/>
      <c r="Q101" s="1821"/>
    </row>
    <row r="102" spans="1:17" ht="15.75" thickBot="1">
      <c r="A102" s="1853"/>
      <c r="B102" s="1861"/>
      <c r="C102" s="1862">
        <v>100</v>
      </c>
      <c r="D102" s="1862">
        <f t="shared" ref="D102:M102" si="22">C102-$K33</f>
        <v>99</v>
      </c>
      <c r="E102" s="1862">
        <f t="shared" si="22"/>
        <v>98</v>
      </c>
      <c r="F102" s="1862">
        <f t="shared" si="22"/>
        <v>97</v>
      </c>
      <c r="G102" s="1862">
        <f t="shared" si="22"/>
        <v>96</v>
      </c>
      <c r="H102" s="1862">
        <f t="shared" si="22"/>
        <v>95</v>
      </c>
      <c r="I102" s="1862">
        <f t="shared" si="22"/>
        <v>94</v>
      </c>
      <c r="J102" s="1862">
        <f t="shared" si="22"/>
        <v>93</v>
      </c>
      <c r="K102" s="1862">
        <f t="shared" si="22"/>
        <v>92</v>
      </c>
      <c r="L102" s="1862">
        <f t="shared" si="22"/>
        <v>91</v>
      </c>
      <c r="M102" s="1863">
        <f t="shared" si="22"/>
        <v>90</v>
      </c>
      <c r="N102" s="3015"/>
      <c r="O102" s="3015"/>
      <c r="P102" s="2057"/>
      <c r="Q102" s="1821"/>
    </row>
    <row r="103" spans="1:17" ht="29.25" thickTop="1">
      <c r="A103" s="1853"/>
      <c r="B103" s="1858" t="s">
        <v>2323</v>
      </c>
      <c r="C103" s="579" t="str">
        <f>C104&amp;"(含)"&amp;"-"&amp;D104</f>
        <v>0(含)-500</v>
      </c>
      <c r="D103" s="579" t="str">
        <f t="shared" ref="D103:L103" si="23">D104&amp;"(含)"&amp;"-"&amp;E104</f>
        <v>500(含)-1000</v>
      </c>
      <c r="E103" s="579" t="str">
        <f t="shared" si="23"/>
        <v>1000(含)-1500</v>
      </c>
      <c r="F103" s="579" t="str">
        <f t="shared" si="23"/>
        <v>1500(含)-2000</v>
      </c>
      <c r="G103" s="579" t="str">
        <f t="shared" si="23"/>
        <v>2000(含)-2500</v>
      </c>
      <c r="H103" s="579" t="str">
        <f t="shared" si="23"/>
        <v>2500(含)-</v>
      </c>
      <c r="I103" s="579" t="str">
        <f t="shared" si="23"/>
        <v>(含)-</v>
      </c>
      <c r="J103" s="579" t="str">
        <f t="shared" si="23"/>
        <v>(含)-</v>
      </c>
      <c r="K103" s="579" t="str">
        <f t="shared" si="23"/>
        <v>(含)-</v>
      </c>
      <c r="L103" s="579" t="str">
        <f t="shared" si="23"/>
        <v>(含)-</v>
      </c>
      <c r="M103" s="2060" t="str">
        <f>M104&amp;"(含)"&amp;"-"&amp;P104</f>
        <v>(含)-</v>
      </c>
      <c r="N103" s="3013"/>
      <c r="O103" s="3013"/>
      <c r="P103" s="2057"/>
      <c r="Q103" s="1821"/>
    </row>
    <row r="104" spans="1:17" s="1771" customFormat="1">
      <c r="A104" s="1899"/>
      <c r="B104" s="1900"/>
      <c r="C104" s="1901">
        <v>0</v>
      </c>
      <c r="D104" s="1901">
        <v>500</v>
      </c>
      <c r="E104" s="1901">
        <v>1000</v>
      </c>
      <c r="F104" s="1901">
        <v>1500</v>
      </c>
      <c r="G104" s="1901">
        <v>2000</v>
      </c>
      <c r="H104" s="1901">
        <v>2500</v>
      </c>
      <c r="I104" s="1901"/>
      <c r="J104" s="485"/>
      <c r="K104" s="485"/>
      <c r="L104" s="485"/>
      <c r="M104" s="1902"/>
      <c r="N104" s="3016"/>
      <c r="O104" s="3016"/>
      <c r="P104" s="2058"/>
      <c r="Q104" s="1873"/>
    </row>
    <row r="105" spans="1:17" s="1771" customFormat="1" ht="15.75" thickBot="1">
      <c r="A105" s="1869"/>
      <c r="B105" s="1861"/>
      <c r="C105" s="1874">
        <v>100</v>
      </c>
      <c r="D105" s="1855">
        <v>99</v>
      </c>
      <c r="E105" s="1855">
        <v>98</v>
      </c>
      <c r="F105" s="1855">
        <v>97</v>
      </c>
      <c r="G105" s="1855">
        <v>96</v>
      </c>
      <c r="H105" s="1855">
        <v>95</v>
      </c>
      <c r="I105" s="1855"/>
      <c r="J105" s="1855"/>
      <c r="K105" s="1855"/>
      <c r="L105" s="1855"/>
      <c r="M105" s="1856"/>
      <c r="N105" s="3015"/>
      <c r="O105" s="3015"/>
      <c r="P105" s="2058"/>
      <c r="Q105" s="1873"/>
    </row>
    <row r="106" spans="1:17" ht="15" thickTop="1">
      <c r="A106" s="1903"/>
      <c r="B106" s="1858" t="s">
        <v>2324</v>
      </c>
      <c r="C106" s="3158" t="s">
        <v>3354</v>
      </c>
      <c r="D106" s="468"/>
      <c r="E106" s="1578"/>
      <c r="F106" s="1578"/>
      <c r="G106" s="1578"/>
      <c r="H106" s="1578"/>
      <c r="I106" s="1578"/>
      <c r="J106" s="1578"/>
      <c r="K106" s="473"/>
      <c r="L106" s="473"/>
      <c r="M106" s="1893"/>
      <c r="N106" s="3014"/>
      <c r="O106" s="3014"/>
      <c r="P106" s="2057"/>
      <c r="Q106" s="1821"/>
    </row>
    <row r="107" spans="1:17" ht="15.75" thickBot="1">
      <c r="A107" s="1853"/>
      <c r="B107" s="1861"/>
      <c r="C107" s="1862">
        <v>100</v>
      </c>
      <c r="D107" s="1862">
        <f t="shared" ref="D107:M107" si="24">C107-$K35</f>
        <v>99</v>
      </c>
      <c r="E107" s="1862">
        <f t="shared" si="24"/>
        <v>98</v>
      </c>
      <c r="F107" s="1862">
        <f t="shared" si="24"/>
        <v>97</v>
      </c>
      <c r="G107" s="1862">
        <f t="shared" si="24"/>
        <v>96</v>
      </c>
      <c r="H107" s="1862">
        <f t="shared" si="24"/>
        <v>95</v>
      </c>
      <c r="I107" s="1862">
        <f t="shared" si="24"/>
        <v>94</v>
      </c>
      <c r="J107" s="1862">
        <f t="shared" si="24"/>
        <v>93</v>
      </c>
      <c r="K107" s="1862">
        <f t="shared" si="24"/>
        <v>92</v>
      </c>
      <c r="L107" s="1862">
        <f t="shared" si="24"/>
        <v>91</v>
      </c>
      <c r="M107" s="1863">
        <f t="shared" si="24"/>
        <v>90</v>
      </c>
      <c r="N107" s="3015"/>
      <c r="O107" s="3015"/>
      <c r="P107" s="2057"/>
      <c r="Q107" s="1821"/>
    </row>
    <row r="108" spans="1:17" ht="15" thickTop="1">
      <c r="A108" s="1903"/>
      <c r="B108" s="1858" t="s">
        <v>2326</v>
      </c>
      <c r="C108" s="3158" t="s">
        <v>2895</v>
      </c>
      <c r="D108" s="3158" t="s">
        <v>2897</v>
      </c>
      <c r="E108" s="468"/>
      <c r="F108" s="1578"/>
      <c r="G108" s="1578"/>
      <c r="H108" s="1578"/>
      <c r="I108" s="1578"/>
      <c r="J108" s="1578"/>
      <c r="K108" s="473"/>
      <c r="L108" s="473"/>
      <c r="M108" s="1893"/>
      <c r="N108" s="3014"/>
      <c r="O108" s="3014"/>
      <c r="P108" s="2057"/>
      <c r="Q108" s="1821"/>
    </row>
    <row r="109" spans="1:17" ht="15.75" thickBot="1">
      <c r="A109" s="1853"/>
      <c r="B109" s="1861"/>
      <c r="C109" s="1862">
        <v>100</v>
      </c>
      <c r="D109" s="1862">
        <f t="shared" ref="D109:M109" si="25">C109-$K36</f>
        <v>98</v>
      </c>
      <c r="E109" s="1862">
        <f t="shared" si="25"/>
        <v>96</v>
      </c>
      <c r="F109" s="1862">
        <f t="shared" si="25"/>
        <v>94</v>
      </c>
      <c r="G109" s="1862">
        <f t="shared" si="25"/>
        <v>92</v>
      </c>
      <c r="H109" s="1862">
        <f t="shared" si="25"/>
        <v>90</v>
      </c>
      <c r="I109" s="1862">
        <f t="shared" si="25"/>
        <v>88</v>
      </c>
      <c r="J109" s="1862">
        <f t="shared" si="25"/>
        <v>86</v>
      </c>
      <c r="K109" s="1862">
        <f t="shared" si="25"/>
        <v>84</v>
      </c>
      <c r="L109" s="1862">
        <f t="shared" si="25"/>
        <v>82</v>
      </c>
      <c r="M109" s="1863">
        <f t="shared" si="25"/>
        <v>80</v>
      </c>
      <c r="N109" s="3015"/>
      <c r="O109" s="3015"/>
      <c r="P109" s="2057"/>
      <c r="Q109" s="1821"/>
    </row>
    <row r="110" spans="1:17" ht="15" thickTop="1">
      <c r="A110" s="1903"/>
      <c r="B110" s="1858" t="s">
        <v>2327</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8"/>
      <c r="J110" s="1578"/>
      <c r="K110" s="473"/>
      <c r="L110" s="473"/>
      <c r="M110" s="1893"/>
      <c r="N110" s="3014"/>
      <c r="O110" s="3014"/>
      <c r="P110" s="2057"/>
      <c r="Q110" s="1821"/>
    </row>
    <row r="111" spans="1:17">
      <c r="A111" s="1903"/>
      <c r="B111" s="1864"/>
      <c r="C111" s="1905">
        <v>0.5</v>
      </c>
      <c r="D111" s="1905">
        <v>0.6</v>
      </c>
      <c r="E111" s="1905">
        <v>0.7</v>
      </c>
      <c r="F111" s="1905">
        <v>0.8</v>
      </c>
      <c r="G111" s="1905">
        <v>0.9</v>
      </c>
      <c r="H111" s="1905">
        <v>1</v>
      </c>
      <c r="I111" s="2482"/>
      <c r="J111" s="2482"/>
      <c r="K111" s="508"/>
      <c r="L111" s="508"/>
      <c r="M111" s="2483"/>
      <c r="N111" s="3014"/>
      <c r="O111" s="3014"/>
      <c r="P111" s="2057"/>
      <c r="Q111" s="1821"/>
    </row>
    <row r="112" spans="1:17" ht="15.75" thickBot="1">
      <c r="A112" s="1853"/>
      <c r="B112" s="1861"/>
      <c r="C112" s="1891">
        <v>100</v>
      </c>
      <c r="D112" s="1862">
        <f>C112+$K37</f>
        <v>101</v>
      </c>
      <c r="E112" s="1862">
        <f t="shared" ref="E112:M112" si="26">D112+$K37</f>
        <v>102</v>
      </c>
      <c r="F112" s="1862">
        <f t="shared" si="26"/>
        <v>103</v>
      </c>
      <c r="G112" s="1862">
        <f t="shared" si="26"/>
        <v>104</v>
      </c>
      <c r="H112" s="1862">
        <f t="shared" si="26"/>
        <v>105</v>
      </c>
      <c r="I112" s="1862">
        <f t="shared" si="26"/>
        <v>106</v>
      </c>
      <c r="J112" s="1862">
        <f t="shared" si="26"/>
        <v>107</v>
      </c>
      <c r="K112" s="1862">
        <f t="shared" si="26"/>
        <v>108</v>
      </c>
      <c r="L112" s="1862">
        <f t="shared" si="26"/>
        <v>109</v>
      </c>
      <c r="M112" s="1862">
        <f t="shared" si="26"/>
        <v>110</v>
      </c>
      <c r="N112" s="3015"/>
      <c r="O112" s="3015"/>
      <c r="P112" s="2057"/>
      <c r="Q112" s="1821"/>
    </row>
    <row r="113" spans="1:17" s="1771" customFormat="1" ht="15" thickTop="1">
      <c r="A113" s="1899"/>
      <c r="B113" s="1858" t="s">
        <v>2397</v>
      </c>
      <c r="C113" s="3158" t="s">
        <v>3519</v>
      </c>
      <c r="D113" s="4115" t="s">
        <v>4992</v>
      </c>
      <c r="E113" s="3158" t="s">
        <v>3520</v>
      </c>
      <c r="F113" s="468"/>
      <c r="G113" s="468"/>
      <c r="H113" s="1578"/>
      <c r="I113" s="1578"/>
      <c r="J113" s="1578"/>
      <c r="K113" s="473"/>
      <c r="L113" s="473"/>
      <c r="M113" s="1893"/>
      <c r="N113" s="3016"/>
      <c r="O113" s="3016"/>
      <c r="P113" s="2058"/>
      <c r="Q113" s="1873"/>
    </row>
    <row r="114" spans="1:17" s="1771" customFormat="1" ht="15.75" thickBot="1">
      <c r="A114" s="1869"/>
      <c r="B114" s="1861"/>
      <c r="C114" s="1862">
        <v>100</v>
      </c>
      <c r="D114" s="1862">
        <f>C114-$K38</f>
        <v>98</v>
      </c>
      <c r="E114" s="1862">
        <f t="shared" ref="E114:M114" si="27">D114-$K38</f>
        <v>96</v>
      </c>
      <c r="F114" s="1862">
        <f t="shared" si="27"/>
        <v>94</v>
      </c>
      <c r="G114" s="1862">
        <f t="shared" si="27"/>
        <v>92</v>
      </c>
      <c r="H114" s="1862">
        <f t="shared" si="27"/>
        <v>90</v>
      </c>
      <c r="I114" s="1862">
        <f t="shared" si="27"/>
        <v>88</v>
      </c>
      <c r="J114" s="1862">
        <f t="shared" si="27"/>
        <v>86</v>
      </c>
      <c r="K114" s="1862">
        <f t="shared" si="27"/>
        <v>84</v>
      </c>
      <c r="L114" s="1862">
        <f t="shared" si="27"/>
        <v>82</v>
      </c>
      <c r="M114" s="1862">
        <f t="shared" si="27"/>
        <v>80</v>
      </c>
      <c r="N114" s="3016"/>
      <c r="O114" s="3016"/>
      <c r="P114" s="2058"/>
      <c r="Q114" s="1873"/>
    </row>
    <row r="115" spans="1:17" ht="15" thickTop="1">
      <c r="A115" s="1903"/>
      <c r="B115" s="1858" t="s">
        <v>2328</v>
      </c>
      <c r="C115" s="3158" t="s">
        <v>3521</v>
      </c>
      <c r="D115" s="468"/>
      <c r="E115" s="1578"/>
      <c r="F115" s="1578"/>
      <c r="G115" s="1578"/>
      <c r="H115" s="1578"/>
      <c r="I115" s="1578"/>
      <c r="J115" s="1578"/>
      <c r="K115" s="473"/>
      <c r="L115" s="473"/>
      <c r="M115" s="1893"/>
      <c r="N115" s="3014"/>
      <c r="O115" s="3014"/>
      <c r="P115" s="2057"/>
      <c r="Q115" s="1821"/>
    </row>
    <row r="116" spans="1:17" ht="15.75" thickBot="1">
      <c r="A116" s="1853"/>
      <c r="B116" s="1861"/>
      <c r="C116" s="1862">
        <v>100</v>
      </c>
      <c r="D116" s="1862">
        <f t="shared" ref="D116:M116" si="28">C116-$K39</f>
        <v>100</v>
      </c>
      <c r="E116" s="1862">
        <f t="shared" si="28"/>
        <v>100</v>
      </c>
      <c r="F116" s="1862">
        <f t="shared" si="28"/>
        <v>100</v>
      </c>
      <c r="G116" s="1862">
        <f t="shared" si="28"/>
        <v>100</v>
      </c>
      <c r="H116" s="1862">
        <f t="shared" si="28"/>
        <v>100</v>
      </c>
      <c r="I116" s="1862">
        <f t="shared" si="28"/>
        <v>100</v>
      </c>
      <c r="J116" s="1862">
        <f t="shared" si="28"/>
        <v>100</v>
      </c>
      <c r="K116" s="1862">
        <f t="shared" si="28"/>
        <v>100</v>
      </c>
      <c r="L116" s="1862">
        <f t="shared" si="28"/>
        <v>100</v>
      </c>
      <c r="M116" s="1863">
        <f t="shared" si="28"/>
        <v>100</v>
      </c>
      <c r="N116" s="3015"/>
      <c r="O116" s="3015"/>
      <c r="P116" s="2057"/>
      <c r="Q116" s="1821"/>
    </row>
    <row r="117" spans="1:17" ht="15" thickTop="1">
      <c r="A117" s="1903"/>
      <c r="B117" s="1858" t="s">
        <v>2329</v>
      </c>
      <c r="C117" s="3158" t="s">
        <v>3522</v>
      </c>
      <c r="D117" s="468"/>
      <c r="E117" s="468"/>
      <c r="F117" s="468"/>
      <c r="G117" s="468"/>
      <c r="H117" s="1578"/>
      <c r="I117" s="1578"/>
      <c r="J117" s="1578"/>
      <c r="K117" s="473"/>
      <c r="L117" s="473"/>
      <c r="M117" s="1893"/>
      <c r="N117" s="3014"/>
      <c r="O117" s="3014"/>
      <c r="P117" s="2057"/>
      <c r="Q117" s="1821"/>
    </row>
    <row r="118" spans="1:17" ht="15.75" thickBot="1">
      <c r="A118" s="1853"/>
      <c r="B118" s="1861"/>
      <c r="C118" s="1862">
        <v>100</v>
      </c>
      <c r="D118" s="1862">
        <f>C118-$K40</f>
        <v>100</v>
      </c>
      <c r="E118" s="1862">
        <f>D118-$K40</f>
        <v>100</v>
      </c>
      <c r="F118" s="1862">
        <f>E118-$K40</f>
        <v>100</v>
      </c>
      <c r="G118" s="1862">
        <f>F118-$K40</f>
        <v>100</v>
      </c>
      <c r="H118" s="1862"/>
      <c r="I118" s="1862"/>
      <c r="J118" s="1862"/>
      <c r="K118" s="1862"/>
      <c r="L118" s="1862"/>
      <c r="M118" s="1863"/>
      <c r="N118" s="3015"/>
      <c r="O118" s="3015"/>
      <c r="P118" s="2057"/>
      <c r="Q118" s="1821"/>
    </row>
    <row r="119" spans="1:17" ht="15" thickTop="1">
      <c r="A119" s="1903"/>
      <c r="B119" s="2504" t="s">
        <v>2398</v>
      </c>
      <c r="C119" s="3159" t="s">
        <v>4244</v>
      </c>
      <c r="D119" s="1578"/>
      <c r="E119" s="1578"/>
      <c r="F119" s="1578"/>
      <c r="G119" s="1578"/>
      <c r="H119" s="1578"/>
      <c r="I119" s="1578"/>
      <c r="J119" s="1578"/>
      <c r="K119" s="1578"/>
      <c r="L119" s="1578"/>
      <c r="M119" s="2505"/>
      <c r="N119" s="3015"/>
      <c r="O119" s="3015"/>
      <c r="P119" s="2506"/>
      <c r="Q119" s="2507"/>
    </row>
    <row r="120" spans="1:17" ht="15.75" thickBot="1">
      <c r="A120" s="1853"/>
      <c r="B120" s="1861"/>
      <c r="C120" s="1891">
        <v>100</v>
      </c>
      <c r="D120" s="1862">
        <f>C120-$K41</f>
        <v>100</v>
      </c>
      <c r="E120" s="1862">
        <f t="shared" ref="E120:M120" si="29">D120-$K41</f>
        <v>100</v>
      </c>
      <c r="F120" s="1862">
        <f t="shared" si="29"/>
        <v>100</v>
      </c>
      <c r="G120" s="1862">
        <f t="shared" si="29"/>
        <v>100</v>
      </c>
      <c r="H120" s="1862">
        <f t="shared" si="29"/>
        <v>100</v>
      </c>
      <c r="I120" s="1862">
        <f t="shared" si="29"/>
        <v>100</v>
      </c>
      <c r="J120" s="1862">
        <f t="shared" si="29"/>
        <v>100</v>
      </c>
      <c r="K120" s="1862">
        <f t="shared" si="29"/>
        <v>100</v>
      </c>
      <c r="L120" s="1862">
        <f t="shared" si="29"/>
        <v>100</v>
      </c>
      <c r="M120" s="1862">
        <f t="shared" si="29"/>
        <v>100</v>
      </c>
      <c r="N120" s="3015"/>
      <c r="O120" s="3015"/>
      <c r="P120" s="2057"/>
      <c r="Q120" s="1821"/>
    </row>
    <row r="121" spans="1:17" s="1771" customFormat="1" ht="15" thickTop="1">
      <c r="A121" s="1899"/>
      <c r="B121" s="1858" t="s">
        <v>2380</v>
      </c>
      <c r="C121" s="468"/>
      <c r="D121" s="468"/>
      <c r="E121" s="468"/>
      <c r="F121" s="1578"/>
      <c r="G121" s="443"/>
      <c r="H121" s="443"/>
      <c r="I121" s="443"/>
      <c r="J121" s="443"/>
      <c r="K121" s="443"/>
      <c r="L121" s="443"/>
      <c r="M121" s="1870"/>
      <c r="N121" s="3016"/>
      <c r="O121" s="3016"/>
      <c r="P121" s="2058"/>
      <c r="Q121" s="1873"/>
    </row>
    <row r="122" spans="1:17" s="1771" customFormat="1" ht="15.75" thickBot="1">
      <c r="A122" s="1869"/>
      <c r="B122" s="1854"/>
      <c r="C122" s="1874"/>
      <c r="D122" s="1874"/>
      <c r="E122" s="1874"/>
      <c r="F122" s="1874"/>
      <c r="G122" s="1874"/>
      <c r="H122" s="1874"/>
      <c r="I122" s="1874"/>
      <c r="J122" s="1874"/>
      <c r="K122" s="1874"/>
      <c r="L122" s="1874"/>
      <c r="M122" s="1874"/>
      <c r="N122" s="3016"/>
      <c r="O122" s="3016"/>
      <c r="P122" s="2058"/>
      <c r="Q122" s="1873"/>
    </row>
    <row r="123" spans="1:17" ht="15" thickTop="1">
      <c r="A123" s="1903"/>
      <c r="B123" s="1858" t="s">
        <v>2331</v>
      </c>
      <c r="C123" s="3158" t="s">
        <v>2895</v>
      </c>
      <c r="D123" s="3158" t="s">
        <v>2897</v>
      </c>
      <c r="E123" s="3158" t="s">
        <v>2898</v>
      </c>
      <c r="F123" s="3159" t="s">
        <v>2899</v>
      </c>
      <c r="G123" s="1578"/>
      <c r="H123" s="1578"/>
      <c r="I123" s="1578"/>
      <c r="J123" s="1578"/>
      <c r="K123" s="473"/>
      <c r="L123" s="473"/>
      <c r="M123" s="1893"/>
      <c r="N123" s="3014"/>
      <c r="O123" s="3014"/>
      <c r="P123" s="2057"/>
      <c r="Q123" s="1821"/>
    </row>
    <row r="124" spans="1:17" ht="15.75" thickBot="1">
      <c r="A124" s="1853"/>
      <c r="B124" s="1861"/>
      <c r="C124" s="1862">
        <v>100</v>
      </c>
      <c r="D124" s="1862">
        <f t="shared" ref="D124:M124" si="30">C124-$K43</f>
        <v>98</v>
      </c>
      <c r="E124" s="1862">
        <f t="shared" si="30"/>
        <v>96</v>
      </c>
      <c r="F124" s="1862">
        <f t="shared" si="30"/>
        <v>94</v>
      </c>
      <c r="G124" s="1862">
        <f t="shared" si="30"/>
        <v>92</v>
      </c>
      <c r="H124" s="1862">
        <f t="shared" si="30"/>
        <v>90</v>
      </c>
      <c r="I124" s="1862">
        <f t="shared" si="30"/>
        <v>88</v>
      </c>
      <c r="J124" s="1862">
        <f t="shared" si="30"/>
        <v>86</v>
      </c>
      <c r="K124" s="1862">
        <f t="shared" si="30"/>
        <v>84</v>
      </c>
      <c r="L124" s="1862">
        <f t="shared" si="30"/>
        <v>82</v>
      </c>
      <c r="M124" s="1863">
        <f t="shared" si="30"/>
        <v>80</v>
      </c>
      <c r="N124" s="3015"/>
      <c r="O124" s="3015"/>
      <c r="P124" s="2057"/>
      <c r="Q124" s="1821"/>
    </row>
    <row r="125" spans="1:17" ht="15" thickTop="1">
      <c r="A125" s="1903"/>
      <c r="B125" s="1858" t="s">
        <v>2332</v>
      </c>
      <c r="C125" s="579" t="s">
        <v>2307</v>
      </c>
      <c r="D125" s="579" t="s">
        <v>2308</v>
      </c>
      <c r="E125" s="579" t="s">
        <v>2309</v>
      </c>
      <c r="F125" s="579" t="s">
        <v>2310</v>
      </c>
      <c r="G125" s="579" t="s">
        <v>2311</v>
      </c>
      <c r="H125" s="1859"/>
      <c r="I125" s="1859"/>
      <c r="J125" s="1859"/>
      <c r="K125" s="428"/>
      <c r="L125" s="428"/>
      <c r="M125" s="1860"/>
      <c r="N125" s="3014"/>
      <c r="O125" s="3014"/>
      <c r="P125" s="2058"/>
      <c r="Q125" s="1821"/>
    </row>
    <row r="126" spans="1:17" ht="15.75" thickBot="1">
      <c r="A126" s="1853"/>
      <c r="B126" s="1861"/>
      <c r="C126" s="1862">
        <v>100</v>
      </c>
      <c r="D126" s="1862">
        <f>C126-$K44</f>
        <v>95</v>
      </c>
      <c r="E126" s="1862">
        <f>D126-$K44</f>
        <v>90</v>
      </c>
      <c r="F126" s="1862">
        <f>E126-$K44</f>
        <v>85</v>
      </c>
      <c r="G126" s="1862">
        <f>F126-$K44</f>
        <v>80</v>
      </c>
      <c r="H126" s="1862"/>
      <c r="I126" s="1862"/>
      <c r="J126" s="1862"/>
      <c r="K126" s="1862"/>
      <c r="L126" s="1862"/>
      <c r="M126" s="1863"/>
      <c r="N126" s="3015"/>
      <c r="O126" s="3015"/>
      <c r="P126" s="2057"/>
      <c r="Q126" s="1821"/>
    </row>
    <row r="127" spans="1:17" s="1771" customFormat="1" ht="28.5" thickTop="1">
      <c r="A127" s="1899"/>
      <c r="B127" s="1858" t="str">
        <f>B45</f>
        <v>物业类型</v>
      </c>
      <c r="C127" s="3158" t="s">
        <v>4994</v>
      </c>
      <c r="D127" s="3452" t="s">
        <v>4995</v>
      </c>
      <c r="E127" s="468"/>
      <c r="F127" s="468"/>
      <c r="G127" s="468"/>
      <c r="H127" s="443"/>
      <c r="I127" s="443"/>
      <c r="J127" s="443"/>
      <c r="K127" s="443"/>
      <c r="L127" s="443"/>
      <c r="M127" s="1870"/>
      <c r="N127" s="3016"/>
      <c r="O127" s="3016"/>
      <c r="P127" s="2058"/>
      <c r="Q127" s="1873"/>
    </row>
    <row r="128" spans="1:17" s="1771" customFormat="1" ht="15.75" thickBot="1">
      <c r="A128" s="1869"/>
      <c r="B128" s="1861"/>
      <c r="C128" s="1874">
        <v>100</v>
      </c>
      <c r="D128" s="1855">
        <v>85</v>
      </c>
      <c r="E128" s="1855"/>
      <c r="F128" s="1855"/>
      <c r="G128" s="1874"/>
      <c r="H128" s="1877"/>
      <c r="I128" s="1877"/>
      <c r="J128" s="1877"/>
      <c r="K128" s="1877"/>
      <c r="L128" s="1877"/>
      <c r="M128" s="1878"/>
      <c r="N128" s="3016"/>
      <c r="O128" s="3016"/>
      <c r="P128" s="2058"/>
      <c r="Q128" s="1873"/>
    </row>
    <row r="129" spans="1:17" ht="15" thickTop="1">
      <c r="A129" s="1903"/>
      <c r="B129" s="1858" t="e">
        <f>#REF!</f>
        <v>#REF!</v>
      </c>
      <c r="C129" s="3158" t="s">
        <v>4997</v>
      </c>
      <c r="D129" s="3158" t="s">
        <v>4998</v>
      </c>
      <c r="E129" s="468"/>
      <c r="F129" s="468"/>
      <c r="G129" s="1578"/>
      <c r="H129" s="1578"/>
      <c r="I129" s="1578"/>
      <c r="J129" s="1578"/>
      <c r="K129" s="473"/>
      <c r="L129" s="473"/>
      <c r="M129" s="1893"/>
      <c r="N129" s="3014"/>
      <c r="O129" s="3014"/>
      <c r="P129" s="2057"/>
      <c r="Q129" s="1821"/>
    </row>
    <row r="130" spans="1:17" ht="15.75" thickBot="1">
      <c r="A130" s="1853"/>
      <c r="B130" s="1861"/>
      <c r="C130" s="1874">
        <v>100</v>
      </c>
      <c r="D130" s="1874">
        <v>95</v>
      </c>
      <c r="E130" s="1874"/>
      <c r="F130" s="1874"/>
      <c r="G130" s="1855"/>
      <c r="H130" s="1855"/>
      <c r="I130" s="1855"/>
      <c r="J130" s="1855"/>
      <c r="K130" s="1855"/>
      <c r="L130" s="1855"/>
      <c r="M130" s="1856"/>
      <c r="N130" s="3015"/>
      <c r="O130" s="3015"/>
      <c r="P130" s="2057"/>
      <c r="Q130" s="1821"/>
    </row>
    <row r="131" spans="1:17" ht="15" thickTop="1">
      <c r="A131" s="1903"/>
      <c r="B131" s="1864" t="e">
        <f>#REF!</f>
        <v>#REF!</v>
      </c>
      <c r="C131" s="409"/>
      <c r="D131" s="409"/>
      <c r="E131" s="409"/>
      <c r="F131" s="409"/>
      <c r="G131" s="1894"/>
      <c r="H131" s="1894"/>
      <c r="I131" s="1894"/>
      <c r="J131" s="1894"/>
      <c r="K131" s="409"/>
      <c r="L131" s="409"/>
      <c r="M131" s="1895"/>
      <c r="N131" s="3014"/>
      <c r="O131" s="3014"/>
      <c r="P131" s="2057"/>
      <c r="Q131" s="1821"/>
    </row>
    <row r="132" spans="1:17" ht="15.75" thickBot="1">
      <c r="A132" s="2508"/>
      <c r="B132" s="1881"/>
      <c r="C132" s="1882"/>
      <c r="D132" s="1882"/>
      <c r="E132" s="1882"/>
      <c r="F132" s="1882"/>
      <c r="G132" s="1897"/>
      <c r="H132" s="1897"/>
      <c r="I132" s="1897"/>
      <c r="J132" s="1897"/>
      <c r="K132" s="1897"/>
      <c r="L132" s="1897"/>
      <c r="M132" s="1898"/>
      <c r="N132" s="3015"/>
      <c r="O132" s="3015"/>
      <c r="P132" s="2057"/>
      <c r="Q132" s="182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7" type="noConversion"/>
  <conditionalFormatting sqref="F53 H53">
    <cfRule type="containsText" dxfId="47" priority="20" stopIfTrue="1" operator="containsText" text="超过">
      <formula>NOT(ISERROR(SEARCH("超过",F53)))</formula>
    </cfRule>
  </conditionalFormatting>
  <conditionalFormatting sqref="H55">
    <cfRule type="containsText" dxfId="46" priority="19" stopIfTrue="1" operator="containsText" text="超过">
      <formula>NOT(ISERROR(SEARCH("超过",H55)))</formula>
    </cfRule>
  </conditionalFormatting>
  <conditionalFormatting sqref="F55">
    <cfRule type="containsText" dxfId="45" priority="18" stopIfTrue="1" operator="containsText" text="超过">
      <formula>NOT(ISERROR(SEARCH("超过",F55)))</formula>
    </cfRule>
  </conditionalFormatting>
  <conditionalFormatting sqref="F54 H54">
    <cfRule type="containsText" dxfId="44" priority="17" stopIfTrue="1" operator="containsText" text="超过">
      <formula>NOT(ISERROR(SEARCH("超过",F54)))</formula>
    </cfRule>
  </conditionalFormatting>
  <conditionalFormatting sqref="E53">
    <cfRule type="expression" dxfId="43" priority="16" stopIfTrue="1">
      <formula>$F$53="超过30%"</formula>
    </cfRule>
  </conditionalFormatting>
  <conditionalFormatting sqref="E54">
    <cfRule type="expression" dxfId="42" priority="15" stopIfTrue="1">
      <formula>$F$54="超过20%"</formula>
    </cfRule>
  </conditionalFormatting>
  <conditionalFormatting sqref="E55">
    <cfRule type="expression" dxfId="41" priority="14" stopIfTrue="1">
      <formula>$F$55="超过30%"</formula>
    </cfRule>
  </conditionalFormatting>
  <conditionalFormatting sqref="G55">
    <cfRule type="expression" dxfId="40" priority="13" stopIfTrue="1">
      <formula>$H$55="超过30%"</formula>
    </cfRule>
  </conditionalFormatting>
  <conditionalFormatting sqref="G53">
    <cfRule type="expression" dxfId="39" priority="12" stopIfTrue="1">
      <formula>$H$53="超过30%"</formula>
    </cfRule>
  </conditionalFormatting>
  <conditionalFormatting sqref="G54">
    <cfRule type="expression" dxfId="38" priority="11" stopIfTrue="1">
      <formula>$H$54="超过20%"</formula>
    </cfRule>
  </conditionalFormatting>
  <conditionalFormatting sqref="J53">
    <cfRule type="containsText" dxfId="37" priority="10" stopIfTrue="1" operator="containsText" text="超过">
      <formula>NOT(ISERROR(SEARCH("超过",J53)))</formula>
    </cfRule>
  </conditionalFormatting>
  <conditionalFormatting sqref="J55">
    <cfRule type="containsText" dxfId="36" priority="9" stopIfTrue="1" operator="containsText" text="超过">
      <formula>NOT(ISERROR(SEARCH("超过",J55)))</formula>
    </cfRule>
  </conditionalFormatting>
  <conditionalFormatting sqref="J54">
    <cfRule type="containsText" dxfId="35" priority="8" stopIfTrue="1" operator="containsText" text="超过">
      <formula>NOT(ISERROR(SEARCH("超过",J54)))</formula>
    </cfRule>
  </conditionalFormatting>
  <conditionalFormatting sqref="I53">
    <cfRule type="expression" dxfId="34" priority="7" stopIfTrue="1">
      <formula>$J$53="超过30%"</formula>
    </cfRule>
  </conditionalFormatting>
  <conditionalFormatting sqref="I54">
    <cfRule type="expression" dxfId="33" priority="6" stopIfTrue="1">
      <formula>$J$53+$J$54="超过20%"</formula>
    </cfRule>
  </conditionalFormatting>
  <conditionalFormatting sqref="I55">
    <cfRule type="expression" dxfId="32" priority="5" stopIfTrue="1">
      <formula>$J$55="超过30%"</formula>
    </cfRule>
  </conditionalFormatting>
  <conditionalFormatting sqref="F49">
    <cfRule type="expression" dxfId="31" priority="4">
      <formula>$D$49="简单平均"</formula>
    </cfRule>
  </conditionalFormatting>
  <conditionalFormatting sqref="H49">
    <cfRule type="expression" dxfId="30" priority="3">
      <formula>$D$49="简单平均"</formula>
    </cfRule>
  </conditionalFormatting>
  <conditionalFormatting sqref="J49">
    <cfRule type="expression" dxfId="29" priority="2">
      <formula>$D$49="简单平均"</formula>
    </cfRule>
  </conditionalFormatting>
  <conditionalFormatting sqref="F7:F47 H7:H47 J7:J47">
    <cfRule type="cellIs" dxfId="28" priority="1" operator="notEqual">
      <formula>100</formula>
    </cfRule>
  </conditionalFormatting>
  <dataValidations count="25">
    <dataValidation type="list" allowBlank="1" showInputMessage="1" showErrorMessage="1" sqref="D49" xr:uid="{00000000-0002-0000-2100-000000000000}">
      <formula1>"简单平均,加权平均"</formula1>
    </dataValidation>
    <dataValidation type="list" allowBlank="1" showInputMessage="1" showErrorMessage="1" sqref="G2" xr:uid="{00000000-0002-0000-2100-000001000000}">
      <formula1>估价方法</formula1>
    </dataValidation>
    <dataValidation type="list" allowBlank="1" showInputMessage="1" showErrorMessage="1" sqref="D2" xr:uid="{00000000-0002-0000-2100-000002000000}">
      <formula1>"需扣减承租人权益,——"</formula1>
    </dataValidation>
    <dataValidation type="list" allowBlank="1" showInputMessage="1" showErrorMessage="1" sqref="E1" xr:uid="{00000000-0002-0000-2100-000003000000}">
      <formula1>"售价,租金"</formula1>
    </dataValidation>
    <dataValidation type="list" allowBlank="1" showInputMessage="1" showErrorMessage="1" sqref="C22 E22 G22 I22" xr:uid="{00000000-0002-0000-2100-000004000000}">
      <formula1>基础设施水平</formula1>
    </dataValidation>
    <dataValidation type="list" allowBlank="1" showInputMessage="1" showErrorMessage="1" sqref="C1" xr:uid="{00000000-0002-0000-2100-000005000000}">
      <formula1>"估价对象,仅计算典型户型"</formula1>
    </dataValidation>
    <dataValidation type="list" allowBlank="1" showInputMessage="1" showErrorMessage="1" sqref="C8 E8 G8 I8" xr:uid="{00000000-0002-0000-2100-000006000000}">
      <formula1>办公交易情况</formula1>
    </dataValidation>
    <dataValidation type="list" allowBlank="1" showInputMessage="1" showErrorMessage="1" sqref="C43 E43 G43 I43" xr:uid="{00000000-0002-0000-2100-000007000000}">
      <formula1>办公内部装修</formula1>
    </dataValidation>
    <dataValidation type="list" allowBlank="1" showInputMessage="1" showErrorMessage="1" sqref="C41 E41 G41 I41" xr:uid="{00000000-0002-0000-2100-000008000000}">
      <formula1>办公层高</formula1>
    </dataValidation>
    <dataValidation type="list" allowBlank="1" showInputMessage="1" showErrorMessage="1" sqref="C40 E40 G40 I40" xr:uid="{00000000-0002-0000-2100-000009000000}">
      <formula1>办公基础设施水平</formula1>
    </dataValidation>
    <dataValidation type="list" allowBlank="1" showInputMessage="1" showErrorMessage="1" sqref="C39 E39 G39 I39" xr:uid="{00000000-0002-0000-2100-00000A000000}">
      <formula1>办公物业管理</formula1>
    </dataValidation>
    <dataValidation type="list" allowBlank="1" showInputMessage="1" showErrorMessage="1" sqref="C38 E38 G38 I38" xr:uid="{00000000-0002-0000-2100-00000B000000}">
      <formula1>写字楼等级</formula1>
    </dataValidation>
    <dataValidation type="list" allowBlank="1" showInputMessage="1" showErrorMessage="1" sqref="C36 E36 G36 I36" xr:uid="{00000000-0002-0000-2100-00000C000000}">
      <formula1>办公公共部分装修</formula1>
    </dataValidation>
    <dataValidation type="list" allowBlank="1" showInputMessage="1" showErrorMessage="1" sqref="C33 E33 G33 I33" xr:uid="{00000000-0002-0000-2100-00000D000000}">
      <formula1>办公建筑类型</formula1>
    </dataValidation>
    <dataValidation type="list" allowBlank="1" showInputMessage="1" showErrorMessage="1" sqref="C27 E27 G27 I27" xr:uid="{00000000-0002-0000-2100-00000E000000}">
      <formula1>办公楼层</formula1>
    </dataValidation>
    <dataValidation type="list" allowBlank="1" showInputMessage="1" showErrorMessage="1" sqref="C28 E28 G28 I28" xr:uid="{00000000-0002-0000-2100-00000F000000}">
      <formula1>办公朝向</formula1>
    </dataValidation>
    <dataValidation type="list" allowBlank="1" showInputMessage="1" showErrorMessage="1" sqref="G26 C26 E26 I26" xr:uid="{00000000-0002-0000-2100-000010000000}">
      <formula1>办公道路级别</formula1>
    </dataValidation>
    <dataValidation type="list" allowBlank="1" showInputMessage="1" showErrorMessage="1" sqref="C16 E16 G16 I16" xr:uid="{00000000-0002-0000-2100-000011000000}">
      <formula1>办公集聚程度</formula1>
    </dataValidation>
    <dataValidation type="list" allowBlank="1" showInputMessage="1" showErrorMessage="1" sqref="E9 G9 I9" xr:uid="{00000000-0002-0000-2100-000012000000}">
      <formula1>办公用途</formula1>
    </dataValidation>
    <dataValidation type="list" allowBlank="1" showInputMessage="1" showErrorMessage="1" sqref="C10 E10 G10 I10" xr:uid="{00000000-0002-0000-2100-000013000000}">
      <formula1>土地年限区间</formula1>
    </dataValidation>
    <dataValidation type="list" allowBlank="1" showInputMessage="1" showErrorMessage="1" sqref="C44 E44 G44 I44" xr:uid="{00000000-0002-0000-2100-000014000000}">
      <formula1>内部装修维护情况</formula1>
    </dataValidation>
    <dataValidation type="list" allowBlank="1" showInputMessage="1" showErrorMessage="1" sqref="E20 G20 C20 I20" xr:uid="{00000000-0002-0000-2100-000015000000}">
      <formula1>公共配套设施</formula1>
    </dataValidation>
    <dataValidation type="list" allowBlank="1" showInputMessage="1" showErrorMessage="1" sqref="E18 G18 I18 C18" xr:uid="{00000000-0002-0000-2100-000016000000}">
      <formula1>交通便捷度</formula1>
    </dataValidation>
    <dataValidation type="list" allowBlank="1" showInputMessage="1" showErrorMessage="1" sqref="E24 G24 I24 C24" xr:uid="{00000000-0002-0000-2100-000017000000}">
      <formula1>环境</formula1>
    </dataValidation>
    <dataValidation type="list" allowBlank="1" showInputMessage="1" showErrorMessage="1" sqref="C35 E35 G35 I35" xr:uid="{00000000-0002-0000-2100-000018000000}">
      <formula1>办公建筑结构</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pageSetUpPr fitToPage="1"/>
  </sheetPr>
  <dimension ref="A1:AC132"/>
  <sheetViews>
    <sheetView tabSelected="1" view="pageBreakPreview" topLeftCell="C18" zoomScale="90" zoomScaleNormal="60" zoomScaleSheetLayoutView="90" workbookViewId="0">
      <selection activeCell="G23" sqref="G23"/>
    </sheetView>
  </sheetViews>
  <sheetFormatPr defaultColWidth="9" defaultRowHeight="14.25"/>
  <cols>
    <col min="1" max="1" width="10.5" style="1666" customWidth="1"/>
    <col min="2" max="2" width="15.625" style="1666" customWidth="1"/>
    <col min="3" max="3" width="18" style="1666" customWidth="1"/>
    <col min="4" max="4" width="12.125" style="1666" customWidth="1"/>
    <col min="5" max="5" width="14.375" style="1666" customWidth="1"/>
    <col min="6" max="6" width="12.125" style="1666" customWidth="1"/>
    <col min="7" max="7" width="14.5" style="1666" customWidth="1"/>
    <col min="8" max="8" width="12.125" style="1666" customWidth="1"/>
    <col min="9" max="9" width="16.125" style="1666" customWidth="1"/>
    <col min="10" max="10" width="12.125" style="1666" customWidth="1"/>
    <col min="11" max="11" width="12.125" style="1909" customWidth="1"/>
    <col min="12" max="12" width="12.125" style="1910" customWidth="1"/>
    <col min="13" max="15" width="12.125" style="1666" customWidth="1"/>
    <col min="16" max="16" width="4.625" style="1666" customWidth="1"/>
    <col min="17" max="17" width="19.5" style="1666" customWidth="1"/>
    <col min="18" max="22" width="6.125" style="1666" customWidth="1"/>
    <col min="23" max="23" width="5.625" style="1666" customWidth="1"/>
    <col min="24" max="24" width="4.125" style="1666" customWidth="1"/>
    <col min="25" max="25" width="3.5" style="1666" customWidth="1"/>
    <col min="26" max="26" width="19.625" style="1666" customWidth="1"/>
    <col min="27" max="28" width="9.375" style="1666" customWidth="1"/>
    <col min="29" max="16384" width="9" style="1666"/>
  </cols>
  <sheetData>
    <row r="1" spans="1:29" s="1647" customFormat="1" ht="28.5" customHeight="1" thickBot="1">
      <c r="A1" s="1636" t="s">
        <v>2240</v>
      </c>
      <c r="B1" s="1637" t="s">
        <v>2382</v>
      </c>
      <c r="C1" s="1638" t="s">
        <v>2741</v>
      </c>
      <c r="D1" s="1637"/>
      <c r="E1" s="1640" t="s">
        <v>1224</v>
      </c>
      <c r="F1" s="1641" t="s">
        <v>2242</v>
      </c>
      <c r="G1" s="1637"/>
      <c r="H1" s="1637"/>
      <c r="I1" s="1637"/>
      <c r="J1" s="1637"/>
      <c r="K1" s="1642"/>
      <c r="L1" s="1643"/>
      <c r="M1" s="1637"/>
      <c r="N1" s="1637"/>
      <c r="O1" s="1637"/>
      <c r="P1" s="1637"/>
      <c r="Q1" s="1637"/>
      <c r="R1" s="1637"/>
      <c r="S1" s="1637"/>
      <c r="T1" s="1637"/>
      <c r="U1" s="1637"/>
      <c r="V1" s="1637"/>
      <c r="W1" s="1637"/>
      <c r="X1" s="1637"/>
      <c r="Y1" s="1637"/>
      <c r="Z1" s="1637"/>
      <c r="AA1" s="1637"/>
      <c r="AB1" s="2485"/>
      <c r="AC1" s="1646"/>
    </row>
    <row r="2" spans="1:29" s="1959" customFormat="1" ht="28.5" customHeight="1" thickTop="1">
      <c r="A2" s="1648" t="s">
        <v>1287</v>
      </c>
      <c r="B2" s="1649">
        <f>IF(D2="——",IF(C2="元",ROUND(C50*D3,0),ROUND(C50*D3/10000,0)),IF(C2="元",ROUND(C50*D3,0),ROUND(C50*D3/10000,0))-E2)</f>
        <v>5932</v>
      </c>
      <c r="C2" s="1650" t="str">
        <f>'数据-取费表'!B3</f>
        <v>元</v>
      </c>
      <c r="D2" s="1651" t="s">
        <v>1240</v>
      </c>
      <c r="E2" s="2486" t="e">
        <f ca="1">SUMIF(INDIRECT("'"&amp;G2&amp;"'"&amp;"!A:A"),"承租人权益价值",INDIRECT("'"&amp;G2&amp;"'"&amp;"!c:c"))</f>
        <v>#REF!</v>
      </c>
      <c r="F2" s="1653" t="str">
        <f>C2</f>
        <v>元</v>
      </c>
      <c r="G2" s="1654"/>
      <c r="H2" s="3010"/>
      <c r="I2" s="3010"/>
      <c r="J2" s="3010"/>
      <c r="K2" s="3010"/>
      <c r="L2" s="3012"/>
      <c r="M2" s="3010"/>
      <c r="N2" s="3010"/>
      <c r="O2" s="3010"/>
      <c r="P2" s="1956"/>
      <c r="Q2" s="1956"/>
      <c r="R2" s="1956"/>
      <c r="S2" s="1956"/>
      <c r="T2" s="1956"/>
      <c r="U2" s="1956"/>
      <c r="V2" s="1956"/>
      <c r="W2" s="1956"/>
      <c r="X2" s="1956"/>
      <c r="Y2" s="1956"/>
      <c r="Z2" s="1956"/>
      <c r="AA2" s="1956"/>
      <c r="AB2" s="2487"/>
      <c r="AC2" s="1964"/>
    </row>
    <row r="3" spans="1:29" s="1959" customFormat="1" ht="28.5" customHeight="1" thickBot="1">
      <c r="A3" s="1658" t="s">
        <v>1288</v>
      </c>
      <c r="B3" s="1962">
        <f>ROUND(IF(D2="——",C50,IF(C2="万元",B2*10000/D3,B2/D3)),0)</f>
        <v>5</v>
      </c>
      <c r="C3" s="1659" t="s">
        <v>2243</v>
      </c>
      <c r="D3" s="1659">
        <f>IF(C1="仅计算典型户型",'数据-取费表'!E5,'数据-取费表'!B5)</f>
        <v>1088.48</v>
      </c>
      <c r="F3" s="3009"/>
      <c r="G3" s="3010"/>
      <c r="H3" s="3010"/>
      <c r="I3" s="3010"/>
      <c r="J3" s="3010"/>
      <c r="K3" s="3011"/>
      <c r="L3" s="3012"/>
      <c r="M3" s="3010"/>
      <c r="N3" s="3010"/>
      <c r="O3" s="3010"/>
      <c r="P3" s="3017"/>
      <c r="Q3" s="1951"/>
      <c r="R3" s="1951"/>
      <c r="S3" s="1951"/>
      <c r="T3" s="1951"/>
      <c r="U3" s="1951"/>
      <c r="V3" s="1951"/>
      <c r="W3" s="1951"/>
      <c r="X3" s="1956"/>
      <c r="Y3" s="1951"/>
      <c r="Z3" s="1951"/>
      <c r="AA3" s="1951"/>
      <c r="AB3" s="2488"/>
      <c r="AC3" s="1964"/>
    </row>
    <row r="4" spans="1:29" ht="15">
      <c r="A4" s="1662" t="s">
        <v>2244</v>
      </c>
      <c r="B4" s="1663"/>
      <c r="C4" s="4515" t="s">
        <v>2245</v>
      </c>
      <c r="D4" s="4516"/>
      <c r="E4" s="4517" t="s">
        <v>2246</v>
      </c>
      <c r="F4" s="4518"/>
      <c r="G4" s="4515" t="s">
        <v>2247</v>
      </c>
      <c r="H4" s="4516"/>
      <c r="I4" s="4515" t="s">
        <v>2248</v>
      </c>
      <c r="J4" s="4516"/>
      <c r="K4" s="1965" t="s">
        <v>2249</v>
      </c>
      <c r="L4" s="2995"/>
      <c r="M4" s="2996"/>
      <c r="N4" s="2996"/>
      <c r="O4" s="2996"/>
      <c r="P4" s="4519" t="s">
        <v>2250</v>
      </c>
      <c r="Q4" s="4520"/>
      <c r="R4" s="4504" t="s">
        <v>2246</v>
      </c>
      <c r="S4" s="4505"/>
      <c r="T4" s="4504" t="s">
        <v>2247</v>
      </c>
      <c r="U4" s="4505"/>
      <c r="V4" s="4525" t="s">
        <v>2248</v>
      </c>
      <c r="W4" s="4525"/>
      <c r="X4" s="4102"/>
      <c r="Y4" s="4504" t="s">
        <v>2250</v>
      </c>
      <c r="Z4" s="4505"/>
      <c r="AA4" s="4512" t="s">
        <v>2246</v>
      </c>
      <c r="AB4" s="4512" t="s">
        <v>2247</v>
      </c>
      <c r="AC4" s="4512" t="s">
        <v>2248</v>
      </c>
    </row>
    <row r="5" spans="1:29" ht="15">
      <c r="A5" s="1667"/>
      <c r="B5" s="1668"/>
      <c r="C5" s="4739" t="s">
        <v>4982</v>
      </c>
      <c r="D5" s="4527"/>
      <c r="E5" s="4739" t="s">
        <v>4982</v>
      </c>
      <c r="F5" s="4527"/>
      <c r="G5" s="4747" t="s">
        <v>5031</v>
      </c>
      <c r="H5" s="4748"/>
      <c r="I5" s="4742" t="str">
        <f>E5</f>
        <v>数字传媒大厦</v>
      </c>
      <c r="J5" s="4501"/>
      <c r="K5" s="1965"/>
      <c r="L5" s="2995"/>
      <c r="M5" s="2996"/>
      <c r="N5" s="2996"/>
      <c r="O5" s="2996"/>
      <c r="P5" s="4521"/>
      <c r="Q5" s="4522"/>
      <c r="R5" s="4506"/>
      <c r="S5" s="4507"/>
      <c r="T5" s="4506"/>
      <c r="U5" s="4507"/>
      <c r="V5" s="4525"/>
      <c r="W5" s="4525"/>
      <c r="X5" s="4102"/>
      <c r="Y5" s="4506"/>
      <c r="Z5" s="4507"/>
      <c r="AA5" s="4513"/>
      <c r="AB5" s="4513"/>
      <c r="AC5" s="4513"/>
    </row>
    <row r="6" spans="1:29" ht="30" customHeight="1" thickBot="1">
      <c r="A6" s="1670"/>
      <c r="B6" s="1671"/>
      <c r="C6" s="4498" t="s">
        <v>5000</v>
      </c>
      <c r="D6" s="4499"/>
      <c r="E6" s="4528" t="s">
        <v>5029</v>
      </c>
      <c r="F6" s="4529"/>
      <c r="G6" s="4498" t="str">
        <f>'数码科技广场（上地数码广场）2017-2020'!B46</f>
        <v>北京华唐中科科技集团有限公司</v>
      </c>
      <c r="H6" s="4499"/>
      <c r="I6" s="4498" t="s">
        <v>5030</v>
      </c>
      <c r="J6" s="4499"/>
      <c r="K6" s="1965" t="s">
        <v>2256</v>
      </c>
      <c r="L6" s="2995"/>
      <c r="M6" s="2996"/>
      <c r="N6" s="2996"/>
      <c r="O6" s="2996"/>
      <c r="P6" s="4523"/>
      <c r="Q6" s="4524"/>
      <c r="R6" s="4506"/>
      <c r="S6" s="4507"/>
      <c r="T6" s="4508"/>
      <c r="U6" s="4509"/>
      <c r="V6" s="4525"/>
      <c r="W6" s="4525"/>
      <c r="X6" s="4102"/>
      <c r="Y6" s="4508"/>
      <c r="Z6" s="4509"/>
      <c r="AA6" s="4514"/>
      <c r="AB6" s="4514"/>
      <c r="AC6" s="4514"/>
    </row>
    <row r="7" spans="1:29" s="1684" customFormat="1" ht="15.75" thickBot="1">
      <c r="A7" s="1672" t="s">
        <v>2257</v>
      </c>
      <c r="B7" s="1673"/>
      <c r="C7" s="4131">
        <v>43101</v>
      </c>
      <c r="D7" s="1675">
        <v>100</v>
      </c>
      <c r="E7" s="1676">
        <v>43085</v>
      </c>
      <c r="F7" s="1677">
        <f>SUMIF(59:59,YEAR(E7)&amp;"-"&amp;MONTH(E7),60:60)</f>
        <v>100</v>
      </c>
      <c r="G7" s="1966">
        <v>43009</v>
      </c>
      <c r="H7" s="1675">
        <f>SUMIF(59:59,YEAR(G7)&amp;"-"&amp;MONTH(G7),60:60)</f>
        <v>100</v>
      </c>
      <c r="I7" s="1966">
        <v>43094</v>
      </c>
      <c r="J7" s="1675">
        <f>SUMIF(59:59,YEAR(I7)&amp;"-"&amp;MONTH(I7),60:60)</f>
        <v>100</v>
      </c>
      <c r="K7" s="1967"/>
      <c r="L7" s="2995" t="s">
        <v>2905</v>
      </c>
      <c r="M7" s="2968"/>
      <c r="N7" s="2968"/>
      <c r="O7" s="2968"/>
      <c r="P7" s="4502" t="s">
        <v>2258</v>
      </c>
      <c r="Q7" s="4510"/>
      <c r="R7" s="1680" t="s">
        <v>25</v>
      </c>
      <c r="S7" s="1681">
        <f t="shared" ref="S7:S15" si="0">F7</f>
        <v>100</v>
      </c>
      <c r="T7" s="1680" t="s">
        <v>25</v>
      </c>
      <c r="U7" s="1681">
        <f t="shared" ref="U7:U15" si="1">H7</f>
        <v>100</v>
      </c>
      <c r="V7" s="1680" t="s">
        <v>25</v>
      </c>
      <c r="W7" s="1681">
        <f t="shared" ref="W7:W15" si="2">J7</f>
        <v>100</v>
      </c>
      <c r="X7" s="1682"/>
      <c r="Y7" s="4502" t="s">
        <v>2258</v>
      </c>
      <c r="Z7" s="4503"/>
      <c r="AA7" s="1683">
        <f>D7/F7</f>
        <v>1</v>
      </c>
      <c r="AB7" s="1683">
        <f>D7/H7</f>
        <v>1</v>
      </c>
      <c r="AC7" s="1683">
        <f>D7/J7</f>
        <v>1</v>
      </c>
    </row>
    <row r="8" spans="1:29" s="1684" customFormat="1" ht="15.75" thickBot="1">
      <c r="A8" s="1672" t="s">
        <v>2259</v>
      </c>
      <c r="B8" s="1673"/>
      <c r="C8" s="1685" t="s">
        <v>2873</v>
      </c>
      <c r="D8" s="1675">
        <v>100</v>
      </c>
      <c r="E8" s="1685" t="s">
        <v>2873</v>
      </c>
      <c r="F8" s="1677">
        <f>SUMIF(62:62,E8,63:63)-SUMIF(62:62,C8,63:63)+100</f>
        <v>100</v>
      </c>
      <c r="G8" s="1685" t="s">
        <v>2873</v>
      </c>
      <c r="H8" s="1675">
        <f>SUMIF(62:62,G8,63:63)-SUMIF(62:62,C8,63:63)+100</f>
        <v>100</v>
      </c>
      <c r="I8" s="1685" t="s">
        <v>2873</v>
      </c>
      <c r="J8" s="1675">
        <f>SUMIF(62:62,I8,63:63)-SUMIF(62:62,C8,63:63)+100</f>
        <v>100</v>
      </c>
      <c r="K8" s="1967"/>
      <c r="L8" s="2995"/>
      <c r="M8" s="2968"/>
      <c r="N8" s="2968"/>
      <c r="O8" s="2968"/>
      <c r="P8" s="4502" t="s">
        <v>2261</v>
      </c>
      <c r="Q8" s="4503"/>
      <c r="R8" s="1680" t="s">
        <v>25</v>
      </c>
      <c r="S8" s="1681">
        <f t="shared" si="0"/>
        <v>100</v>
      </c>
      <c r="T8" s="1680" t="s">
        <v>25</v>
      </c>
      <c r="U8" s="1681">
        <f t="shared" si="1"/>
        <v>100</v>
      </c>
      <c r="V8" s="1680" t="s">
        <v>25</v>
      </c>
      <c r="W8" s="1681">
        <f t="shared" si="2"/>
        <v>100</v>
      </c>
      <c r="X8" s="1682"/>
      <c r="Y8" s="4502" t="s">
        <v>2261</v>
      </c>
      <c r="Z8" s="4503"/>
      <c r="AA8" s="1683">
        <f t="shared" ref="AA8:AA47" si="3">D8/F8</f>
        <v>1</v>
      </c>
      <c r="AB8" s="1683">
        <f t="shared" ref="AB8:AB47" si="4">D8/H8</f>
        <v>1</v>
      </c>
      <c r="AC8" s="1683">
        <f t="shared" ref="AC8:AC47" si="5">D8/J8</f>
        <v>1</v>
      </c>
    </row>
    <row r="9" spans="1:29" s="1684" customFormat="1" ht="15" thickBot="1">
      <c r="A9" s="4100" t="s">
        <v>2262</v>
      </c>
      <c r="B9" s="1687" t="s">
        <v>2263</v>
      </c>
      <c r="C9" s="3450" t="s">
        <v>3351</v>
      </c>
      <c r="D9" s="1689">
        <v>100</v>
      </c>
      <c r="E9" s="1692" t="s">
        <v>2929</v>
      </c>
      <c r="F9" s="1689">
        <f>SUMIF(64:64,E9,65:65)-SUMIF(64:64,C9,65:65)+100</f>
        <v>100</v>
      </c>
      <c r="G9" s="1692" t="s">
        <v>2929</v>
      </c>
      <c r="H9" s="1689">
        <f>SUMIF(64:64,G9,65:65)-SUMIF(64:64,C9,65:65)+100</f>
        <v>100</v>
      </c>
      <c r="I9" s="1692" t="s">
        <v>2929</v>
      </c>
      <c r="J9" s="1689">
        <f>SUMIF(64:64,I9,65:65)-SUMIF(64:64,C9,65:65)+100</f>
        <v>100</v>
      </c>
      <c r="K9" s="1967"/>
      <c r="L9" s="2995"/>
      <c r="M9" s="2968"/>
      <c r="N9" s="2968"/>
      <c r="O9" s="2968"/>
      <c r="P9" s="4488" t="s">
        <v>2264</v>
      </c>
      <c r="Q9" s="4099" t="str">
        <f t="shared" ref="Q9:Q15" si="6">B9</f>
        <v>用途</v>
      </c>
      <c r="R9" s="1680" t="s">
        <v>25</v>
      </c>
      <c r="S9" s="1681">
        <f t="shared" si="0"/>
        <v>100</v>
      </c>
      <c r="T9" s="1680" t="s">
        <v>25</v>
      </c>
      <c r="U9" s="1681">
        <f t="shared" si="1"/>
        <v>100</v>
      </c>
      <c r="V9" s="1680" t="s">
        <v>25</v>
      </c>
      <c r="W9" s="1681">
        <f t="shared" si="2"/>
        <v>100</v>
      </c>
      <c r="X9" s="1682"/>
      <c r="Y9" s="4349" t="s">
        <v>2265</v>
      </c>
      <c r="Z9" s="1693" t="str">
        <f t="shared" ref="Z9:Z15" si="7">Q9</f>
        <v>用途</v>
      </c>
      <c r="AA9" s="1683">
        <f t="shared" si="3"/>
        <v>1</v>
      </c>
      <c r="AB9" s="1683">
        <f t="shared" si="4"/>
        <v>1</v>
      </c>
      <c r="AC9" s="1683">
        <f t="shared" si="5"/>
        <v>1</v>
      </c>
    </row>
    <row r="10" spans="1:29" s="1701" customFormat="1" ht="27.75" hidden="1" thickBot="1">
      <c r="A10" s="1694"/>
      <c r="B10" s="1695" t="s">
        <v>2266</v>
      </c>
      <c r="C10" s="1696"/>
      <c r="D10" s="1697">
        <v>100</v>
      </c>
      <c r="E10" s="1696"/>
      <c r="F10" s="1697">
        <f>SUMIF(66:66,E10,67:67)-SUMIF(66:66,C10,67:67)+100</f>
        <v>100</v>
      </c>
      <c r="G10" s="1698"/>
      <c r="H10" s="1697">
        <f>SUMIF(66:66,G10,67:67)-SUMIF(66:66,C10,67:67)+100</f>
        <v>100</v>
      </c>
      <c r="I10" s="1696"/>
      <c r="J10" s="1697">
        <f>SUMIF(66:66,I10,67:67)-SUMIF(66:66,C10,67:67)+100</f>
        <v>100</v>
      </c>
      <c r="K10" s="1992"/>
      <c r="L10" s="2997"/>
      <c r="M10" s="2998"/>
      <c r="N10" s="2998"/>
      <c r="O10" s="2998"/>
      <c r="P10" s="4488"/>
      <c r="Q10" s="4099" t="str">
        <f t="shared" si="6"/>
        <v>土地使用年限（年）</v>
      </c>
      <c r="R10" s="1680" t="s">
        <v>25</v>
      </c>
      <c r="S10" s="1681">
        <f t="shared" si="0"/>
        <v>100</v>
      </c>
      <c r="T10" s="1680" t="s">
        <v>25</v>
      </c>
      <c r="U10" s="1681">
        <f t="shared" si="1"/>
        <v>100</v>
      </c>
      <c r="V10" s="1680" t="s">
        <v>25</v>
      </c>
      <c r="W10" s="1681">
        <f t="shared" si="2"/>
        <v>100</v>
      </c>
      <c r="X10" s="1682"/>
      <c r="Y10" s="4349"/>
      <c r="Z10" s="1693" t="str">
        <f t="shared" si="7"/>
        <v>土地使用年限（年）</v>
      </c>
      <c r="AA10" s="1683">
        <f t="shared" si="3"/>
        <v>1</v>
      </c>
      <c r="AB10" s="1683">
        <f t="shared" si="4"/>
        <v>1</v>
      </c>
      <c r="AC10" s="1683">
        <f t="shared" si="5"/>
        <v>1</v>
      </c>
    </row>
    <row r="11" spans="1:29" ht="15.75" hidden="1" thickBot="1">
      <c r="A11" s="1702"/>
      <c r="B11" s="1695" t="s">
        <v>2267</v>
      </c>
      <c r="C11" s="1703"/>
      <c r="D11" s="1697">
        <v>100</v>
      </c>
      <c r="E11" s="1703"/>
      <c r="F11" s="1697">
        <f>LOOKUP(E11,69:69,70:70)-LOOKUP(C11,69:69,70:70)+100</f>
        <v>100</v>
      </c>
      <c r="G11" s="1704"/>
      <c r="H11" s="1697">
        <f>LOOKUP(G11,69:69,70:70)-LOOKUP(C11,69:69,70:70)+100</f>
        <v>100</v>
      </c>
      <c r="I11" s="1703"/>
      <c r="J11" s="1697">
        <f>LOOKUP(I11,69:69,70:70)-LOOKUP(C11,69:69,70:70)+100</f>
        <v>100</v>
      </c>
      <c r="K11" s="1992"/>
      <c r="L11" s="2999"/>
      <c r="M11" s="2996"/>
      <c r="N11" s="2996"/>
      <c r="O11" s="2996"/>
      <c r="P11" s="4488"/>
      <c r="Q11" s="4099" t="str">
        <f t="shared" si="6"/>
        <v>容积率</v>
      </c>
      <c r="R11" s="1680" t="s">
        <v>25</v>
      </c>
      <c r="S11" s="1681">
        <f t="shared" si="0"/>
        <v>100</v>
      </c>
      <c r="T11" s="1680" t="s">
        <v>25</v>
      </c>
      <c r="U11" s="1681">
        <f t="shared" si="1"/>
        <v>100</v>
      </c>
      <c r="V11" s="1680" t="s">
        <v>25</v>
      </c>
      <c r="W11" s="1681">
        <f t="shared" si="2"/>
        <v>100</v>
      </c>
      <c r="X11" s="1682"/>
      <c r="Y11" s="4349"/>
      <c r="Z11" s="1693" t="str">
        <f t="shared" si="7"/>
        <v>容积率</v>
      </c>
      <c r="AA11" s="1683">
        <f t="shared" si="3"/>
        <v>1</v>
      </c>
      <c r="AB11" s="1683">
        <f t="shared" si="4"/>
        <v>1</v>
      </c>
      <c r="AC11" s="1683">
        <f t="shared" si="5"/>
        <v>1</v>
      </c>
    </row>
    <row r="12" spans="1:29" s="1684" customFormat="1" ht="15.75" hidden="1" thickBot="1">
      <c r="A12" s="4101"/>
      <c r="B12" s="1706">
        <v>111</v>
      </c>
      <c r="C12" s="1707"/>
      <c r="D12" s="1708">
        <v>100</v>
      </c>
      <c r="E12" s="1707"/>
      <c r="F12" s="1697">
        <f>SUMIF(71:71,E12,72:72)-SUMIF(71:71,C12,72:72)+100</f>
        <v>100</v>
      </c>
      <c r="G12" s="2489"/>
      <c r="H12" s="1697">
        <f>SUMIF(71:71,G12,72:72)-SUMIF(71:71,C12,72:72)+100</f>
        <v>100</v>
      </c>
      <c r="I12" s="1707"/>
      <c r="J12" s="1697">
        <f>SUMIF(71:71,I12,72:72)-SUMIF(71:71,C12,72:72)+100</f>
        <v>100</v>
      </c>
      <c r="K12" s="1989"/>
      <c r="L12" s="2995"/>
      <c r="M12" s="2968"/>
      <c r="N12" s="2968"/>
      <c r="O12" s="2968"/>
      <c r="P12" s="4488"/>
      <c r="Q12" s="4099">
        <f t="shared" si="6"/>
        <v>111</v>
      </c>
      <c r="R12" s="1680" t="s">
        <v>25</v>
      </c>
      <c r="S12" s="1681">
        <f t="shared" si="0"/>
        <v>100</v>
      </c>
      <c r="T12" s="1680" t="s">
        <v>25</v>
      </c>
      <c r="U12" s="1681">
        <f t="shared" si="1"/>
        <v>100</v>
      </c>
      <c r="V12" s="1680" t="s">
        <v>25</v>
      </c>
      <c r="W12" s="1681">
        <f t="shared" si="2"/>
        <v>100</v>
      </c>
      <c r="X12" s="1682"/>
      <c r="Y12" s="4349"/>
      <c r="Z12" s="1693">
        <f t="shared" si="7"/>
        <v>111</v>
      </c>
      <c r="AA12" s="1683">
        <f>D12/F12</f>
        <v>1</v>
      </c>
      <c r="AB12" s="1683">
        <f>D12/H12</f>
        <v>1</v>
      </c>
      <c r="AC12" s="1683">
        <f>D12/J12</f>
        <v>1</v>
      </c>
    </row>
    <row r="13" spans="1:29" ht="15.75" hidden="1" thickBot="1">
      <c r="A13" s="1702"/>
      <c r="B13" s="1706">
        <v>111</v>
      </c>
      <c r="C13" s="1710"/>
      <c r="D13" s="1711">
        <v>100</v>
      </c>
      <c r="E13" s="1707"/>
      <c r="F13" s="1697">
        <f>SUMIF(73:73,E13,74:74)-SUMIF(73:73,C13,74:74)+100</f>
        <v>100</v>
      </c>
      <c r="G13" s="2489"/>
      <c r="H13" s="1711">
        <f>SUMIF(73:73,G13,74:74)-SUMIF(73:73,C13,74:74)+100</f>
        <v>100</v>
      </c>
      <c r="I13" s="1707"/>
      <c r="J13" s="1711">
        <f>SUMIF(73:73,I13,74:74)-SUMIF(73:73,C13,74:74)+100</f>
        <v>100</v>
      </c>
      <c r="K13" s="1989"/>
      <c r="L13" s="3000"/>
      <c r="M13" s="2996"/>
      <c r="N13" s="2996"/>
      <c r="O13" s="2996"/>
      <c r="P13" s="4488"/>
      <c r="Q13" s="4099">
        <f t="shared" si="6"/>
        <v>111</v>
      </c>
      <c r="R13" s="1680" t="s">
        <v>25</v>
      </c>
      <c r="S13" s="1681">
        <f t="shared" si="0"/>
        <v>100</v>
      </c>
      <c r="T13" s="1680" t="s">
        <v>25</v>
      </c>
      <c r="U13" s="1681">
        <f t="shared" si="1"/>
        <v>100</v>
      </c>
      <c r="V13" s="1680" t="s">
        <v>25</v>
      </c>
      <c r="W13" s="1681">
        <f t="shared" si="2"/>
        <v>100</v>
      </c>
      <c r="X13" s="1682"/>
      <c r="Y13" s="4349"/>
      <c r="Z13" s="1693">
        <f t="shared" si="7"/>
        <v>111</v>
      </c>
      <c r="AA13" s="1683">
        <f t="shared" si="3"/>
        <v>1</v>
      </c>
      <c r="AB13" s="1683">
        <f t="shared" si="4"/>
        <v>1</v>
      </c>
      <c r="AC13" s="1683">
        <f t="shared" si="5"/>
        <v>1</v>
      </c>
    </row>
    <row r="14" spans="1:29" ht="15.75" hidden="1" thickBot="1">
      <c r="A14" s="1712"/>
      <c r="B14" s="1713">
        <v>111</v>
      </c>
      <c r="C14" s="1714"/>
      <c r="D14" s="1715">
        <v>100</v>
      </c>
      <c r="E14" s="2490"/>
      <c r="F14" s="1715">
        <f>SUMIF(75:75,E14,76:76)-SUMIF(75:75,C14,76:76)+100</f>
        <v>100</v>
      </c>
      <c r="G14" s="2489"/>
      <c r="H14" s="1715">
        <f>SUMIF(75:75,G14,76:76)-SUMIF(75:75,C14,76:76)+100</f>
        <v>100</v>
      </c>
      <c r="I14" s="1707"/>
      <c r="J14" s="1715">
        <f>SUMIF(75:75,I14,76:76)-SUMIF(75:75,C14,76:76)+100</f>
        <v>100</v>
      </c>
      <c r="K14" s="1989"/>
      <c r="L14" s="3000"/>
      <c r="M14" s="2996"/>
      <c r="N14" s="2996"/>
      <c r="O14" s="2996"/>
      <c r="P14" s="4488"/>
      <c r="Q14" s="4099">
        <f t="shared" si="6"/>
        <v>111</v>
      </c>
      <c r="R14" s="1680" t="s">
        <v>25</v>
      </c>
      <c r="S14" s="1681">
        <f t="shared" si="0"/>
        <v>100</v>
      </c>
      <c r="T14" s="1680" t="s">
        <v>25</v>
      </c>
      <c r="U14" s="1681">
        <f t="shared" si="1"/>
        <v>100</v>
      </c>
      <c r="V14" s="1680" t="s">
        <v>25</v>
      </c>
      <c r="W14" s="1681">
        <f t="shared" si="2"/>
        <v>100</v>
      </c>
      <c r="X14" s="1682"/>
      <c r="Y14" s="4349"/>
      <c r="Z14" s="1693">
        <f t="shared" si="7"/>
        <v>111</v>
      </c>
      <c r="AA14" s="1683">
        <f t="shared" si="3"/>
        <v>1</v>
      </c>
      <c r="AB14" s="1683">
        <f t="shared" si="4"/>
        <v>1</v>
      </c>
      <c r="AC14" s="1683">
        <f t="shared" si="5"/>
        <v>1</v>
      </c>
    </row>
    <row r="15" spans="1:29" ht="31.5" customHeight="1">
      <c r="A15" s="1717" t="s">
        <v>2268</v>
      </c>
      <c r="B15" s="2491" t="s">
        <v>2383</v>
      </c>
      <c r="C15" s="1973" t="str">
        <f>估价对象房地状况!C5</f>
        <v>估价对象位于上地商圈，周边办公楼项目有上地研华科技大厦、许继大厦、华为大厦、华环大厦、自主创新大厦等，入驻率高，办公集聚程度较好。</v>
      </c>
      <c r="D15" s="1720">
        <v>100</v>
      </c>
      <c r="E15" s="3728"/>
      <c r="F15" s="1720">
        <f>SUMIF(77:77,E16,78:78)-SUMIF(77:77,C16,78:78)+100</f>
        <v>100</v>
      </c>
      <c r="G15" s="3728"/>
      <c r="H15" s="1720">
        <f>SUMIF(77:77,G16,78:78)-SUMIF(77:77,C16,78:78)+100</f>
        <v>100</v>
      </c>
      <c r="I15" s="3728"/>
      <c r="J15" s="1720">
        <f>SUMIF(77:77,I16,78:78)-SUMIF(77:77,C16,78:78)+100</f>
        <v>100</v>
      </c>
      <c r="K15" s="2471">
        <v>2</v>
      </c>
      <c r="L15" s="3000"/>
      <c r="M15" s="2996"/>
      <c r="N15" s="2996"/>
      <c r="O15" s="2996"/>
      <c r="P15" s="4491" t="s">
        <v>2269</v>
      </c>
      <c r="Q15" s="4105" t="str">
        <f t="shared" si="6"/>
        <v>办公集聚程度</v>
      </c>
      <c r="R15" s="1725" t="s">
        <v>25</v>
      </c>
      <c r="S15" s="1726">
        <f t="shared" si="0"/>
        <v>100</v>
      </c>
      <c r="T15" s="1725" t="s">
        <v>25</v>
      </c>
      <c r="U15" s="1726">
        <f t="shared" si="1"/>
        <v>100</v>
      </c>
      <c r="V15" s="1725" t="s">
        <v>25</v>
      </c>
      <c r="W15" s="1726">
        <f t="shared" si="2"/>
        <v>100</v>
      </c>
      <c r="X15" s="4102"/>
      <c r="Y15" s="4491" t="s">
        <v>2269</v>
      </c>
      <c r="Z15" s="4103" t="str">
        <f t="shared" si="7"/>
        <v>办公集聚程度</v>
      </c>
      <c r="AA15" s="4106">
        <f t="shared" si="3"/>
        <v>1</v>
      </c>
      <c r="AB15" s="4106">
        <f t="shared" si="4"/>
        <v>1</v>
      </c>
      <c r="AC15" s="4106">
        <f t="shared" si="5"/>
        <v>1</v>
      </c>
    </row>
    <row r="16" spans="1:29" ht="15">
      <c r="A16" s="1702"/>
      <c r="B16" s="2492"/>
      <c r="C16" s="1975" t="s">
        <v>30</v>
      </c>
      <c r="D16" s="1731"/>
      <c r="E16" s="1975" t="s">
        <v>30</v>
      </c>
      <c r="F16" s="1731"/>
      <c r="G16" s="1975" t="s">
        <v>30</v>
      </c>
      <c r="H16" s="1735"/>
      <c r="I16" s="1975" t="s">
        <v>30</v>
      </c>
      <c r="J16" s="1731"/>
      <c r="K16" s="2472"/>
      <c r="L16" s="3000"/>
      <c r="M16" s="2996"/>
      <c r="N16" s="2996"/>
      <c r="O16" s="2996"/>
      <c r="P16" s="4492"/>
      <c r="Q16" s="4105"/>
      <c r="R16" s="1725"/>
      <c r="S16" s="1726"/>
      <c r="T16" s="1725"/>
      <c r="U16" s="1726"/>
      <c r="V16" s="1725"/>
      <c r="W16" s="1726"/>
      <c r="X16" s="4102"/>
      <c r="Y16" s="4492"/>
      <c r="Z16" s="4103"/>
      <c r="AA16" s="4106">
        <v>1</v>
      </c>
      <c r="AB16" s="4106">
        <v>1</v>
      </c>
      <c r="AC16" s="4106">
        <v>1</v>
      </c>
    </row>
    <row r="17" spans="1:29" ht="36.75" customHeight="1">
      <c r="A17" s="1702"/>
      <c r="B17" s="2493" t="s">
        <v>1704</v>
      </c>
      <c r="C17" s="1980" t="str">
        <f>估价对象房地状况!C6</f>
        <v>估价对象临近高速路-京新高速，紧邻城市主干道-信息路，距离清河火车站、地铁昌平线、13号线清河站约900米，周边有320路、365路、446路、447路、495路等公交线路通达，停车便捷程度较好，综合评价交通便捷度好。</v>
      </c>
      <c r="D17" s="1735">
        <v>100</v>
      </c>
      <c r="E17" s="3730"/>
      <c r="F17" s="1735">
        <f>SUMIF(79:79,E18,80:80)-SUMIF(79:79,C18,80:80)+100</f>
        <v>100</v>
      </c>
      <c r="G17" s="3730"/>
      <c r="H17" s="1742">
        <f>SUMIF(79:79,G18,80:80)-SUMIF(79:79,C18,80:80)+100</f>
        <v>100</v>
      </c>
      <c r="I17" s="3730"/>
      <c r="J17" s="1742">
        <f>SUMIF(79:79,I18,80:80)-SUMIF(79:79,C18,80:80)+100</f>
        <v>100</v>
      </c>
      <c r="K17" s="2471">
        <v>2</v>
      </c>
      <c r="L17" s="3000"/>
      <c r="M17" s="2996"/>
      <c r="N17" s="2996"/>
      <c r="O17" s="2996"/>
      <c r="P17" s="4492"/>
      <c r="Q17" s="4105" t="str">
        <f>B17</f>
        <v>交通便捷度</v>
      </c>
      <c r="R17" s="1725" t="s">
        <v>25</v>
      </c>
      <c r="S17" s="1726">
        <f>F17</f>
        <v>100</v>
      </c>
      <c r="T17" s="1725" t="s">
        <v>25</v>
      </c>
      <c r="U17" s="1726">
        <f>H17</f>
        <v>100</v>
      </c>
      <c r="V17" s="1725" t="s">
        <v>25</v>
      </c>
      <c r="W17" s="1726">
        <f>J17</f>
        <v>100</v>
      </c>
      <c r="X17" s="4102"/>
      <c r="Y17" s="4492"/>
      <c r="Z17" s="4103" t="str">
        <f>Q17</f>
        <v>交通便捷度</v>
      </c>
      <c r="AA17" s="4106">
        <f t="shared" si="3"/>
        <v>1</v>
      </c>
      <c r="AB17" s="4106">
        <f t="shared" si="4"/>
        <v>1</v>
      </c>
      <c r="AC17" s="4106">
        <f t="shared" si="5"/>
        <v>1</v>
      </c>
    </row>
    <row r="18" spans="1:29" ht="15">
      <c r="A18" s="1702"/>
      <c r="B18" s="2494"/>
      <c r="C18" s="1979" t="s">
        <v>30</v>
      </c>
      <c r="D18" s="1735"/>
      <c r="E18" s="1979" t="s">
        <v>30</v>
      </c>
      <c r="F18" s="1735"/>
      <c r="G18" s="1979" t="s">
        <v>30</v>
      </c>
      <c r="H18" s="1731"/>
      <c r="I18" s="1979" t="s">
        <v>30</v>
      </c>
      <c r="J18" s="1731"/>
      <c r="K18" s="2472"/>
      <c r="L18" s="3000"/>
      <c r="M18" s="2996"/>
      <c r="N18" s="2996"/>
      <c r="O18" s="2996"/>
      <c r="P18" s="4492"/>
      <c r="Q18" s="4105"/>
      <c r="R18" s="1725"/>
      <c r="S18" s="1726"/>
      <c r="T18" s="1725"/>
      <c r="U18" s="1726"/>
      <c r="V18" s="1725"/>
      <c r="W18" s="1726"/>
      <c r="X18" s="4102"/>
      <c r="Y18" s="4492"/>
      <c r="Z18" s="4103"/>
      <c r="AA18" s="4106">
        <v>1</v>
      </c>
      <c r="AB18" s="4106">
        <v>1</v>
      </c>
      <c r="AC18" s="4106">
        <v>1</v>
      </c>
    </row>
    <row r="19" spans="1:29" ht="36" customHeight="1">
      <c r="A19" s="1702"/>
      <c r="B19" s="2493" t="s">
        <v>2384</v>
      </c>
      <c r="C19" s="1980" t="str">
        <f>估价对象房地状况!C7</f>
        <v>银行：农村商业银行、北京银行（上地支行）、中国工商银行（北京中关村支行）、中国银行（北京上地信息路支行）等金融场所；
商业设施：北京华联上地购物中心、数字山谷下沉商业广场等商业设施；
教育机构：北京八维研修学院、北京市上地实验学校、中关村第一小学（西二旗分校）、北京市海淀区第二实验小学（当代校区）、美和园幼儿园（智学苑分园）等教育机构；
医疗机构：北京市上地医院、北京市海淀区清河街道西二旗社区卫生服务站等医疗机构；
估价对象所在区域公共配套设施齐备情况较好。</v>
      </c>
      <c r="D19" s="1742">
        <v>100</v>
      </c>
      <c r="E19" s="3729"/>
      <c r="F19" s="1742">
        <f>SUMIF(81:81,E20,82:82)-SUMIF(81:81,C20,82:82)+100</f>
        <v>100</v>
      </c>
      <c r="G19" s="3729"/>
      <c r="H19" s="1735">
        <f>SUMIF(81:81,G20,82:82)-SUMIF(81:81,C20,82:82)+100</f>
        <v>100</v>
      </c>
      <c r="I19" s="3729"/>
      <c r="J19" s="1735">
        <f>SUMIF(81:81,I20,82:82)-SUMIF(81:81,C20,82:82)+100</f>
        <v>100</v>
      </c>
      <c r="K19" s="2471">
        <v>2</v>
      </c>
      <c r="L19" s="3000"/>
      <c r="M19" s="2996"/>
      <c r="N19" s="2996"/>
      <c r="O19" s="2996"/>
      <c r="P19" s="4492"/>
      <c r="Q19" s="4105" t="str">
        <f>B19</f>
        <v>公共配套设施</v>
      </c>
      <c r="R19" s="1725" t="s">
        <v>25</v>
      </c>
      <c r="S19" s="1726">
        <f>F19</f>
        <v>100</v>
      </c>
      <c r="T19" s="1725" t="s">
        <v>25</v>
      </c>
      <c r="U19" s="1726">
        <f>H19</f>
        <v>100</v>
      </c>
      <c r="V19" s="1725" t="s">
        <v>25</v>
      </c>
      <c r="W19" s="1726">
        <f>J19</f>
        <v>100</v>
      </c>
      <c r="X19" s="4102"/>
      <c r="Y19" s="4492"/>
      <c r="Z19" s="4103" t="str">
        <f>Q19</f>
        <v>公共配套设施</v>
      </c>
      <c r="AA19" s="4106">
        <f t="shared" si="3"/>
        <v>1</v>
      </c>
      <c r="AB19" s="4106">
        <f t="shared" si="4"/>
        <v>1</v>
      </c>
      <c r="AC19" s="4106">
        <f t="shared" si="5"/>
        <v>1</v>
      </c>
    </row>
    <row r="20" spans="1:29" ht="15">
      <c r="A20" s="1702"/>
      <c r="B20" s="2494"/>
      <c r="C20" s="1975" t="s">
        <v>31</v>
      </c>
      <c r="D20" s="1731"/>
      <c r="E20" s="1975" t="s">
        <v>31</v>
      </c>
      <c r="F20" s="1731"/>
      <c r="G20" s="1975" t="s">
        <v>31</v>
      </c>
      <c r="H20" s="1731"/>
      <c r="I20" s="1975" t="s">
        <v>31</v>
      </c>
      <c r="J20" s="1731"/>
      <c r="K20" s="2472"/>
      <c r="L20" s="3000"/>
      <c r="M20" s="2996"/>
      <c r="N20" s="2996"/>
      <c r="O20" s="2996"/>
      <c r="P20" s="4492"/>
      <c r="Q20" s="4105"/>
      <c r="R20" s="1725"/>
      <c r="S20" s="1726"/>
      <c r="T20" s="1725"/>
      <c r="U20" s="1726"/>
      <c r="V20" s="1725"/>
      <c r="W20" s="1726"/>
      <c r="X20" s="4102"/>
      <c r="Y20" s="4492"/>
      <c r="Z20" s="4103"/>
      <c r="AA20" s="4106">
        <v>1</v>
      </c>
      <c r="AB20" s="4106">
        <v>1</v>
      </c>
      <c r="AC20" s="4106">
        <v>1</v>
      </c>
    </row>
    <row r="21" spans="1:29" ht="36" customHeight="1">
      <c r="A21" s="1702"/>
      <c r="B21" s="2495" t="s">
        <v>2385</v>
      </c>
      <c r="C21" s="1980" t="str">
        <f>估价对象房地状况!C8</f>
        <v>估价对象所在区域基础设施水平-七通</v>
      </c>
      <c r="D21" s="1742">
        <v>100</v>
      </c>
      <c r="E21" s="3731"/>
      <c r="F21" s="1742">
        <f>SUMIF(83:83,E22,84:84)-SUMIF(83:83,C22,84:84)+100</f>
        <v>100</v>
      </c>
      <c r="G21" s="3731"/>
      <c r="H21" s="1735">
        <f>SUMIF(83:83,G22,84:84)-SUMIF(83:83,C22,84:84)+100</f>
        <v>100</v>
      </c>
      <c r="I21" s="3731"/>
      <c r="J21" s="1735">
        <f>SUMIF(83:83,I22,84:84)-SUMIF(83:83,C22,84:84)+100</f>
        <v>100</v>
      </c>
      <c r="K21" s="2471">
        <v>1</v>
      </c>
      <c r="L21" s="3000"/>
      <c r="M21" s="2996"/>
      <c r="N21" s="2996"/>
      <c r="O21" s="2996"/>
      <c r="P21" s="4492"/>
      <c r="Q21" s="4105" t="str">
        <f>B21</f>
        <v>基础设施水平</v>
      </c>
      <c r="R21" s="1725" t="s">
        <v>25</v>
      </c>
      <c r="S21" s="1726">
        <f>F21</f>
        <v>100</v>
      </c>
      <c r="T21" s="1725" t="s">
        <v>25</v>
      </c>
      <c r="U21" s="1726">
        <f>H21</f>
        <v>100</v>
      </c>
      <c r="V21" s="1725" t="s">
        <v>25</v>
      </c>
      <c r="W21" s="1726">
        <f>J21</f>
        <v>100</v>
      </c>
      <c r="X21" s="4102"/>
      <c r="Y21" s="4492"/>
      <c r="Z21" s="4103" t="str">
        <f>Q21</f>
        <v>基础设施水平</v>
      </c>
      <c r="AA21" s="4106">
        <f t="shared" ref="AA21" si="8">D21/F21</f>
        <v>1</v>
      </c>
      <c r="AB21" s="4106">
        <f t="shared" ref="AB21" si="9">D21/H21</f>
        <v>1</v>
      </c>
      <c r="AC21" s="4106">
        <f t="shared" ref="AC21" si="10">D21/J21</f>
        <v>1</v>
      </c>
    </row>
    <row r="22" spans="1:29" ht="15">
      <c r="A22" s="1702"/>
      <c r="B22" s="2495"/>
      <c r="C22" s="1979" t="s">
        <v>2921</v>
      </c>
      <c r="D22" s="1731"/>
      <c r="E22" s="1979" t="s">
        <v>2921</v>
      </c>
      <c r="F22" s="1731"/>
      <c r="G22" s="1979" t="s">
        <v>2921</v>
      </c>
      <c r="H22" s="1731"/>
      <c r="I22" s="1979" t="s">
        <v>2921</v>
      </c>
      <c r="J22" s="1731"/>
      <c r="K22" s="2473"/>
      <c r="L22" s="3000"/>
      <c r="M22" s="2996"/>
      <c r="N22" s="2996"/>
      <c r="O22" s="2996"/>
      <c r="P22" s="4492"/>
      <c r="Q22" s="4105"/>
      <c r="R22" s="1725"/>
      <c r="S22" s="1726"/>
      <c r="T22" s="1725"/>
      <c r="U22" s="1726"/>
      <c r="V22" s="1725"/>
      <c r="W22" s="1726"/>
      <c r="X22" s="4102"/>
      <c r="Y22" s="4492"/>
      <c r="Z22" s="4103"/>
      <c r="AA22" s="4106">
        <v>1</v>
      </c>
      <c r="AB22" s="4106">
        <v>1</v>
      </c>
      <c r="AC22" s="4106">
        <v>1</v>
      </c>
    </row>
    <row r="23" spans="1:29" ht="44.25" customHeight="1">
      <c r="A23" s="1702"/>
      <c r="B23" s="2493" t="s">
        <v>2386</v>
      </c>
      <c r="C23" s="1980" t="str">
        <f>估价对象房地状况!C9</f>
        <v>区域自然环境：上地公园、快乐成长家庭人口文化园等；人文环境；周边人文设施较少；
综合评价环境状况一般。</v>
      </c>
      <c r="D23" s="1735">
        <v>100</v>
      </c>
      <c r="E23" s="3729"/>
      <c r="F23" s="1735">
        <f>SUMIF(85:85,E24,86:86)-SUMIF(85:85,C24,86:86)+100</f>
        <v>100</v>
      </c>
      <c r="G23" s="3729"/>
      <c r="H23" s="1735">
        <f>SUMIF(85:85,G24,86:86)-SUMIF(85:85,C24,86:86)+100</f>
        <v>100</v>
      </c>
      <c r="I23" s="3729"/>
      <c r="J23" s="1735">
        <f>SUMIF(85:85,I24,86:86)-SUMIF(85:85,C24,86:86)+100</f>
        <v>100</v>
      </c>
      <c r="K23" s="2471">
        <v>2</v>
      </c>
      <c r="L23" s="3000"/>
      <c r="M23" s="2996"/>
      <c r="N23" s="2996"/>
      <c r="O23" s="2996"/>
      <c r="P23" s="4492"/>
      <c r="Q23" s="4105" t="str">
        <f>B23</f>
        <v>环境质量</v>
      </c>
      <c r="R23" s="1725" t="s">
        <v>25</v>
      </c>
      <c r="S23" s="1726">
        <f>F23</f>
        <v>100</v>
      </c>
      <c r="T23" s="1725" t="s">
        <v>25</v>
      </c>
      <c r="U23" s="1726">
        <f>H23</f>
        <v>100</v>
      </c>
      <c r="V23" s="1725" t="s">
        <v>25</v>
      </c>
      <c r="W23" s="1726">
        <f>J23</f>
        <v>100</v>
      </c>
      <c r="X23" s="4102"/>
      <c r="Y23" s="4492"/>
      <c r="Z23" s="4103" t="str">
        <f>Q23</f>
        <v>环境质量</v>
      </c>
      <c r="AA23" s="4106">
        <f t="shared" si="3"/>
        <v>1</v>
      </c>
      <c r="AB23" s="4106">
        <f t="shared" si="4"/>
        <v>1</v>
      </c>
      <c r="AC23" s="4106">
        <f t="shared" si="5"/>
        <v>1</v>
      </c>
    </row>
    <row r="24" spans="1:29" ht="15">
      <c r="A24" s="1702"/>
      <c r="B24" s="2495"/>
      <c r="C24" s="1975" t="s">
        <v>31</v>
      </c>
      <c r="D24" s="1731"/>
      <c r="E24" s="1975" t="s">
        <v>31</v>
      </c>
      <c r="F24" s="1731"/>
      <c r="G24" s="1975" t="s">
        <v>31</v>
      </c>
      <c r="H24" s="1731"/>
      <c r="I24" s="1975" t="s">
        <v>31</v>
      </c>
      <c r="J24" s="1731"/>
      <c r="K24" s="2472"/>
      <c r="L24" s="3000"/>
      <c r="M24" s="2996"/>
      <c r="N24" s="2996"/>
      <c r="O24" s="2996"/>
      <c r="P24" s="4492"/>
      <c r="Q24" s="4105"/>
      <c r="R24" s="1725"/>
      <c r="S24" s="1726"/>
      <c r="T24" s="1725"/>
      <c r="U24" s="1726"/>
      <c r="V24" s="1725"/>
      <c r="W24" s="1726"/>
      <c r="X24" s="4102"/>
      <c r="Y24" s="4492"/>
      <c r="Z24" s="4103"/>
      <c r="AA24" s="4106">
        <v>1</v>
      </c>
      <c r="AB24" s="4106">
        <v>1</v>
      </c>
      <c r="AC24" s="4106">
        <v>1</v>
      </c>
    </row>
    <row r="25" spans="1:29" ht="27" hidden="1">
      <c r="A25" s="1667"/>
      <c r="B25" s="2493" t="s">
        <v>2387</v>
      </c>
      <c r="C25" s="3732" t="s">
        <v>4988</v>
      </c>
      <c r="D25" s="1711">
        <v>100</v>
      </c>
      <c r="E25" s="3727" t="s">
        <v>5019</v>
      </c>
      <c r="F25" s="1711">
        <f>SUMIF(87:87,E26,88:88)-SUMIF(87:87,C26,88:88)+100</f>
        <v>100</v>
      </c>
      <c r="G25" s="3732" t="s">
        <v>5032</v>
      </c>
      <c r="H25" s="1711">
        <f>SUMIF(87:87,G26,88:88)-SUMIF(87:87,C26,88:88)+100</f>
        <v>100</v>
      </c>
      <c r="I25" s="3732" t="str">
        <f>E25</f>
        <v>城市支路-上地六街</v>
      </c>
      <c r="J25" s="1711">
        <f>SUMIF(87:87,I26,88:88)-SUMIF(87:87,C26,88:88)+100</f>
        <v>100</v>
      </c>
      <c r="K25" s="2471">
        <v>2</v>
      </c>
      <c r="L25" s="3000"/>
      <c r="M25" s="2996"/>
      <c r="N25" s="2996"/>
      <c r="O25" s="2996"/>
      <c r="P25" s="4492"/>
      <c r="Q25" s="4105" t="str">
        <f>B25</f>
        <v>毗邻道路的类型与等级</v>
      </c>
      <c r="R25" s="1725" t="s">
        <v>25</v>
      </c>
      <c r="S25" s="1726">
        <f>F25</f>
        <v>100</v>
      </c>
      <c r="T25" s="1725" t="s">
        <v>25</v>
      </c>
      <c r="U25" s="1726">
        <f>H25</f>
        <v>100</v>
      </c>
      <c r="V25" s="1725" t="s">
        <v>25</v>
      </c>
      <c r="W25" s="1726">
        <f>J25</f>
        <v>100</v>
      </c>
      <c r="X25" s="4102"/>
      <c r="Y25" s="4492"/>
      <c r="Z25" s="4103" t="str">
        <f>Q25</f>
        <v>毗邻道路的类型与等级</v>
      </c>
      <c r="AA25" s="4106">
        <f t="shared" si="3"/>
        <v>1</v>
      </c>
      <c r="AB25" s="4106">
        <f t="shared" si="4"/>
        <v>1</v>
      </c>
      <c r="AC25" s="4106">
        <f t="shared" si="5"/>
        <v>1</v>
      </c>
    </row>
    <row r="26" spans="1:29" ht="15" hidden="1">
      <c r="A26" s="1667"/>
      <c r="B26" s="2494"/>
      <c r="C26" s="1983" t="s">
        <v>4987</v>
      </c>
      <c r="D26" s="1711"/>
      <c r="E26" s="1991" t="s">
        <v>4987</v>
      </c>
      <c r="F26" s="1711"/>
      <c r="G26" s="1983" t="s">
        <v>4987</v>
      </c>
      <c r="H26" s="1711"/>
      <c r="I26" s="1991" t="s">
        <v>4987</v>
      </c>
      <c r="J26" s="1711"/>
      <c r="K26" s="2472"/>
      <c r="L26" s="3000"/>
      <c r="M26" s="2996"/>
      <c r="N26" s="2996"/>
      <c r="O26" s="2996"/>
      <c r="P26" s="4492"/>
      <c r="Q26" s="4105"/>
      <c r="R26" s="1725"/>
      <c r="S26" s="1726"/>
      <c r="T26" s="1725"/>
      <c r="U26" s="1726"/>
      <c r="V26" s="1725"/>
      <c r="W26" s="1726"/>
      <c r="X26" s="4102"/>
      <c r="Y26" s="4492"/>
      <c r="Z26" s="4103"/>
      <c r="AA26" s="4106">
        <v>1</v>
      </c>
      <c r="AB26" s="4106">
        <v>1</v>
      </c>
      <c r="AC26" s="4106">
        <v>1</v>
      </c>
    </row>
    <row r="27" spans="1:29" ht="15.75" thickBot="1">
      <c r="A27" s="1702"/>
      <c r="B27" s="2494" t="s">
        <v>2360</v>
      </c>
      <c r="C27" s="1983" t="s">
        <v>4990</v>
      </c>
      <c r="D27" s="1711">
        <v>100</v>
      </c>
      <c r="E27" s="1983" t="s">
        <v>4990</v>
      </c>
      <c r="F27" s="1711">
        <f>SUMIF(89:89,E27,90:90)-SUMIF(89:89,C27,90:90)+100</f>
        <v>100</v>
      </c>
      <c r="G27" s="1983" t="s">
        <v>4990</v>
      </c>
      <c r="H27" s="1711">
        <f>SUMIF(89:89,G27,90:90)-SUMIF(89:89,C27,90:90)+100</f>
        <v>100</v>
      </c>
      <c r="I27" s="1983" t="s">
        <v>4990</v>
      </c>
      <c r="J27" s="1711">
        <f>SUMIF(89:89,I27,90:90)-SUMIF(89:89,C27,90:90)+100</f>
        <v>100</v>
      </c>
      <c r="K27" s="1992">
        <v>2</v>
      </c>
      <c r="L27" s="3000"/>
      <c r="M27" s="2996"/>
      <c r="N27" s="2996"/>
      <c r="O27" s="2996"/>
      <c r="P27" s="4492"/>
      <c r="Q27" s="4105" t="str">
        <f t="shared" ref="Q27:Q45" si="11">B27</f>
        <v>楼层</v>
      </c>
      <c r="R27" s="1725" t="s">
        <v>25</v>
      </c>
      <c r="S27" s="1726">
        <f>F27</f>
        <v>100</v>
      </c>
      <c r="T27" s="1725" t="s">
        <v>25</v>
      </c>
      <c r="U27" s="1726">
        <f>H27</f>
        <v>100</v>
      </c>
      <c r="V27" s="1725" t="s">
        <v>25</v>
      </c>
      <c r="W27" s="1726">
        <f>J27</f>
        <v>100</v>
      </c>
      <c r="X27" s="4102"/>
      <c r="Y27" s="4492"/>
      <c r="Z27" s="4103" t="str">
        <f>Q27</f>
        <v>楼层</v>
      </c>
      <c r="AA27" s="4106">
        <f t="shared" si="3"/>
        <v>1</v>
      </c>
      <c r="AB27" s="4106">
        <f t="shared" si="4"/>
        <v>1</v>
      </c>
      <c r="AC27" s="4106">
        <f t="shared" si="5"/>
        <v>1</v>
      </c>
    </row>
    <row r="28" spans="1:29" s="1684" customFormat="1" ht="15.75" hidden="1" thickBot="1">
      <c r="A28" s="4101"/>
      <c r="B28" s="2493" t="s">
        <v>2388</v>
      </c>
      <c r="C28" s="2497"/>
      <c r="D28" s="1756">
        <v>100</v>
      </c>
      <c r="E28" s="2475"/>
      <c r="F28" s="1756">
        <f>SUMIF(91:91,E28,92:92)-SUMIF(91:91,C28,92:92)+100</f>
        <v>100</v>
      </c>
      <c r="G28" s="2497"/>
      <c r="H28" s="1756">
        <f>SUMIF(91:91,G28,92:92)-SUMIF(91:91,C28,92:92)+100</f>
        <v>100</v>
      </c>
      <c r="I28" s="2475"/>
      <c r="J28" s="1756">
        <f>SUMIF(91:91,I28,92:92)-SUMIF(91:91,C28,92:92)+100</f>
        <v>100</v>
      </c>
      <c r="K28" s="1992">
        <v>2</v>
      </c>
      <c r="L28" s="2995"/>
      <c r="M28" s="2968"/>
      <c r="N28" s="2968"/>
      <c r="O28" s="2968"/>
      <c r="P28" s="4492"/>
      <c r="Q28" s="4099" t="str">
        <f t="shared" si="11"/>
        <v>朝向</v>
      </c>
      <c r="R28" s="1680" t="s">
        <v>25</v>
      </c>
      <c r="S28" s="1681">
        <f>F28</f>
        <v>100</v>
      </c>
      <c r="T28" s="1680" t="s">
        <v>25</v>
      </c>
      <c r="U28" s="1681">
        <f>H28</f>
        <v>100</v>
      </c>
      <c r="V28" s="1680" t="s">
        <v>25</v>
      </c>
      <c r="W28" s="1681">
        <f>J28</f>
        <v>100</v>
      </c>
      <c r="X28" s="1682"/>
      <c r="Y28" s="4492"/>
      <c r="Z28" s="1693" t="str">
        <f>Q28</f>
        <v>朝向</v>
      </c>
      <c r="AA28" s="4106">
        <f>D28/F28</f>
        <v>1</v>
      </c>
      <c r="AB28" s="4106">
        <f>D28/H28</f>
        <v>1</v>
      </c>
      <c r="AC28" s="4106">
        <f>D28/J28</f>
        <v>1</v>
      </c>
    </row>
    <row r="29" spans="1:29" ht="15.75" hidden="1" thickBot="1">
      <c r="A29" s="1702"/>
      <c r="C29" s="2496"/>
      <c r="D29" s="1711">
        <v>100</v>
      </c>
      <c r="E29" s="1707"/>
      <c r="F29" s="1711">
        <f>SUMIF(93:93,E29,94:94)-SUMIF(93:93,C29,94:94)+100</f>
        <v>100</v>
      </c>
      <c r="G29" s="2489"/>
      <c r="H29" s="1711">
        <f>SUMIF(93:93,G29,94:94)-SUMIF(93:93,C29,94:94)+100</f>
        <v>100</v>
      </c>
      <c r="I29" s="1707"/>
      <c r="J29" s="1711">
        <f>SUMIF(93:93,I29,94:94)-SUMIF(93:93,C29,94:94)+100</f>
        <v>100</v>
      </c>
      <c r="K29" s="1989"/>
      <c r="L29" s="3000"/>
      <c r="M29" s="2996"/>
      <c r="N29" s="2996"/>
      <c r="O29" s="2996"/>
      <c r="P29" s="4492"/>
      <c r="Q29" s="4105">
        <f>B47</f>
        <v>0</v>
      </c>
      <c r="R29" s="1725" t="s">
        <v>25</v>
      </c>
      <c r="S29" s="1726">
        <f t="shared" ref="S29:S47" si="12">F29</f>
        <v>100</v>
      </c>
      <c r="T29" s="1725" t="s">
        <v>25</v>
      </c>
      <c r="U29" s="1726">
        <f t="shared" ref="U29:U47" si="13">H29</f>
        <v>100</v>
      </c>
      <c r="V29" s="1725" t="s">
        <v>25</v>
      </c>
      <c r="W29" s="1726">
        <f t="shared" ref="W29:W47" si="14">J29</f>
        <v>100</v>
      </c>
      <c r="X29" s="4102"/>
      <c r="Y29" s="4492"/>
      <c r="Z29" s="4103">
        <f t="shared" ref="Z29:Z47" si="15">Q29</f>
        <v>0</v>
      </c>
      <c r="AA29" s="4106">
        <f t="shared" si="3"/>
        <v>1</v>
      </c>
      <c r="AB29" s="4106">
        <f t="shared" si="4"/>
        <v>1</v>
      </c>
      <c r="AC29" s="4106">
        <f t="shared" si="5"/>
        <v>1</v>
      </c>
    </row>
    <row r="30" spans="1:29" ht="15.75" hidden="1" thickBot="1">
      <c r="A30" s="1702"/>
      <c r="B30" s="2498">
        <v>111</v>
      </c>
      <c r="C30" s="2496"/>
      <c r="D30" s="1711">
        <v>100</v>
      </c>
      <c r="E30" s="1707"/>
      <c r="F30" s="1711">
        <f>SUMIF(95:95,E30,96:96)-SUMIF(95:95,C30,96:96)+100</f>
        <v>100</v>
      </c>
      <c r="G30" s="2489"/>
      <c r="H30" s="1711">
        <f>SUMIF(95:95,G30,96:96)-SUMIF(95:95,C30,96:96)+100</f>
        <v>100</v>
      </c>
      <c r="I30" s="1707"/>
      <c r="J30" s="1711">
        <f>SUMIF(95:95,I30,96:96)-SUMIF(95:95,C30,96:96)+100</f>
        <v>100</v>
      </c>
      <c r="K30" s="1989"/>
      <c r="L30" s="3000"/>
      <c r="M30" s="2996"/>
      <c r="N30" s="2996"/>
      <c r="O30" s="2996"/>
      <c r="P30" s="4492"/>
      <c r="Q30" s="4105">
        <f t="shared" si="11"/>
        <v>111</v>
      </c>
      <c r="R30" s="1725" t="s">
        <v>25</v>
      </c>
      <c r="S30" s="1726">
        <f t="shared" si="12"/>
        <v>100</v>
      </c>
      <c r="T30" s="1725" t="s">
        <v>25</v>
      </c>
      <c r="U30" s="1726">
        <f t="shared" si="13"/>
        <v>100</v>
      </c>
      <c r="V30" s="1725" t="s">
        <v>25</v>
      </c>
      <c r="W30" s="1726">
        <f t="shared" si="14"/>
        <v>100</v>
      </c>
      <c r="X30" s="4102"/>
      <c r="Y30" s="4492"/>
      <c r="Z30" s="4103">
        <f t="shared" si="15"/>
        <v>111</v>
      </c>
      <c r="AA30" s="4106">
        <f t="shared" si="3"/>
        <v>1</v>
      </c>
      <c r="AB30" s="4106">
        <f t="shared" si="4"/>
        <v>1</v>
      </c>
      <c r="AC30" s="4106">
        <f t="shared" si="5"/>
        <v>1</v>
      </c>
    </row>
    <row r="31" spans="1:29" ht="15.75" hidden="1" thickBot="1">
      <c r="A31" s="1702"/>
      <c r="B31" s="2498">
        <v>111</v>
      </c>
      <c r="C31" s="2496"/>
      <c r="D31" s="1711">
        <v>100</v>
      </c>
      <c r="E31" s="1707"/>
      <c r="F31" s="1711">
        <f>SUMIF(97:97,E31,98:98)-SUMIF(97:97,C31,98:98)+100</f>
        <v>100</v>
      </c>
      <c r="G31" s="2489"/>
      <c r="H31" s="1711">
        <f>SUMIF(97:97,G31,98:98)-SUMIF(97:97,C31,98:98)+100</f>
        <v>100</v>
      </c>
      <c r="I31" s="1707"/>
      <c r="J31" s="1711">
        <f>SUMIF(97:97,I31,98:98)-SUMIF(97:97,C31,98:98)+100</f>
        <v>100</v>
      </c>
      <c r="K31" s="1989"/>
      <c r="L31" s="3000"/>
      <c r="M31" s="2996"/>
      <c r="N31" s="2996"/>
      <c r="O31" s="2996"/>
      <c r="P31" s="4492"/>
      <c r="Q31" s="4105">
        <f t="shared" si="11"/>
        <v>111</v>
      </c>
      <c r="R31" s="1725" t="s">
        <v>25</v>
      </c>
      <c r="S31" s="1726">
        <f t="shared" si="12"/>
        <v>100</v>
      </c>
      <c r="T31" s="1725" t="s">
        <v>25</v>
      </c>
      <c r="U31" s="1726">
        <f t="shared" si="13"/>
        <v>100</v>
      </c>
      <c r="V31" s="1725" t="s">
        <v>25</v>
      </c>
      <c r="W31" s="1726">
        <f t="shared" si="14"/>
        <v>100</v>
      </c>
      <c r="X31" s="4102"/>
      <c r="Y31" s="4492"/>
      <c r="Z31" s="4103">
        <f t="shared" si="15"/>
        <v>111</v>
      </c>
      <c r="AA31" s="4106">
        <f t="shared" si="3"/>
        <v>1</v>
      </c>
      <c r="AB31" s="4106">
        <f t="shared" si="4"/>
        <v>1</v>
      </c>
      <c r="AC31" s="4106">
        <f t="shared" si="5"/>
        <v>1</v>
      </c>
    </row>
    <row r="32" spans="1:29" ht="15.75" hidden="1" thickBot="1">
      <c r="A32" s="1712"/>
      <c r="B32" s="2499">
        <v>111</v>
      </c>
      <c r="C32" s="2500"/>
      <c r="D32" s="1715">
        <v>100</v>
      </c>
      <c r="E32" s="2490"/>
      <c r="F32" s="1715">
        <f>SUMIF(99:99,E32,100:100)-SUMIF(99:99,C32,100:100)+100</f>
        <v>100</v>
      </c>
      <c r="G32" s="2489"/>
      <c r="H32" s="1715">
        <f>SUMIF(99:99,G32,100:100)-SUMIF(99:99,C32,100:100)+100</f>
        <v>100</v>
      </c>
      <c r="I32" s="1707"/>
      <c r="J32" s="1715">
        <f>SUMIF(99:99,I32,100:100)-SUMIF(99:99,C32,100:100)+100</f>
        <v>100</v>
      </c>
      <c r="K32" s="1989"/>
      <c r="L32" s="3000"/>
      <c r="M32" s="2996"/>
      <c r="N32" s="2996"/>
      <c r="O32" s="2996"/>
      <c r="P32" s="4492"/>
      <c r="Q32" s="4105">
        <f t="shared" si="11"/>
        <v>111</v>
      </c>
      <c r="R32" s="1725" t="s">
        <v>25</v>
      </c>
      <c r="S32" s="1726">
        <f t="shared" si="12"/>
        <v>100</v>
      </c>
      <c r="T32" s="1725" t="s">
        <v>25</v>
      </c>
      <c r="U32" s="1726">
        <f t="shared" si="13"/>
        <v>100</v>
      </c>
      <c r="V32" s="1725" t="s">
        <v>25</v>
      </c>
      <c r="W32" s="1726">
        <f t="shared" si="14"/>
        <v>100</v>
      </c>
      <c r="X32" s="4102"/>
      <c r="Y32" s="4492"/>
      <c r="Z32" s="4103">
        <f t="shared" si="15"/>
        <v>111</v>
      </c>
      <c r="AA32" s="4106">
        <f t="shared" si="3"/>
        <v>1</v>
      </c>
      <c r="AB32" s="4106">
        <f t="shared" si="4"/>
        <v>1</v>
      </c>
      <c r="AC32" s="4106">
        <f t="shared" si="5"/>
        <v>1</v>
      </c>
    </row>
    <row r="33" spans="1:29" ht="15">
      <c r="A33" s="1717" t="s">
        <v>2273</v>
      </c>
      <c r="B33" s="1687" t="s">
        <v>2389</v>
      </c>
      <c r="C33" s="2501"/>
      <c r="D33" s="1762">
        <v>100</v>
      </c>
      <c r="E33" s="2501"/>
      <c r="F33" s="1754">
        <f>SUMIF(101:101,E33,102:102)-SUMIF(101:101,C33,102:102)+100</f>
        <v>100</v>
      </c>
      <c r="G33" s="2501"/>
      <c r="H33" s="1711">
        <f>SUMIF(101:101,G33,102:102)-SUMIF(101:101,C33,102:102)+100</f>
        <v>100</v>
      </c>
      <c r="I33" s="2501"/>
      <c r="J33" s="1762">
        <f>SUMIF(101:101,I33,102:102)-SUMIF(101:101,C33,102:102)+100</f>
        <v>100</v>
      </c>
      <c r="K33" s="1992">
        <v>1</v>
      </c>
      <c r="L33" s="3000"/>
      <c r="M33" s="2996"/>
      <c r="N33" s="2996"/>
      <c r="O33" s="2996"/>
      <c r="P33" s="4576" t="s">
        <v>2275</v>
      </c>
      <c r="Q33" s="4105" t="str">
        <f t="shared" si="11"/>
        <v>建筑类型</v>
      </c>
      <c r="R33" s="1725" t="s">
        <v>25</v>
      </c>
      <c r="S33" s="1726">
        <f t="shared" si="12"/>
        <v>100</v>
      </c>
      <c r="T33" s="1725" t="s">
        <v>25</v>
      </c>
      <c r="U33" s="1726">
        <f t="shared" si="13"/>
        <v>100</v>
      </c>
      <c r="V33" s="1725" t="s">
        <v>25</v>
      </c>
      <c r="W33" s="1726">
        <f t="shared" si="14"/>
        <v>100</v>
      </c>
      <c r="X33" s="4102"/>
      <c r="Y33" s="4496" t="s">
        <v>2275</v>
      </c>
      <c r="Z33" s="4103" t="str">
        <f t="shared" si="15"/>
        <v>建筑类型</v>
      </c>
      <c r="AA33" s="4106">
        <f t="shared" si="3"/>
        <v>1</v>
      </c>
      <c r="AB33" s="4106">
        <f t="shared" si="4"/>
        <v>1</v>
      </c>
      <c r="AC33" s="4106">
        <f t="shared" si="5"/>
        <v>1</v>
      </c>
    </row>
    <row r="34" spans="1:29" s="1771" customFormat="1" ht="15">
      <c r="A34" s="1764"/>
      <c r="B34" s="1695" t="s">
        <v>2276</v>
      </c>
      <c r="C34" s="1765">
        <f>面积表!E6+面积表!E7</f>
        <v>1402.83</v>
      </c>
      <c r="D34" s="1697">
        <v>100</v>
      </c>
      <c r="E34" s="1704">
        <v>384.1</v>
      </c>
      <c r="F34" s="1699">
        <f>LOOKUP(E34,104:104,105:105)-LOOKUP(C34,104:104,105:105)+100</f>
        <v>102</v>
      </c>
      <c r="G34" s="1703">
        <f>'数码科技广场（上地数码广场）2017-2020'!C46</f>
        <v>1566</v>
      </c>
      <c r="H34" s="1697">
        <f>LOOKUP(G34,104:104,105:105)-LOOKUP(C34,104:104,105:105)+100</f>
        <v>99</v>
      </c>
      <c r="I34" s="1703">
        <v>192.05</v>
      </c>
      <c r="J34" s="1697">
        <f>LOOKUP(I34,104:104,105:105)-LOOKUP(C34,104:104,105:105)+100</f>
        <v>102</v>
      </c>
      <c r="K34" s="1989"/>
      <c r="L34" s="2999"/>
      <c r="M34" s="2059"/>
      <c r="N34" s="2059"/>
      <c r="O34" s="2059"/>
      <c r="P34" s="4496"/>
      <c r="Q34" s="1766" t="str">
        <f t="shared" si="11"/>
        <v>项目建筑规模</v>
      </c>
      <c r="R34" s="1767" t="s">
        <v>25</v>
      </c>
      <c r="S34" s="1768">
        <f t="shared" si="12"/>
        <v>102</v>
      </c>
      <c r="T34" s="1767" t="s">
        <v>25</v>
      </c>
      <c r="U34" s="1768">
        <f t="shared" si="13"/>
        <v>99</v>
      </c>
      <c r="V34" s="1767" t="s">
        <v>25</v>
      </c>
      <c r="W34" s="1768">
        <f t="shared" si="14"/>
        <v>102</v>
      </c>
      <c r="X34" s="1769"/>
      <c r="Y34" s="4496"/>
      <c r="Z34" s="1770" t="str">
        <f t="shared" si="15"/>
        <v>项目建筑规模</v>
      </c>
      <c r="AA34" s="4106">
        <f t="shared" si="3"/>
        <v>0.98039215686274506</v>
      </c>
      <c r="AB34" s="4106">
        <f t="shared" si="4"/>
        <v>1.0101010101010102</v>
      </c>
      <c r="AC34" s="4106">
        <f t="shared" si="5"/>
        <v>0.98039215686274506</v>
      </c>
    </row>
    <row r="35" spans="1:29" ht="15">
      <c r="A35" s="1772"/>
      <c r="B35" s="1695" t="s">
        <v>2277</v>
      </c>
      <c r="C35" s="1752" t="s">
        <v>2892</v>
      </c>
      <c r="D35" s="1711">
        <v>100</v>
      </c>
      <c r="E35" s="1752" t="s">
        <v>2892</v>
      </c>
      <c r="F35" s="1754">
        <f>SUMIF(106:106,E35,107:107)-SUMIF(106:106,C35,107:107)+100</f>
        <v>100</v>
      </c>
      <c r="G35" s="1752" t="s">
        <v>2892</v>
      </c>
      <c r="H35" s="1711">
        <f>SUMIF(106:106,G35,107:107)-SUMIF(106:106,C35,107:107)+100</f>
        <v>100</v>
      </c>
      <c r="I35" s="1752" t="s">
        <v>2892</v>
      </c>
      <c r="J35" s="1711">
        <f>SUMIF(106:106,I35,107:107)-SUMIF(106:106,C35,107:107)+100</f>
        <v>100</v>
      </c>
      <c r="K35" s="1992">
        <v>1</v>
      </c>
      <c r="L35" s="3000"/>
      <c r="M35" s="2996"/>
      <c r="N35" s="2996"/>
      <c r="O35" s="2996"/>
      <c r="P35" s="4496"/>
      <c r="Q35" s="4105" t="str">
        <f t="shared" si="11"/>
        <v>建筑结构</v>
      </c>
      <c r="R35" s="1725" t="s">
        <v>25</v>
      </c>
      <c r="S35" s="1726">
        <f t="shared" si="12"/>
        <v>100</v>
      </c>
      <c r="T35" s="1725" t="s">
        <v>25</v>
      </c>
      <c r="U35" s="1726">
        <f t="shared" si="13"/>
        <v>100</v>
      </c>
      <c r="V35" s="1725" t="s">
        <v>25</v>
      </c>
      <c r="W35" s="1726">
        <f t="shared" si="14"/>
        <v>100</v>
      </c>
      <c r="X35" s="4102"/>
      <c r="Y35" s="4496"/>
      <c r="Z35" s="4103" t="str">
        <f t="shared" si="15"/>
        <v>建筑结构</v>
      </c>
      <c r="AA35" s="4106">
        <f t="shared" si="3"/>
        <v>1</v>
      </c>
      <c r="AB35" s="4106">
        <f t="shared" si="4"/>
        <v>1</v>
      </c>
      <c r="AC35" s="4106">
        <f t="shared" si="5"/>
        <v>1</v>
      </c>
    </row>
    <row r="36" spans="1:29" ht="15">
      <c r="A36" s="1772"/>
      <c r="B36" s="1695" t="s">
        <v>2362</v>
      </c>
      <c r="C36" s="1752" t="s">
        <v>2896</v>
      </c>
      <c r="D36" s="1711">
        <v>100</v>
      </c>
      <c r="E36" s="1752" t="s">
        <v>2896</v>
      </c>
      <c r="F36" s="1754">
        <f>SUMIF(108:108,E36,109:109)-SUMIF(108:108,C36,109:109)+100</f>
        <v>100</v>
      </c>
      <c r="G36" s="1752" t="s">
        <v>2896</v>
      </c>
      <c r="H36" s="1711">
        <f>SUMIF(108:108,G36,109:109)-SUMIF(108:108,C36,109:109)+100</f>
        <v>100</v>
      </c>
      <c r="I36" s="1752" t="s">
        <v>2896</v>
      </c>
      <c r="J36" s="1711">
        <f>SUMIF(108:108,I36,109:109)-SUMIF(108:108,C36,109:109)+100</f>
        <v>100</v>
      </c>
      <c r="K36" s="1992">
        <v>1</v>
      </c>
      <c r="L36" s="3000"/>
      <c r="M36" s="2996"/>
      <c r="N36" s="2996"/>
      <c r="O36" s="2996"/>
      <c r="P36" s="4496"/>
      <c r="Q36" s="4105" t="str">
        <f t="shared" si="11"/>
        <v>公共部分装修</v>
      </c>
      <c r="R36" s="1725" t="s">
        <v>25</v>
      </c>
      <c r="S36" s="1726">
        <f t="shared" si="12"/>
        <v>100</v>
      </c>
      <c r="T36" s="1725" t="s">
        <v>25</v>
      </c>
      <c r="U36" s="1726">
        <f t="shared" si="13"/>
        <v>100</v>
      </c>
      <c r="V36" s="1725" t="s">
        <v>25</v>
      </c>
      <c r="W36" s="1726">
        <f t="shared" si="14"/>
        <v>100</v>
      </c>
      <c r="X36" s="4102"/>
      <c r="Y36" s="4496"/>
      <c r="Z36" s="4103" t="str">
        <f t="shared" si="15"/>
        <v>公共部分装修</v>
      </c>
      <c r="AA36" s="4106">
        <f t="shared" si="3"/>
        <v>1</v>
      </c>
      <c r="AB36" s="4106">
        <f t="shared" si="4"/>
        <v>1</v>
      </c>
      <c r="AC36" s="4106">
        <f t="shared" si="5"/>
        <v>1</v>
      </c>
    </row>
    <row r="37" spans="1:29" ht="15">
      <c r="A37" s="1772"/>
      <c r="B37" s="1695" t="s">
        <v>2363</v>
      </c>
      <c r="C37" s="1776">
        <v>0.68</v>
      </c>
      <c r="D37" s="1711">
        <v>100</v>
      </c>
      <c r="E37" s="1776">
        <f>C37</f>
        <v>0.68</v>
      </c>
      <c r="F37" s="1754">
        <f>LOOKUP(E37,111:111,112:112)-LOOKUP(C37,111:111,112:112)+100</f>
        <v>100</v>
      </c>
      <c r="G37" s="1776">
        <f>C37</f>
        <v>0.68</v>
      </c>
      <c r="H37" s="1754">
        <f>LOOKUP(G37,111:111,112:112)-LOOKUP(C37,111:111,112:112)+100</f>
        <v>100</v>
      </c>
      <c r="I37" s="1776">
        <f>C37</f>
        <v>0.68</v>
      </c>
      <c r="J37" s="1711">
        <f>LOOKUP(I37,111:111,112:112)-LOOKUP(C37,111:111,112:112)+100</f>
        <v>100</v>
      </c>
      <c r="K37" s="1992">
        <v>1</v>
      </c>
      <c r="L37" s="3000"/>
      <c r="M37" s="2996"/>
      <c r="N37" s="2996"/>
      <c r="O37" s="2996"/>
      <c r="P37" s="4496"/>
      <c r="Q37" s="4105" t="str">
        <f t="shared" si="11"/>
        <v>成新度</v>
      </c>
      <c r="R37" s="1725" t="s">
        <v>25</v>
      </c>
      <c r="S37" s="1726">
        <f t="shared" si="12"/>
        <v>100</v>
      </c>
      <c r="T37" s="1725" t="s">
        <v>25</v>
      </c>
      <c r="U37" s="1726">
        <f t="shared" si="13"/>
        <v>100</v>
      </c>
      <c r="V37" s="1725" t="s">
        <v>25</v>
      </c>
      <c r="W37" s="1726">
        <f t="shared" si="14"/>
        <v>100</v>
      </c>
      <c r="X37" s="4102"/>
      <c r="Y37" s="4496"/>
      <c r="Z37" s="4103" t="str">
        <f t="shared" si="15"/>
        <v>成新度</v>
      </c>
      <c r="AA37" s="4106">
        <f t="shared" si="3"/>
        <v>1</v>
      </c>
      <c r="AB37" s="4106">
        <f t="shared" si="4"/>
        <v>1</v>
      </c>
      <c r="AC37" s="4106">
        <f t="shared" si="5"/>
        <v>1</v>
      </c>
    </row>
    <row r="38" spans="1:29" s="1684" customFormat="1" ht="15">
      <c r="A38" s="1775"/>
      <c r="B38" s="1695" t="s">
        <v>2390</v>
      </c>
      <c r="C38" s="1752" t="s">
        <v>5045</v>
      </c>
      <c r="D38" s="1697">
        <v>100</v>
      </c>
      <c r="E38" s="1752" t="s">
        <v>5045</v>
      </c>
      <c r="F38" s="1754">
        <f>SUMIF(113:113,E38,114:114)-SUMIF(113:113,C38,114:114)+100</f>
        <v>100</v>
      </c>
      <c r="G38" s="1752" t="s">
        <v>5045</v>
      </c>
      <c r="H38" s="1711">
        <f>SUMIF(113:113,G38,114:114)-SUMIF(113:113,C38,114:114)+100</f>
        <v>100</v>
      </c>
      <c r="I38" s="1752" t="s">
        <v>5045</v>
      </c>
      <c r="J38" s="1711">
        <f>SUMIF(113:113,I38,114:114)-SUMIF(113:113,C38,114:114)+100</f>
        <v>100</v>
      </c>
      <c r="K38" s="1992">
        <v>2</v>
      </c>
      <c r="L38" s="2995"/>
      <c r="M38" s="2968"/>
      <c r="N38" s="2968"/>
      <c r="O38" s="2968"/>
      <c r="P38" s="4496"/>
      <c r="Q38" s="4099" t="str">
        <f t="shared" si="11"/>
        <v>写字楼等级</v>
      </c>
      <c r="R38" s="1680" t="s">
        <v>25</v>
      </c>
      <c r="S38" s="1681">
        <f t="shared" si="12"/>
        <v>100</v>
      </c>
      <c r="T38" s="1680" t="s">
        <v>25</v>
      </c>
      <c r="U38" s="1681">
        <f t="shared" si="13"/>
        <v>100</v>
      </c>
      <c r="V38" s="1680" t="s">
        <v>25</v>
      </c>
      <c r="W38" s="1681">
        <f t="shared" si="14"/>
        <v>100</v>
      </c>
      <c r="X38" s="1682"/>
      <c r="Y38" s="4496"/>
      <c r="Z38" s="1693" t="str">
        <f t="shared" si="15"/>
        <v>写字楼等级</v>
      </c>
      <c r="AA38" s="1683">
        <f t="shared" si="3"/>
        <v>1</v>
      </c>
      <c r="AB38" s="1683">
        <f t="shared" si="4"/>
        <v>1</v>
      </c>
      <c r="AC38" s="1683">
        <f t="shared" si="5"/>
        <v>1</v>
      </c>
    </row>
    <row r="39" spans="1:29" ht="15">
      <c r="A39" s="1772"/>
      <c r="B39" s="1695" t="s">
        <v>2391</v>
      </c>
      <c r="C39" s="1752" t="s">
        <v>3524</v>
      </c>
      <c r="D39" s="1711">
        <v>100</v>
      </c>
      <c r="E39" s="1752" t="s">
        <v>3524</v>
      </c>
      <c r="F39" s="1754">
        <f>SUMIF(115:115,E39,116:116)-SUMIF(115:115,C39,116:116)+100</f>
        <v>100</v>
      </c>
      <c r="G39" s="1752" t="s">
        <v>3524</v>
      </c>
      <c r="H39" s="1711">
        <f>SUMIF(115:115,G39,116:116)-SUMIF(115:115,C39,116:116)+100</f>
        <v>100</v>
      </c>
      <c r="I39" s="1752" t="s">
        <v>3524</v>
      </c>
      <c r="J39" s="1711">
        <f>SUMIF(115:115,I39,116:116)-SUMIF(115:115,C39,116:116)+100</f>
        <v>100</v>
      </c>
      <c r="K39" s="1992"/>
      <c r="L39" s="3000"/>
      <c r="M39" s="2996"/>
      <c r="N39" s="2996"/>
      <c r="O39" s="2996"/>
      <c r="P39" s="4496" t="s">
        <v>2275</v>
      </c>
      <c r="Q39" s="4105" t="str">
        <f t="shared" si="11"/>
        <v>物业管理</v>
      </c>
      <c r="R39" s="1725" t="s">
        <v>25</v>
      </c>
      <c r="S39" s="1726">
        <f t="shared" si="12"/>
        <v>100</v>
      </c>
      <c r="T39" s="1725" t="s">
        <v>25</v>
      </c>
      <c r="U39" s="1726">
        <f t="shared" si="13"/>
        <v>100</v>
      </c>
      <c r="V39" s="1725" t="s">
        <v>25</v>
      </c>
      <c r="W39" s="1726">
        <f t="shared" si="14"/>
        <v>100</v>
      </c>
      <c r="X39" s="4102"/>
      <c r="Y39" s="4496" t="s">
        <v>2275</v>
      </c>
      <c r="Z39" s="4103" t="str">
        <f t="shared" si="15"/>
        <v>物业管理</v>
      </c>
      <c r="AA39" s="4106">
        <f t="shared" si="3"/>
        <v>1</v>
      </c>
      <c r="AB39" s="4106">
        <f t="shared" si="4"/>
        <v>1</v>
      </c>
      <c r="AC39" s="4106">
        <f t="shared" si="5"/>
        <v>1</v>
      </c>
    </row>
    <row r="40" spans="1:29" ht="15">
      <c r="A40" s="1772"/>
      <c r="B40" s="1695" t="s">
        <v>2364</v>
      </c>
      <c r="C40" s="1752" t="s">
        <v>3525</v>
      </c>
      <c r="D40" s="1711">
        <v>100</v>
      </c>
      <c r="E40" s="1752" t="s">
        <v>3525</v>
      </c>
      <c r="F40" s="1754">
        <f>SUMIF(117:117,E40,118:118)-SUMIF(117:117,C40,118:118)+100</f>
        <v>100</v>
      </c>
      <c r="G40" s="1752" t="s">
        <v>3525</v>
      </c>
      <c r="H40" s="1711">
        <f>SUMIF(117:117,G40,118:118)-SUMIF(117:117,C40,118:118)+100</f>
        <v>100</v>
      </c>
      <c r="I40" s="1752" t="s">
        <v>3525</v>
      </c>
      <c r="J40" s="1711">
        <f>SUMIF(117:117,I40,118:118)-SUMIF(117:117,C40,118:118)+100</f>
        <v>100</v>
      </c>
      <c r="K40" s="1992"/>
      <c r="L40" s="3000"/>
      <c r="M40" s="2996"/>
      <c r="N40" s="2996"/>
      <c r="O40" s="2996"/>
      <c r="P40" s="4496"/>
      <c r="Q40" s="4105" t="str">
        <f t="shared" si="11"/>
        <v>市政基础设施</v>
      </c>
      <c r="R40" s="1725" t="s">
        <v>25</v>
      </c>
      <c r="S40" s="1726">
        <f t="shared" si="12"/>
        <v>100</v>
      </c>
      <c r="T40" s="1725" t="s">
        <v>25</v>
      </c>
      <c r="U40" s="1726">
        <f t="shared" si="13"/>
        <v>100</v>
      </c>
      <c r="V40" s="1725" t="s">
        <v>25</v>
      </c>
      <c r="W40" s="1726">
        <f t="shared" si="14"/>
        <v>100</v>
      </c>
      <c r="X40" s="4102"/>
      <c r="Y40" s="4496"/>
      <c r="Z40" s="4103" t="str">
        <f t="shared" si="15"/>
        <v>市政基础设施</v>
      </c>
      <c r="AA40" s="4106">
        <f t="shared" si="3"/>
        <v>1</v>
      </c>
      <c r="AB40" s="4106">
        <f t="shared" si="4"/>
        <v>1</v>
      </c>
      <c r="AC40" s="4106">
        <f t="shared" si="5"/>
        <v>1</v>
      </c>
    </row>
    <row r="41" spans="1:29" ht="15">
      <c r="A41" s="1772"/>
      <c r="B41" s="1695" t="s">
        <v>2366</v>
      </c>
      <c r="C41" s="1991" t="s">
        <v>4243</v>
      </c>
      <c r="D41" s="1711">
        <v>100</v>
      </c>
      <c r="E41" s="1991" t="s">
        <v>4243</v>
      </c>
      <c r="F41" s="1754">
        <f>SUMIF(119:119,E41,120:120)-SUMIF(119:119,C41,120:120)+100</f>
        <v>100</v>
      </c>
      <c r="G41" s="1991" t="s">
        <v>4243</v>
      </c>
      <c r="H41" s="1711">
        <f>SUMIF(119:119,G41,120:120)-SUMIF(119:119,C41,120:120)+100</f>
        <v>100</v>
      </c>
      <c r="I41" s="1991" t="s">
        <v>4243</v>
      </c>
      <c r="J41" s="1711">
        <f>SUMIF(119:119,I41,120:120)-SUMIF(119:119,C41,120:120)+100</f>
        <v>100</v>
      </c>
      <c r="K41" s="1992"/>
      <c r="L41" s="3000"/>
      <c r="M41" s="2996"/>
      <c r="N41" s="2996"/>
      <c r="O41" s="2996"/>
      <c r="P41" s="4496"/>
      <c r="Q41" s="4105" t="str">
        <f t="shared" si="11"/>
        <v>层高</v>
      </c>
      <c r="R41" s="1725" t="s">
        <v>25</v>
      </c>
      <c r="S41" s="1726">
        <f t="shared" si="12"/>
        <v>100</v>
      </c>
      <c r="T41" s="1725" t="s">
        <v>25</v>
      </c>
      <c r="U41" s="1726">
        <f t="shared" si="13"/>
        <v>100</v>
      </c>
      <c r="V41" s="1725" t="s">
        <v>25</v>
      </c>
      <c r="W41" s="1726">
        <f t="shared" si="14"/>
        <v>100</v>
      </c>
      <c r="X41" s="4102"/>
      <c r="Y41" s="4496"/>
      <c r="Z41" s="4103" t="str">
        <f t="shared" si="15"/>
        <v>层高</v>
      </c>
      <c r="AA41" s="4106">
        <f t="shared" si="3"/>
        <v>1</v>
      </c>
      <c r="AB41" s="4106">
        <f t="shared" si="4"/>
        <v>1</v>
      </c>
      <c r="AC41" s="4106">
        <f t="shared" si="5"/>
        <v>1</v>
      </c>
    </row>
    <row r="42" spans="1:29" s="1771" customFormat="1" ht="15" hidden="1">
      <c r="A42" s="1764"/>
      <c r="B42" s="4107" t="s">
        <v>2392</v>
      </c>
      <c r="C42" s="1710"/>
      <c r="D42" s="1711">
        <v>100</v>
      </c>
      <c r="E42" s="1710"/>
      <c r="F42" s="1754">
        <f>SUMIF(121:121,E42,122:122)-SUMIF(121:121,C42,122:122)+100</f>
        <v>100</v>
      </c>
      <c r="G42" s="1710"/>
      <c r="H42" s="1711">
        <f>SUMIF(121:121,G42,122:122)-SUMIF(121:121,C42,122:122)+100</f>
        <v>100</v>
      </c>
      <c r="I42" s="1710"/>
      <c r="J42" s="1711">
        <f>SUMIF(121:121,I42,122:122)-SUMIF(121:121,C42,122:122)+100</f>
        <v>100</v>
      </c>
      <c r="K42" s="1989"/>
      <c r="L42" s="2999"/>
      <c r="M42" s="2059"/>
      <c r="N42" s="2059"/>
      <c r="O42" s="2059"/>
      <c r="P42" s="4496"/>
      <c r="Q42" s="1766" t="str">
        <f t="shared" si="11"/>
        <v>单套建筑面积</v>
      </c>
      <c r="R42" s="1767" t="s">
        <v>25</v>
      </c>
      <c r="S42" s="1768">
        <f t="shared" si="12"/>
        <v>100</v>
      </c>
      <c r="T42" s="1767" t="s">
        <v>25</v>
      </c>
      <c r="U42" s="1768">
        <f t="shared" si="13"/>
        <v>100</v>
      </c>
      <c r="V42" s="1767" t="s">
        <v>25</v>
      </c>
      <c r="W42" s="1768">
        <f t="shared" si="14"/>
        <v>100</v>
      </c>
      <c r="X42" s="1769"/>
      <c r="Y42" s="4496"/>
      <c r="Z42" s="1770" t="str">
        <f t="shared" si="15"/>
        <v>单套建筑面积</v>
      </c>
      <c r="AA42" s="4106">
        <f t="shared" si="3"/>
        <v>1</v>
      </c>
      <c r="AB42" s="4106">
        <f t="shared" si="4"/>
        <v>1</v>
      </c>
      <c r="AC42" s="4106">
        <f t="shared" si="5"/>
        <v>1</v>
      </c>
    </row>
    <row r="43" spans="1:29" ht="15">
      <c r="A43" s="1772"/>
      <c r="B43" s="1695" t="s">
        <v>2369</v>
      </c>
      <c r="C43" s="1752" t="s">
        <v>2896</v>
      </c>
      <c r="D43" s="1711">
        <v>100</v>
      </c>
      <c r="E43" s="1752" t="s">
        <v>2896</v>
      </c>
      <c r="F43" s="1754">
        <f>SUMIF(123:123,E43,124:124)-SUMIF(123:123,C43,124:124)+100</f>
        <v>100</v>
      </c>
      <c r="G43" s="1752" t="s">
        <v>2896</v>
      </c>
      <c r="H43" s="1711">
        <f>SUMIF(123:123,G43,124:124)-SUMIF(123:123,C43,124:124)+100</f>
        <v>100</v>
      </c>
      <c r="I43" s="1752" t="s">
        <v>2896</v>
      </c>
      <c r="J43" s="1711">
        <f>SUMIF(123:123,I43,124:124)-SUMIF(123:123,C43,124:124)+100</f>
        <v>100</v>
      </c>
      <c r="K43" s="1992">
        <v>2</v>
      </c>
      <c r="L43" s="3000"/>
      <c r="M43" s="2996"/>
      <c r="N43" s="2996"/>
      <c r="O43" s="2996"/>
      <c r="P43" s="4496"/>
      <c r="Q43" s="4105" t="str">
        <f t="shared" si="11"/>
        <v>内部装修</v>
      </c>
      <c r="R43" s="1725" t="s">
        <v>25</v>
      </c>
      <c r="S43" s="1726">
        <f t="shared" si="12"/>
        <v>100</v>
      </c>
      <c r="T43" s="1725" t="s">
        <v>25</v>
      </c>
      <c r="U43" s="1726">
        <f t="shared" si="13"/>
        <v>100</v>
      </c>
      <c r="V43" s="1725" t="s">
        <v>25</v>
      </c>
      <c r="W43" s="1726">
        <f t="shared" si="14"/>
        <v>100</v>
      </c>
      <c r="X43" s="4102"/>
      <c r="Y43" s="4496"/>
      <c r="Z43" s="4103" t="str">
        <f t="shared" si="15"/>
        <v>内部装修</v>
      </c>
      <c r="AA43" s="4106">
        <f t="shared" si="3"/>
        <v>1</v>
      </c>
      <c r="AB43" s="4106">
        <f t="shared" si="4"/>
        <v>1</v>
      </c>
      <c r="AC43" s="4106">
        <f t="shared" si="5"/>
        <v>1</v>
      </c>
    </row>
    <row r="44" spans="1:29" ht="15" hidden="1">
      <c r="A44" s="1772"/>
      <c r="B44" s="1695" t="s">
        <v>2286</v>
      </c>
      <c r="C44" s="1752" t="s">
        <v>30</v>
      </c>
      <c r="D44" s="1711">
        <v>100</v>
      </c>
      <c r="E44" s="1752" t="s">
        <v>30</v>
      </c>
      <c r="F44" s="1754">
        <f>SUMIF(125:125,E44,126:126)-SUMIF(125:125,C44,126:126)+100</f>
        <v>100</v>
      </c>
      <c r="G44" s="1752" t="s">
        <v>30</v>
      </c>
      <c r="H44" s="1711">
        <f>SUMIF(125:125,G44,126:126)-SUMIF(125:125,C44,126:126)+100</f>
        <v>100</v>
      </c>
      <c r="I44" s="1752" t="s">
        <v>30</v>
      </c>
      <c r="J44" s="1711">
        <f>SUMIF(125:125,I44,126:126)-SUMIF(125:125,C44,126:126)+100</f>
        <v>100</v>
      </c>
      <c r="K44" s="1992">
        <v>5</v>
      </c>
      <c r="L44" s="3000"/>
      <c r="M44" s="2996"/>
      <c r="N44" s="2996"/>
      <c r="O44" s="2996"/>
      <c r="P44" s="4496"/>
      <c r="Q44" s="4105" t="str">
        <f t="shared" si="11"/>
        <v>内部装修维护情况</v>
      </c>
      <c r="R44" s="1725" t="s">
        <v>25</v>
      </c>
      <c r="S44" s="1726">
        <f t="shared" si="12"/>
        <v>100</v>
      </c>
      <c r="T44" s="1725" t="s">
        <v>25</v>
      </c>
      <c r="U44" s="1726">
        <f t="shared" si="13"/>
        <v>100</v>
      </c>
      <c r="V44" s="1725" t="s">
        <v>25</v>
      </c>
      <c r="W44" s="1726">
        <f t="shared" si="14"/>
        <v>100</v>
      </c>
      <c r="X44" s="4102"/>
      <c r="Y44" s="4496"/>
      <c r="Z44" s="4103" t="str">
        <f t="shared" si="15"/>
        <v>内部装修维护情况</v>
      </c>
      <c r="AA44" s="4106">
        <f t="shared" si="3"/>
        <v>1</v>
      </c>
      <c r="AB44" s="4106">
        <f t="shared" si="4"/>
        <v>1</v>
      </c>
      <c r="AC44" s="4106">
        <f t="shared" si="5"/>
        <v>1</v>
      </c>
    </row>
    <row r="45" spans="1:29" s="1684" customFormat="1" ht="15">
      <c r="A45" s="1775"/>
      <c r="B45" s="4116" t="s">
        <v>4993</v>
      </c>
      <c r="C45" s="4117" t="s">
        <v>5020</v>
      </c>
      <c r="D45" s="1697">
        <v>100</v>
      </c>
      <c r="E45" s="4118" t="s">
        <v>5021</v>
      </c>
      <c r="F45" s="1699">
        <f>SUMIF(127:127,E45,128:128)-SUMIF(127:127,C45,128:128)+100</f>
        <v>95</v>
      </c>
      <c r="G45" s="4118" t="s">
        <v>5021</v>
      </c>
      <c r="H45" s="1697">
        <f>SUMIF(127:127,G45,128:128)-SUMIF(127:127,C45,128:128)+100</f>
        <v>95</v>
      </c>
      <c r="I45" s="4118" t="s">
        <v>5021</v>
      </c>
      <c r="J45" s="1697">
        <f>SUMIF(127:127,I45,128:128)-SUMIF(127:127,C45,128:128)+100</f>
        <v>95</v>
      </c>
      <c r="K45" s="1989"/>
      <c r="L45" s="2995"/>
      <c r="M45" s="2968"/>
      <c r="N45" s="2968"/>
      <c r="O45" s="2968"/>
      <c r="P45" s="4496"/>
      <c r="Q45" s="4099" t="str">
        <f t="shared" si="11"/>
        <v>物业类型</v>
      </c>
      <c r="R45" s="1680" t="s">
        <v>25</v>
      </c>
      <c r="S45" s="1681">
        <f t="shared" si="12"/>
        <v>95</v>
      </c>
      <c r="T45" s="1680" t="s">
        <v>25</v>
      </c>
      <c r="U45" s="1681">
        <f t="shared" si="13"/>
        <v>95</v>
      </c>
      <c r="V45" s="1680" t="s">
        <v>25</v>
      </c>
      <c r="W45" s="1681">
        <f t="shared" si="14"/>
        <v>95</v>
      </c>
      <c r="X45" s="1682"/>
      <c r="Y45" s="4496"/>
      <c r="Z45" s="1693" t="str">
        <f t="shared" si="15"/>
        <v>物业类型</v>
      </c>
      <c r="AA45" s="1683">
        <f t="shared" si="3"/>
        <v>1.0526315789473684</v>
      </c>
      <c r="AB45" s="1683">
        <f t="shared" si="4"/>
        <v>1.0526315789473684</v>
      </c>
      <c r="AC45" s="1683">
        <f t="shared" si="5"/>
        <v>1.0526315789473684</v>
      </c>
    </row>
    <row r="46" spans="1:29" ht="15">
      <c r="A46" s="1772"/>
      <c r="B46" s="3859" t="s">
        <v>4999</v>
      </c>
      <c r="C46" s="3727" t="s">
        <v>5034</v>
      </c>
      <c r="D46" s="1711">
        <v>100</v>
      </c>
      <c r="E46" s="4118" t="s">
        <v>5023</v>
      </c>
      <c r="F46" s="1754">
        <f>SUMIF(129:129,E46,130:130)-SUMIF(129:129,C46,130:130)+100</f>
        <v>98</v>
      </c>
      <c r="G46" s="4118" t="s">
        <v>5023</v>
      </c>
      <c r="H46" s="1711">
        <f>SUMIF(129:129,G46,130:130)-SUMIF(129:129,C46,130:130)+100</f>
        <v>98</v>
      </c>
      <c r="I46" s="4118" t="s">
        <v>5023</v>
      </c>
      <c r="J46" s="1711">
        <f>SUMIF(129:129,I46,130:130)-SUMIF(129:129,C46,130:130)+100</f>
        <v>98</v>
      </c>
      <c r="K46" s="1989"/>
      <c r="L46" s="3000"/>
      <c r="M46" s="2996"/>
      <c r="N46" s="2996"/>
      <c r="O46" s="2996"/>
      <c r="P46" s="4496"/>
      <c r="Q46" s="4105" t="e">
        <f>#REF!</f>
        <v>#REF!</v>
      </c>
      <c r="R46" s="1725" t="s">
        <v>25</v>
      </c>
      <c r="S46" s="1726">
        <f t="shared" si="12"/>
        <v>98</v>
      </c>
      <c r="T46" s="1725" t="s">
        <v>25</v>
      </c>
      <c r="U46" s="1726">
        <f t="shared" si="13"/>
        <v>98</v>
      </c>
      <c r="V46" s="1725" t="s">
        <v>25</v>
      </c>
      <c r="W46" s="1726">
        <f t="shared" si="14"/>
        <v>98</v>
      </c>
      <c r="X46" s="4102"/>
      <c r="Y46" s="4496"/>
      <c r="Z46" s="4103" t="e">
        <f t="shared" si="15"/>
        <v>#REF!</v>
      </c>
      <c r="AA46" s="4106">
        <f t="shared" si="3"/>
        <v>1.0204081632653061</v>
      </c>
      <c r="AB46" s="4106">
        <f t="shared" si="4"/>
        <v>1.0204081632653061</v>
      </c>
      <c r="AC46" s="4106">
        <f t="shared" si="5"/>
        <v>1.0204081632653061</v>
      </c>
    </row>
    <row r="47" spans="1:29" ht="15.75" thickBot="1">
      <c r="A47" s="1780"/>
      <c r="B47" s="4114"/>
      <c r="C47" s="1714"/>
      <c r="D47" s="1715">
        <v>100</v>
      </c>
      <c r="E47" s="1707"/>
      <c r="F47" s="1716">
        <f>SUMIF(131:131,E47,132:132)-SUMIF(131:131,C47,132:132)+100</f>
        <v>100</v>
      </c>
      <c r="G47" s="1707"/>
      <c r="H47" s="1715">
        <f>SUMIF(131:131,G47,132:132)-SUMIF(131:131,C47,132:132)+100</f>
        <v>100</v>
      </c>
      <c r="I47" s="1707"/>
      <c r="J47" s="1715">
        <f>SUMIF(131:131,I47,132:132)-SUMIF(131:131,C47,132:132)+100</f>
        <v>100</v>
      </c>
      <c r="K47" s="1989"/>
      <c r="L47" s="3000"/>
      <c r="M47" s="2996"/>
      <c r="N47" s="2996"/>
      <c r="O47" s="2996"/>
      <c r="P47" s="4497"/>
      <c r="Q47" s="4105" t="e">
        <f>#REF!</f>
        <v>#REF!</v>
      </c>
      <c r="R47" s="1725" t="s">
        <v>25</v>
      </c>
      <c r="S47" s="1726">
        <f t="shared" si="12"/>
        <v>100</v>
      </c>
      <c r="T47" s="1725" t="s">
        <v>25</v>
      </c>
      <c r="U47" s="1726">
        <f t="shared" si="13"/>
        <v>100</v>
      </c>
      <c r="V47" s="1725" t="s">
        <v>25</v>
      </c>
      <c r="W47" s="1726">
        <f t="shared" si="14"/>
        <v>100</v>
      </c>
      <c r="X47" s="4102"/>
      <c r="Y47" s="4497"/>
      <c r="Z47" s="4103" t="e">
        <f t="shared" si="15"/>
        <v>#REF!</v>
      </c>
      <c r="AA47" s="4106">
        <f t="shared" si="3"/>
        <v>1</v>
      </c>
      <c r="AB47" s="4106">
        <f t="shared" si="4"/>
        <v>1</v>
      </c>
      <c r="AC47" s="4106">
        <f t="shared" si="5"/>
        <v>1</v>
      </c>
    </row>
    <row r="48" spans="1:29" ht="15">
      <c r="A48" s="1781" t="s">
        <v>2287</v>
      </c>
      <c r="B48" s="1782"/>
      <c r="C48" s="4211" t="s">
        <v>1</v>
      </c>
      <c r="D48" s="4212"/>
      <c r="E48" s="4213">
        <f>佳龙提供租约!E15-1.2</f>
        <v>4.8</v>
      </c>
      <c r="F48" s="4214"/>
      <c r="G48" s="4215">
        <f>'数码科技广场（上地数码广场）2017-2020'!H46</f>
        <v>5.56</v>
      </c>
      <c r="H48" s="4216"/>
      <c r="I48" s="4213">
        <f>佳龙提供租约!E23-1.2</f>
        <v>5</v>
      </c>
      <c r="J48" s="1788"/>
      <c r="K48" s="2013"/>
      <c r="L48" s="3001"/>
      <c r="M48" s="2996"/>
      <c r="N48" s="2996"/>
      <c r="O48" s="2996"/>
      <c r="P48" s="4488" t="str">
        <f>A48</f>
        <v>成交单价（元/平方米）</v>
      </c>
      <c r="Q48" s="4488"/>
      <c r="R48" s="4745">
        <f>E48</f>
        <v>4.8</v>
      </c>
      <c r="S48" s="4745"/>
      <c r="T48" s="4745">
        <f>G48</f>
        <v>5.56</v>
      </c>
      <c r="U48" s="4745"/>
      <c r="V48" s="4745">
        <f>I48</f>
        <v>5</v>
      </c>
      <c r="W48" s="4745"/>
      <c r="X48" s="1791"/>
      <c r="Y48" s="4104"/>
      <c r="Z48" s="1791"/>
      <c r="AA48" s="1791"/>
      <c r="AB48" s="1791"/>
      <c r="AC48" s="1791"/>
    </row>
    <row r="49" spans="1:29" ht="15.75" thickBot="1">
      <c r="A49" s="1793" t="s">
        <v>2288</v>
      </c>
      <c r="B49" s="1794"/>
      <c r="C49" s="4217">
        <f>R50</f>
        <v>5.45</v>
      </c>
      <c r="D49" s="4218" t="s">
        <v>2738</v>
      </c>
      <c r="E49" s="4219">
        <f>R49</f>
        <v>5.05</v>
      </c>
      <c r="F49" s="4220"/>
      <c r="G49" s="4217">
        <f>T49</f>
        <v>6.03</v>
      </c>
      <c r="H49" s="4220"/>
      <c r="I49" s="4219">
        <f>V49</f>
        <v>5.27</v>
      </c>
      <c r="J49" s="1798"/>
      <c r="K49" s="2509">
        <f>F49+H49+J49</f>
        <v>0</v>
      </c>
      <c r="L49" s="3001"/>
      <c r="M49" s="2996"/>
      <c r="N49" s="2996"/>
      <c r="O49" s="2996"/>
      <c r="P49" s="4488" t="str">
        <f>A49</f>
        <v>比较价值（元/平方米）</v>
      </c>
      <c r="Q49" s="4488"/>
      <c r="R49" s="4745">
        <f>IF(E1="售价",ROUND(PRODUCT(R48,AA7:AA47),2),ROUND(PRODUCT(R48,AA7:AA47),2))</f>
        <v>5.05</v>
      </c>
      <c r="S49" s="4745"/>
      <c r="T49" s="4745">
        <f>IF(E1="售价",ROUND(PRODUCT(T48,AB7:AB47),2),ROUND(PRODUCT(T48,AB7:AB47),2))</f>
        <v>6.03</v>
      </c>
      <c r="U49" s="4745"/>
      <c r="V49" s="4745">
        <f>IF(E1="售价",ROUND(PRODUCT(V48,AC7:AC47),2),ROUND(PRODUCT(V48,AC7:AC47),2))</f>
        <v>5.27</v>
      </c>
      <c r="W49" s="4745"/>
      <c r="X49" s="1791"/>
      <c r="Y49" s="1791"/>
      <c r="Z49" s="1791"/>
      <c r="AA49" s="1791"/>
      <c r="AB49" s="1791"/>
      <c r="AC49" s="1791"/>
    </row>
    <row r="50" spans="1:29" ht="15.75" thickBot="1">
      <c r="A50" s="1799" t="s">
        <v>2289</v>
      </c>
      <c r="B50" s="1800"/>
      <c r="C50" s="4221">
        <f>R50</f>
        <v>5.45</v>
      </c>
      <c r="D50" s="4221"/>
      <c r="E50" s="4221"/>
      <c r="F50" s="4221"/>
      <c r="G50" s="4221"/>
      <c r="H50" s="4221"/>
      <c r="I50" s="4221"/>
      <c r="J50" s="1802"/>
      <c r="K50" s="2018"/>
      <c r="L50" s="3001"/>
      <c r="M50" s="2996"/>
      <c r="N50" s="2996"/>
      <c r="O50" s="2996"/>
      <c r="P50" s="4485" t="str">
        <f>A50</f>
        <v>估价对象XX用房的比较价值（楼面单价，元/平方米）</v>
      </c>
      <c r="Q50" s="4486"/>
      <c r="R50" s="4746">
        <f>IF(E1="售价",ROUND(IF(D49="简单平均",AVERAGE(R49:V49),R49*F49+T49*H49+V49*J49),0),ROUND(IF(D49="简单平均",AVERAGE(R49:V49),R49*F49+T49*H49+V49*J49),2))</f>
        <v>5.45</v>
      </c>
      <c r="S50" s="4746"/>
      <c r="T50" s="4746"/>
      <c r="U50" s="4746"/>
      <c r="V50" s="4746"/>
      <c r="W50" s="4746"/>
      <c r="X50" s="1791"/>
      <c r="Y50" s="1791"/>
      <c r="Z50" s="1791"/>
      <c r="AA50" s="1791"/>
      <c r="AB50" s="1791"/>
      <c r="AC50" s="1791"/>
    </row>
    <row r="51" spans="1:29">
      <c r="C51" s="1666">
        <v>2004</v>
      </c>
      <c r="E51" s="1666">
        <v>2006</v>
      </c>
      <c r="G51" s="3007">
        <v>2000</v>
      </c>
      <c r="I51" s="1666">
        <v>2001</v>
      </c>
      <c r="R51" s="4222"/>
      <c r="S51" s="4222"/>
      <c r="T51" s="4222"/>
      <c r="U51" s="4222"/>
      <c r="V51" s="4222"/>
      <c r="W51" s="4222"/>
    </row>
    <row r="53" spans="1:29" ht="13.5" customHeight="1">
      <c r="C53" s="383" t="s">
        <v>2290</v>
      </c>
      <c r="D53" s="1807"/>
      <c r="E53" s="1808">
        <f>IF(E48&lt;E49,E49/E48-1,E48/E49-1)</f>
        <v>5.2083333333333259E-2</v>
      </c>
      <c r="F53" s="1809" t="str">
        <f>IF(OR(E53&gt;=0.3,E53&lt;=-0.3),"超过30%","")</f>
        <v/>
      </c>
      <c r="G53" s="1808">
        <f>IF(G48&lt;G49,G49/G48-1,G48/G49-1)</f>
        <v>8.4532374100719565E-2</v>
      </c>
      <c r="H53" s="1809" t="str">
        <f>IF(OR(G53&gt;=0.3,G53&lt;=-0.3),"超过30%","")</f>
        <v/>
      </c>
      <c r="I53" s="1808">
        <f>IF(I48&lt;I49,I49/I48-1,I48/I49-1)</f>
        <v>5.3999999999999826E-2</v>
      </c>
      <c r="J53" s="1809" t="str">
        <f>IF(OR(I53&gt;=0.3,I53&lt;=-0.3),"超过30%","")</f>
        <v/>
      </c>
    </row>
    <row r="54" spans="1:29" ht="13.5" customHeight="1">
      <c r="C54" s="383" t="s">
        <v>2291</v>
      </c>
      <c r="D54" s="1810"/>
      <c r="E54" s="1808">
        <f>IF(E49&lt;G49,G49/E49-1,E49/G49-1)</f>
        <v>0.19405940594059423</v>
      </c>
      <c r="F54" s="1809" t="str">
        <f>IF(OR(E54&gt;=0.2,E54&lt;=-0.2),"超过20%","")</f>
        <v/>
      </c>
      <c r="G54" s="1808">
        <f>IF(G49&lt;I49,I49/G49-1,G49/I49-1)</f>
        <v>0.14421252371916515</v>
      </c>
      <c r="H54" s="1809" t="str">
        <f>IF(OR(G54&gt;=0.2,G54&lt;=-0.2),"超过20%","")</f>
        <v/>
      </c>
      <c r="I54" s="1808">
        <f>IF(I49&lt;E49,E49/I49-1,I49/E49-1)</f>
        <v>4.3564356435643603E-2</v>
      </c>
      <c r="J54" s="1809" t="str">
        <f>IF(OR(I54&gt;=0.2,I54&lt;=-0.2),"超过20%","")</f>
        <v/>
      </c>
    </row>
    <row r="55" spans="1:29" s="1813" customFormat="1" ht="13.5" customHeight="1">
      <c r="C55" s="383" t="s">
        <v>2292</v>
      </c>
      <c r="D55" s="1810"/>
      <c r="E55" s="1808">
        <f>IF(E48&lt;G48,G48/E48-1,E48/G48-1)</f>
        <v>0.15833333333333321</v>
      </c>
      <c r="F55" s="1809" t="str">
        <f>IF(OR(E55&gt;=0.3,E55&lt;=-0.3),"超过30%","")</f>
        <v/>
      </c>
      <c r="G55" s="1808">
        <f>IF(G48&lt;I48,I48/G48-1,G48/I48-1)</f>
        <v>0.11199999999999988</v>
      </c>
      <c r="H55" s="1809" t="str">
        <f>IF(OR(G55&gt;=0.3,G55&lt;=-0.3),"超过30%","")</f>
        <v/>
      </c>
      <c r="I55" s="1808">
        <f>IF(I48&lt;E48,E48/I48-1,I48/E48-1)</f>
        <v>4.1666666666666741E-2</v>
      </c>
      <c r="J55" s="1809" t="str">
        <f>IF(OR(I55&gt;=0.3,I55&lt;=-0.3),"超过30%","")</f>
        <v/>
      </c>
      <c r="K55" s="3008"/>
      <c r="L55" s="3002"/>
    </row>
    <row r="56" spans="1:29" s="1813" customFormat="1">
      <c r="B56" s="3006"/>
      <c r="C56" s="3007"/>
      <c r="K56" s="3008"/>
      <c r="L56" s="3002"/>
    </row>
    <row r="57" spans="1:29">
      <c r="B57" s="3006"/>
      <c r="C57" s="3007"/>
    </row>
    <row r="58" spans="1:29" ht="21.75" thickBot="1">
      <c r="A58" s="1816" t="s">
        <v>2293</v>
      </c>
      <c r="B58" s="1791"/>
      <c r="C58" s="1817"/>
      <c r="D58" s="1817"/>
      <c r="E58" s="1817"/>
      <c r="F58" s="1817"/>
      <c r="G58" s="1817"/>
      <c r="H58" s="1817"/>
      <c r="I58" s="1817"/>
      <c r="J58" s="1817"/>
      <c r="K58" s="1818"/>
      <c r="L58" s="1819"/>
      <c r="M58" s="1817"/>
      <c r="N58" s="3004"/>
      <c r="O58" s="3004"/>
      <c r="P58" s="2045"/>
      <c r="Q58" s="1821"/>
    </row>
    <row r="59" spans="1:29" s="1827" customFormat="1" ht="15">
      <c r="A59" s="1822" t="s">
        <v>2257</v>
      </c>
      <c r="B59" s="1823"/>
      <c r="C59" s="1824" t="str">
        <f>YEAR(C7)&amp;"-"&amp;MONTH(C7)</f>
        <v>2018-1</v>
      </c>
      <c r="D59" s="1825">
        <f>EDATE(C59,-1)</f>
        <v>43070</v>
      </c>
      <c r="E59" s="1825">
        <f t="shared" ref="E59:O59" si="16">EDATE(D59,-1)</f>
        <v>43040</v>
      </c>
      <c r="F59" s="1825">
        <f t="shared" si="16"/>
        <v>43009</v>
      </c>
      <c r="G59" s="1825">
        <f t="shared" si="16"/>
        <v>42979</v>
      </c>
      <c r="H59" s="1825">
        <f t="shared" si="16"/>
        <v>42948</v>
      </c>
      <c r="I59" s="1825">
        <f t="shared" si="16"/>
        <v>42917</v>
      </c>
      <c r="J59" s="1825">
        <f t="shared" si="16"/>
        <v>42887</v>
      </c>
      <c r="K59" s="1825">
        <f t="shared" si="16"/>
        <v>42856</v>
      </c>
      <c r="L59" s="1825">
        <f t="shared" si="16"/>
        <v>42826</v>
      </c>
      <c r="M59" s="1825">
        <f t="shared" si="16"/>
        <v>42795</v>
      </c>
      <c r="N59" s="1825">
        <f t="shared" si="16"/>
        <v>42767</v>
      </c>
      <c r="O59" s="1825">
        <f t="shared" si="16"/>
        <v>42736</v>
      </c>
      <c r="P59" s="2502"/>
    </row>
    <row r="60" spans="1:29" s="1684" customFormat="1" ht="15">
      <c r="A60" s="1828"/>
      <c r="B60" s="1829"/>
      <c r="C60" s="1830">
        <v>100</v>
      </c>
      <c r="D60" s="1831">
        <v>100</v>
      </c>
      <c r="E60" s="1831">
        <v>100</v>
      </c>
      <c r="F60" s="1831">
        <v>100</v>
      </c>
      <c r="G60" s="1831">
        <v>100</v>
      </c>
      <c r="H60" s="1831">
        <v>100</v>
      </c>
      <c r="I60" s="1831">
        <v>100</v>
      </c>
      <c r="J60" s="1831">
        <v>100</v>
      </c>
      <c r="K60" s="1831">
        <v>100</v>
      </c>
      <c r="L60" s="1831">
        <v>100</v>
      </c>
      <c r="M60" s="1832">
        <v>100</v>
      </c>
      <c r="N60" s="1831">
        <v>100</v>
      </c>
      <c r="O60" s="1845"/>
      <c r="P60" s="1821"/>
    </row>
    <row r="61" spans="1:29" s="1684" customFormat="1" ht="15.75" thickBot="1">
      <c r="A61" s="1834" t="s">
        <v>2295</v>
      </c>
      <c r="B61" s="1835"/>
      <c r="C61" s="1836"/>
      <c r="D61" s="1837"/>
      <c r="E61" s="1837"/>
      <c r="F61" s="1837"/>
      <c r="G61" s="1837"/>
      <c r="H61" s="1837"/>
      <c r="I61" s="1837"/>
      <c r="J61" s="1837"/>
      <c r="K61" s="1837"/>
      <c r="L61" s="1837"/>
      <c r="M61" s="1838"/>
      <c r="N61" s="1837"/>
      <c r="O61" s="2503"/>
      <c r="P61" s="1821"/>
      <c r="Q61" s="1821"/>
    </row>
    <row r="62" spans="1:29" s="1684" customFormat="1" ht="15">
      <c r="A62" s="1839" t="s">
        <v>2259</v>
      </c>
      <c r="B62" s="1829"/>
      <c r="C62" s="1840" t="s">
        <v>2260</v>
      </c>
      <c r="D62" s="409"/>
      <c r="E62" s="409"/>
      <c r="F62" s="409"/>
      <c r="G62" s="409"/>
      <c r="H62" s="409"/>
      <c r="I62" s="409"/>
      <c r="J62" s="409"/>
      <c r="K62" s="409"/>
      <c r="L62" s="409"/>
      <c r="M62" s="1841"/>
      <c r="N62" s="3013"/>
      <c r="O62" s="3013"/>
      <c r="P62" s="2056"/>
      <c r="Q62" s="1821"/>
    </row>
    <row r="63" spans="1:29" s="1684" customFormat="1" ht="15.75" thickBot="1">
      <c r="A63" s="1839"/>
      <c r="B63" s="1829"/>
      <c r="C63" s="1844">
        <v>100</v>
      </c>
      <c r="D63" s="1831"/>
      <c r="E63" s="1831"/>
      <c r="F63" s="1831"/>
      <c r="G63" s="1831"/>
      <c r="H63" s="1831"/>
      <c r="I63" s="1831"/>
      <c r="J63" s="1831"/>
      <c r="K63" s="1831"/>
      <c r="L63" s="1831"/>
      <c r="M63" s="1845"/>
      <c r="N63" s="3013"/>
      <c r="O63" s="3013"/>
      <c r="P63" s="1821"/>
      <c r="Q63" s="1821"/>
    </row>
    <row r="64" spans="1:29">
      <c r="A64" s="1846" t="s">
        <v>2298</v>
      </c>
      <c r="B64" s="1847" t="s">
        <v>2263</v>
      </c>
      <c r="C64" s="1848" t="str">
        <f>C9</f>
        <v>办公</v>
      </c>
      <c r="D64" s="1849"/>
      <c r="E64" s="1849"/>
      <c r="F64" s="1849"/>
      <c r="G64" s="1849"/>
      <c r="H64" s="1849"/>
      <c r="I64" s="1849"/>
      <c r="J64" s="1849"/>
      <c r="K64" s="417"/>
      <c r="L64" s="417"/>
      <c r="M64" s="1850"/>
      <c r="N64" s="3014"/>
      <c r="O64" s="3014"/>
      <c r="P64" s="2057"/>
      <c r="Q64" s="1821"/>
    </row>
    <row r="65" spans="1:17" ht="15.75" thickBot="1">
      <c r="A65" s="1853"/>
      <c r="B65" s="1854"/>
      <c r="C65" s="1855">
        <v>100</v>
      </c>
      <c r="D65" s="1855"/>
      <c r="E65" s="1855"/>
      <c r="F65" s="1855"/>
      <c r="G65" s="1855"/>
      <c r="H65" s="1855"/>
      <c r="I65" s="1855"/>
      <c r="J65" s="1855"/>
      <c r="K65" s="1855"/>
      <c r="L65" s="1855"/>
      <c r="M65" s="1856"/>
      <c r="N65" s="3015"/>
      <c r="O65" s="3015"/>
      <c r="P65" s="2057"/>
      <c r="Q65" s="1821"/>
    </row>
    <row r="66" spans="1:17" ht="27.75" thickTop="1">
      <c r="A66" s="1853"/>
      <c r="B66" s="1858" t="s">
        <v>2266</v>
      </c>
      <c r="C66" s="1859" t="s">
        <v>2299</v>
      </c>
      <c r="D66" s="1859" t="s">
        <v>2300</v>
      </c>
      <c r="E66" s="1859" t="s">
        <v>2301</v>
      </c>
      <c r="F66" s="1859" t="s">
        <v>2302</v>
      </c>
      <c r="G66" s="1859" t="s">
        <v>2303</v>
      </c>
      <c r="H66" s="1859" t="s">
        <v>2304</v>
      </c>
      <c r="I66" s="1859" t="s">
        <v>2305</v>
      </c>
      <c r="J66" s="1859"/>
      <c r="K66" s="428"/>
      <c r="L66" s="428"/>
      <c r="M66" s="1860"/>
      <c r="N66" s="3014"/>
      <c r="O66" s="3014"/>
      <c r="P66" s="2057"/>
      <c r="Q66" s="1821"/>
    </row>
    <row r="67" spans="1:17" ht="15.75" thickBot="1">
      <c r="A67" s="1853"/>
      <c r="B67" s="1861"/>
      <c r="C67" s="1862" t="s">
        <v>36</v>
      </c>
      <c r="D67" s="1862" t="s">
        <v>36</v>
      </c>
      <c r="E67" s="1862">
        <v>100</v>
      </c>
      <c r="F67" s="1862">
        <f>E67-$K10</f>
        <v>100</v>
      </c>
      <c r="G67" s="1862">
        <f>F67-$K10</f>
        <v>100</v>
      </c>
      <c r="H67" s="1862">
        <f>G67-$K10</f>
        <v>100</v>
      </c>
      <c r="I67" s="1862">
        <f>H67-$K10</f>
        <v>100</v>
      </c>
      <c r="J67" s="1862"/>
      <c r="K67" s="1862"/>
      <c r="L67" s="1862"/>
      <c r="M67" s="1863"/>
      <c r="N67" s="3015"/>
      <c r="O67" s="3015"/>
      <c r="P67" s="2057"/>
      <c r="Q67" s="1821"/>
    </row>
    <row r="68" spans="1:17" ht="15.75" thickTop="1">
      <c r="A68" s="1853"/>
      <c r="B68" s="1864" t="s">
        <v>2267</v>
      </c>
      <c r="C68" s="1865" t="str">
        <f>C69&amp;"（含）"&amp;"-"&amp;D69</f>
        <v>0（含）-1</v>
      </c>
      <c r="D68" s="1865" t="str">
        <f t="shared" ref="D68:L68" si="17">D69&amp;"（含）"&amp;"-"&amp;E69</f>
        <v>1（含）-2</v>
      </c>
      <c r="E68" s="1865" t="str">
        <f t="shared" si="17"/>
        <v>2（含）-3</v>
      </c>
      <c r="F68" s="1865" t="str">
        <f t="shared" si="17"/>
        <v>3（含）-</v>
      </c>
      <c r="G68" s="1865" t="str">
        <f t="shared" si="17"/>
        <v>（含）-</v>
      </c>
      <c r="H68" s="1865" t="str">
        <f t="shared" si="17"/>
        <v>（含）-</v>
      </c>
      <c r="I68" s="1865" t="str">
        <f t="shared" si="17"/>
        <v>（含）-</v>
      </c>
      <c r="J68" s="1865" t="str">
        <f t="shared" si="17"/>
        <v>（含）-</v>
      </c>
      <c r="K68" s="1865" t="str">
        <f t="shared" si="17"/>
        <v>（含）-</v>
      </c>
      <c r="L68" s="1865" t="str">
        <f t="shared" si="17"/>
        <v>（含）-</v>
      </c>
      <c r="M68" s="1731" t="str">
        <f>M69&amp;"（含）"&amp;"-"&amp;P69</f>
        <v>（含）-</v>
      </c>
      <c r="N68" s="3015"/>
      <c r="O68" s="3015"/>
      <c r="P68" s="2057"/>
      <c r="Q68" s="1821"/>
    </row>
    <row r="69" spans="1:17" ht="15">
      <c r="A69" s="1853"/>
      <c r="B69" s="1866"/>
      <c r="C69" s="1867">
        <v>0</v>
      </c>
      <c r="D69" s="1867">
        <v>1</v>
      </c>
      <c r="E69" s="1867">
        <v>2</v>
      </c>
      <c r="F69" s="1867">
        <v>3</v>
      </c>
      <c r="G69" s="1867"/>
      <c r="H69" s="1867"/>
      <c r="I69" s="1867"/>
      <c r="J69" s="1867"/>
      <c r="K69" s="438"/>
      <c r="L69" s="438"/>
      <c r="M69" s="1868"/>
      <c r="N69" s="3014"/>
      <c r="O69" s="3014"/>
      <c r="P69" s="2057"/>
      <c r="Q69" s="1821"/>
    </row>
    <row r="70" spans="1:17" ht="15.75" thickBot="1">
      <c r="A70" s="1853"/>
      <c r="B70" s="1854"/>
      <c r="C70" s="1862">
        <v>100</v>
      </c>
      <c r="D70" s="1862">
        <f t="shared" ref="D70:M70" si="18">C70-$K11</f>
        <v>100</v>
      </c>
      <c r="E70" s="1862">
        <f t="shared" si="18"/>
        <v>100</v>
      </c>
      <c r="F70" s="1862">
        <f t="shared" si="18"/>
        <v>100</v>
      </c>
      <c r="G70" s="1862">
        <f t="shared" si="18"/>
        <v>100</v>
      </c>
      <c r="H70" s="1862">
        <f t="shared" si="18"/>
        <v>100</v>
      </c>
      <c r="I70" s="1862">
        <f t="shared" si="18"/>
        <v>100</v>
      </c>
      <c r="J70" s="1862">
        <f t="shared" si="18"/>
        <v>100</v>
      </c>
      <c r="K70" s="1862">
        <f t="shared" si="18"/>
        <v>100</v>
      </c>
      <c r="L70" s="1862">
        <f t="shared" si="18"/>
        <v>100</v>
      </c>
      <c r="M70" s="1863">
        <f t="shared" si="18"/>
        <v>100</v>
      </c>
      <c r="N70" s="3015"/>
      <c r="O70" s="3015"/>
      <c r="P70" s="2057"/>
      <c r="Q70" s="1821"/>
    </row>
    <row r="71" spans="1:17" s="1771" customFormat="1" ht="15.75" thickTop="1">
      <c r="A71" s="1869"/>
      <c r="B71" s="1858">
        <f>B12</f>
        <v>111</v>
      </c>
      <c r="C71" s="468"/>
      <c r="D71" s="468"/>
      <c r="E71" s="468"/>
      <c r="F71" s="468"/>
      <c r="G71" s="468"/>
      <c r="H71" s="443"/>
      <c r="I71" s="443"/>
      <c r="J71" s="443"/>
      <c r="K71" s="443"/>
      <c r="L71" s="443"/>
      <c r="M71" s="1870"/>
      <c r="N71" s="3016"/>
      <c r="O71" s="3016"/>
      <c r="P71" s="2058"/>
      <c r="Q71" s="1873"/>
    </row>
    <row r="72" spans="1:17" s="1771" customFormat="1" ht="15.75" thickBot="1">
      <c r="A72" s="1869"/>
      <c r="B72" s="1861"/>
      <c r="C72" s="1874"/>
      <c r="D72" s="1855"/>
      <c r="E72" s="1855"/>
      <c r="F72" s="1855"/>
      <c r="G72" s="1855"/>
      <c r="H72" s="1855"/>
      <c r="I72" s="1855"/>
      <c r="J72" s="1855"/>
      <c r="K72" s="1855"/>
      <c r="L72" s="1855"/>
      <c r="M72" s="1856"/>
      <c r="N72" s="3015"/>
      <c r="O72" s="3015"/>
      <c r="P72" s="2058"/>
      <c r="Q72" s="1873"/>
    </row>
    <row r="73" spans="1:17" s="1771" customFormat="1" ht="15.75" thickTop="1">
      <c r="A73" s="1869"/>
      <c r="B73" s="1858">
        <f>B13</f>
        <v>111</v>
      </c>
      <c r="C73" s="468"/>
      <c r="D73" s="468"/>
      <c r="E73" s="468"/>
      <c r="F73" s="468"/>
      <c r="G73" s="468"/>
      <c r="H73" s="443"/>
      <c r="I73" s="443"/>
      <c r="J73" s="443"/>
      <c r="K73" s="443"/>
      <c r="L73" s="443"/>
      <c r="M73" s="1870"/>
      <c r="N73" s="3016"/>
      <c r="O73" s="3016"/>
      <c r="P73" s="2059"/>
      <c r="Q73" s="1876"/>
    </row>
    <row r="74" spans="1:17" s="1771" customFormat="1" ht="15.75" thickBot="1">
      <c r="A74" s="1869"/>
      <c r="B74" s="1861"/>
      <c r="C74" s="1874"/>
      <c r="D74" s="1874"/>
      <c r="E74" s="1874"/>
      <c r="F74" s="1874"/>
      <c r="G74" s="1874"/>
      <c r="H74" s="1877"/>
      <c r="I74" s="1877"/>
      <c r="J74" s="1877"/>
      <c r="K74" s="1877"/>
      <c r="L74" s="1877"/>
      <c r="M74" s="1878"/>
      <c r="N74" s="3016"/>
      <c r="O74" s="3016"/>
      <c r="P74" s="2058"/>
      <c r="Q74" s="1873"/>
    </row>
    <row r="75" spans="1:17" s="1771" customFormat="1" ht="15.75" thickTop="1">
      <c r="A75" s="1869"/>
      <c r="B75" s="1864">
        <f>B14</f>
        <v>111</v>
      </c>
      <c r="C75" s="409"/>
      <c r="D75" s="409"/>
      <c r="E75" s="409"/>
      <c r="F75" s="409"/>
      <c r="G75" s="409"/>
      <c r="H75" s="453"/>
      <c r="I75" s="453"/>
      <c r="J75" s="453"/>
      <c r="K75" s="453"/>
      <c r="L75" s="453"/>
      <c r="M75" s="1879"/>
      <c r="N75" s="3016"/>
      <c r="O75" s="3016"/>
      <c r="P75" s="2058"/>
      <c r="Q75" s="1873"/>
    </row>
    <row r="76" spans="1:17" s="1771" customFormat="1" ht="15.75" thickBot="1">
      <c r="A76" s="1880"/>
      <c r="B76" s="1881"/>
      <c r="C76" s="1882"/>
      <c r="D76" s="1882"/>
      <c r="E76" s="1882"/>
      <c r="F76" s="1882"/>
      <c r="G76" s="1882"/>
      <c r="H76" s="1883"/>
      <c r="I76" s="1883"/>
      <c r="J76" s="1883"/>
      <c r="K76" s="1883"/>
      <c r="L76" s="1883"/>
      <c r="M76" s="1884"/>
      <c r="N76" s="3016"/>
      <c r="O76" s="3016"/>
      <c r="P76" s="2058"/>
      <c r="Q76" s="1873"/>
    </row>
    <row r="77" spans="1:17">
      <c r="A77" s="1846" t="s">
        <v>2268</v>
      </c>
      <c r="B77" s="1847" t="s">
        <v>2394</v>
      </c>
      <c r="C77" s="1885" t="s">
        <v>2307</v>
      </c>
      <c r="D77" s="1885" t="s">
        <v>2308</v>
      </c>
      <c r="E77" s="1885" t="s">
        <v>2309</v>
      </c>
      <c r="F77" s="1885" t="s">
        <v>2310</v>
      </c>
      <c r="G77" s="1885" t="s">
        <v>2311</v>
      </c>
      <c r="H77" s="1848"/>
      <c r="I77" s="1848"/>
      <c r="J77" s="1848"/>
      <c r="K77" s="463"/>
      <c r="L77" s="463"/>
      <c r="M77" s="1886"/>
      <c r="N77" s="3014"/>
      <c r="O77" s="3014"/>
      <c r="P77" s="2057"/>
      <c r="Q77" s="1821"/>
    </row>
    <row r="78" spans="1:17" ht="15.75" thickBot="1">
      <c r="A78" s="1853"/>
      <c r="B78" s="1861"/>
      <c r="C78" s="1862">
        <v>100</v>
      </c>
      <c r="D78" s="1862">
        <f>C78-$K15</f>
        <v>98</v>
      </c>
      <c r="E78" s="1862">
        <f>D78-$K15</f>
        <v>96</v>
      </c>
      <c r="F78" s="1862">
        <f>E78-$K15</f>
        <v>94</v>
      </c>
      <c r="G78" s="1862">
        <f>F78-$K15</f>
        <v>92</v>
      </c>
      <c r="H78" s="1862"/>
      <c r="I78" s="1862"/>
      <c r="J78" s="1862"/>
      <c r="K78" s="1862"/>
      <c r="L78" s="1862"/>
      <c r="M78" s="1863"/>
      <c r="N78" s="3015"/>
      <c r="O78" s="3015"/>
      <c r="P78" s="2057"/>
      <c r="Q78" s="1821"/>
    </row>
    <row r="79" spans="1:17" ht="15.75" thickTop="1">
      <c r="A79" s="1853"/>
      <c r="B79" s="1858" t="s">
        <v>2312</v>
      </c>
      <c r="C79" s="579" t="s">
        <v>2307</v>
      </c>
      <c r="D79" s="579" t="s">
        <v>2308</v>
      </c>
      <c r="E79" s="579" t="s">
        <v>2309</v>
      </c>
      <c r="F79" s="579" t="s">
        <v>2310</v>
      </c>
      <c r="G79" s="579" t="s">
        <v>2311</v>
      </c>
      <c r="H79" s="1859"/>
      <c r="I79" s="1859"/>
      <c r="J79" s="1859"/>
      <c r="K79" s="428"/>
      <c r="L79" s="428"/>
      <c r="M79" s="1860"/>
      <c r="N79" s="3014"/>
      <c r="O79" s="3014"/>
      <c r="P79" s="2057"/>
      <c r="Q79" s="1821"/>
    </row>
    <row r="80" spans="1:17" ht="15.75" thickBot="1">
      <c r="A80" s="1853"/>
      <c r="B80" s="1861"/>
      <c r="C80" s="1862">
        <v>100</v>
      </c>
      <c r="D80" s="1862">
        <f>C80-$K17</f>
        <v>98</v>
      </c>
      <c r="E80" s="1862">
        <f>D80-$K17</f>
        <v>96</v>
      </c>
      <c r="F80" s="1862">
        <f>E80-$K17</f>
        <v>94</v>
      </c>
      <c r="G80" s="1862">
        <f>F80-$K17</f>
        <v>92</v>
      </c>
      <c r="H80" s="1862"/>
      <c r="I80" s="1862"/>
      <c r="J80" s="1862"/>
      <c r="K80" s="1862"/>
      <c r="L80" s="1862"/>
      <c r="M80" s="1863"/>
      <c r="N80" s="3015"/>
      <c r="O80" s="3015"/>
      <c r="P80" s="2057"/>
      <c r="Q80" s="1821"/>
    </row>
    <row r="81" spans="1:17" ht="15.75" thickTop="1">
      <c r="A81" s="1853"/>
      <c r="B81" s="1858" t="s">
        <v>2313</v>
      </c>
      <c r="C81" s="579" t="s">
        <v>2307</v>
      </c>
      <c r="D81" s="579" t="s">
        <v>2308</v>
      </c>
      <c r="E81" s="579" t="s">
        <v>2309</v>
      </c>
      <c r="F81" s="579" t="s">
        <v>2310</v>
      </c>
      <c r="G81" s="579" t="s">
        <v>2311</v>
      </c>
      <c r="H81" s="1859"/>
      <c r="I81" s="1859"/>
      <c r="J81" s="1859"/>
      <c r="K81" s="428"/>
      <c r="L81" s="428"/>
      <c r="M81" s="1860"/>
      <c r="N81" s="3014"/>
      <c r="O81" s="3014"/>
      <c r="P81" s="2057"/>
      <c r="Q81" s="1821"/>
    </row>
    <row r="82" spans="1:17" ht="15.75" thickBot="1">
      <c r="A82" s="1853"/>
      <c r="B82" s="1861"/>
      <c r="C82" s="1862">
        <v>100</v>
      </c>
      <c r="D82" s="1862">
        <f>C82-$K19</f>
        <v>98</v>
      </c>
      <c r="E82" s="1862">
        <f>D82-$K19</f>
        <v>96</v>
      </c>
      <c r="F82" s="1862">
        <f>E82-$K19</f>
        <v>94</v>
      </c>
      <c r="G82" s="1862">
        <f>F82-$K19</f>
        <v>92</v>
      </c>
      <c r="H82" s="1862"/>
      <c r="I82" s="1862"/>
      <c r="J82" s="1862"/>
      <c r="K82" s="1862"/>
      <c r="L82" s="1862"/>
      <c r="M82" s="1863"/>
      <c r="N82" s="3015"/>
      <c r="O82" s="3015"/>
      <c r="P82" s="2057"/>
      <c r="Q82" s="1821"/>
    </row>
    <row r="83" spans="1:17" ht="15.75" thickTop="1">
      <c r="A83" s="1853"/>
      <c r="B83" s="1864" t="s">
        <v>2356</v>
      </c>
      <c r="C83" s="1859" t="s">
        <v>2314</v>
      </c>
      <c r="D83" s="1859" t="s">
        <v>2315</v>
      </c>
      <c r="E83" s="1859" t="s">
        <v>2316</v>
      </c>
      <c r="F83" s="1859" t="s">
        <v>2317</v>
      </c>
      <c r="G83" s="1859" t="s">
        <v>2318</v>
      </c>
      <c r="H83" s="1859"/>
      <c r="I83" s="1859"/>
      <c r="J83" s="1859"/>
      <c r="K83" s="1859"/>
      <c r="L83" s="1859"/>
      <c r="M83" s="1887"/>
      <c r="N83" s="3015"/>
      <c r="O83" s="3015"/>
      <c r="P83" s="2057"/>
      <c r="Q83" s="1821"/>
    </row>
    <row r="84" spans="1:17" ht="15.75" thickBot="1">
      <c r="A84" s="1853"/>
      <c r="B84" s="1864"/>
      <c r="C84" s="1862">
        <v>100</v>
      </c>
      <c r="D84" s="1862">
        <f>C84-$K21</f>
        <v>99</v>
      </c>
      <c r="E84" s="1862">
        <f>D84-$K21</f>
        <v>98</v>
      </c>
      <c r="F84" s="1862">
        <f>E84-$K21</f>
        <v>97</v>
      </c>
      <c r="G84" s="1862">
        <f>F84-$K21</f>
        <v>96</v>
      </c>
      <c r="H84" s="1888"/>
      <c r="I84" s="1888"/>
      <c r="J84" s="1888"/>
      <c r="K84" s="1888"/>
      <c r="L84" s="1888"/>
      <c r="M84" s="1735"/>
      <c r="N84" s="3015"/>
      <c r="O84" s="3015"/>
      <c r="P84" s="2057"/>
      <c r="Q84" s="1821"/>
    </row>
    <row r="85" spans="1:17" ht="15.75" thickTop="1">
      <c r="A85" s="1853"/>
      <c r="B85" s="1858" t="s">
        <v>2395</v>
      </c>
      <c r="C85" s="579" t="s">
        <v>2307</v>
      </c>
      <c r="D85" s="579" t="s">
        <v>2308</v>
      </c>
      <c r="E85" s="579" t="s">
        <v>2309</v>
      </c>
      <c r="F85" s="579" t="s">
        <v>2310</v>
      </c>
      <c r="G85" s="579" t="s">
        <v>2311</v>
      </c>
      <c r="H85" s="1859"/>
      <c r="I85" s="1859"/>
      <c r="J85" s="1859"/>
      <c r="K85" s="428"/>
      <c r="L85" s="428"/>
      <c r="M85" s="1860"/>
      <c r="N85" s="3014"/>
      <c r="O85" s="3014"/>
      <c r="P85" s="2057"/>
      <c r="Q85" s="1821"/>
    </row>
    <row r="86" spans="1:17" ht="15.75" thickBot="1">
      <c r="A86" s="1853"/>
      <c r="B86" s="1861"/>
      <c r="C86" s="1862">
        <v>100</v>
      </c>
      <c r="D86" s="1862">
        <f>C86-$K23</f>
        <v>98</v>
      </c>
      <c r="E86" s="1862">
        <f>D86-$K23</f>
        <v>96</v>
      </c>
      <c r="F86" s="1862">
        <f>E86-$K23</f>
        <v>94</v>
      </c>
      <c r="G86" s="1862">
        <f>F86-$K23</f>
        <v>92</v>
      </c>
      <c r="H86" s="1862"/>
      <c r="I86" s="1862"/>
      <c r="J86" s="1862"/>
      <c r="K86" s="1862"/>
      <c r="L86" s="1862"/>
      <c r="M86" s="1863"/>
      <c r="N86" s="3015"/>
      <c r="O86" s="3015"/>
      <c r="P86" s="2057"/>
      <c r="Q86" s="1821"/>
    </row>
    <row r="87" spans="1:17" s="1684" customFormat="1" ht="27.75" thickTop="1">
      <c r="A87" s="1889"/>
      <c r="B87" s="1858" t="s">
        <v>2396</v>
      </c>
      <c r="C87" s="3452" t="s">
        <v>3355</v>
      </c>
      <c r="D87" s="3158" t="s">
        <v>3356</v>
      </c>
      <c r="E87" s="3158" t="s">
        <v>3357</v>
      </c>
      <c r="F87" s="3158" t="s">
        <v>4986</v>
      </c>
      <c r="G87" s="468"/>
      <c r="H87" s="468"/>
      <c r="I87" s="468"/>
      <c r="J87" s="468"/>
      <c r="K87" s="468"/>
      <c r="L87" s="468"/>
      <c r="M87" s="1890"/>
      <c r="N87" s="3013"/>
      <c r="O87" s="3013"/>
      <c r="P87" s="2057"/>
      <c r="Q87" s="1821"/>
    </row>
    <row r="88" spans="1:17" s="1684" customFormat="1" ht="15.75" thickBot="1">
      <c r="A88" s="1889"/>
      <c r="B88" s="1861"/>
      <c r="C88" s="1891">
        <v>100</v>
      </c>
      <c r="D88" s="1862">
        <f t="shared" ref="D88:M88" si="19">C88-$K25</f>
        <v>98</v>
      </c>
      <c r="E88" s="1862">
        <f t="shared" si="19"/>
        <v>96</v>
      </c>
      <c r="F88" s="1862">
        <f t="shared" si="19"/>
        <v>94</v>
      </c>
      <c r="G88" s="1862">
        <f t="shared" si="19"/>
        <v>92</v>
      </c>
      <c r="H88" s="1862">
        <f t="shared" si="19"/>
        <v>90</v>
      </c>
      <c r="I88" s="1862">
        <f t="shared" si="19"/>
        <v>88</v>
      </c>
      <c r="J88" s="1862">
        <f t="shared" si="19"/>
        <v>86</v>
      </c>
      <c r="K88" s="1862">
        <f t="shared" si="19"/>
        <v>84</v>
      </c>
      <c r="L88" s="1862">
        <f t="shared" si="19"/>
        <v>82</v>
      </c>
      <c r="M88" s="1862">
        <f t="shared" si="19"/>
        <v>80</v>
      </c>
      <c r="N88" s="3015"/>
      <c r="O88" s="3015"/>
      <c r="P88" s="2057"/>
      <c r="Q88" s="1821"/>
    </row>
    <row r="89" spans="1:17" s="1684" customFormat="1" ht="15.75" thickTop="1">
      <c r="A89" s="1889"/>
      <c r="B89" s="1858" t="str">
        <f>B27</f>
        <v>楼层</v>
      </c>
      <c r="C89" s="3158" t="s">
        <v>4989</v>
      </c>
      <c r="D89" s="3158" t="s">
        <v>4991</v>
      </c>
      <c r="E89" s="3158"/>
      <c r="F89" s="1892"/>
      <c r="G89" s="468"/>
      <c r="H89" s="468"/>
      <c r="I89" s="468"/>
      <c r="J89" s="468"/>
      <c r="K89" s="468"/>
      <c r="L89" s="468"/>
      <c r="M89" s="1890"/>
      <c r="N89" s="3013"/>
      <c r="O89" s="3013"/>
      <c r="P89" s="2057"/>
      <c r="Q89" s="1821"/>
    </row>
    <row r="90" spans="1:17" s="1684" customFormat="1" ht="15.75" thickBot="1">
      <c r="A90" s="1889"/>
      <c r="B90" s="1861"/>
      <c r="C90" s="1891">
        <v>100</v>
      </c>
      <c r="D90" s="1862">
        <f>C90-$K27</f>
        <v>98</v>
      </c>
      <c r="E90" s="1862">
        <f t="shared" ref="E90:M90" si="20">D90-$K27</f>
        <v>96</v>
      </c>
      <c r="F90" s="1862">
        <f t="shared" si="20"/>
        <v>94</v>
      </c>
      <c r="G90" s="1862">
        <f t="shared" si="20"/>
        <v>92</v>
      </c>
      <c r="H90" s="1862">
        <f t="shared" si="20"/>
        <v>90</v>
      </c>
      <c r="I90" s="1862">
        <f t="shared" si="20"/>
        <v>88</v>
      </c>
      <c r="J90" s="1862">
        <f t="shared" si="20"/>
        <v>86</v>
      </c>
      <c r="K90" s="1862">
        <f t="shared" si="20"/>
        <v>84</v>
      </c>
      <c r="L90" s="1862">
        <f t="shared" si="20"/>
        <v>82</v>
      </c>
      <c r="M90" s="1862">
        <f t="shared" si="20"/>
        <v>80</v>
      </c>
      <c r="N90" s="3015"/>
      <c r="O90" s="3015"/>
      <c r="P90" s="2057"/>
      <c r="Q90" s="1821"/>
    </row>
    <row r="91" spans="1:17" s="1771" customFormat="1" ht="15.75" thickTop="1">
      <c r="A91" s="1869"/>
      <c r="B91" s="1858" t="str">
        <f>B28</f>
        <v>朝向</v>
      </c>
      <c r="C91" s="3158" t="s">
        <v>2900</v>
      </c>
      <c r="D91" s="3158" t="s">
        <v>2901</v>
      </c>
      <c r="E91" s="3158" t="s">
        <v>2902</v>
      </c>
      <c r="F91" s="3158" t="s">
        <v>2903</v>
      </c>
      <c r="G91" s="3158" t="s">
        <v>2904</v>
      </c>
      <c r="H91" s="443"/>
      <c r="I91" s="443"/>
      <c r="J91" s="443"/>
      <c r="K91" s="443"/>
      <c r="L91" s="443"/>
      <c r="M91" s="1870"/>
      <c r="N91" s="3016"/>
      <c r="O91" s="3016"/>
      <c r="P91" s="2058"/>
      <c r="Q91" s="1873"/>
    </row>
    <row r="92" spans="1:17" s="1771" customFormat="1" ht="15.75" thickBot="1">
      <c r="A92" s="1869"/>
      <c r="B92" s="1861"/>
      <c r="C92" s="1891">
        <v>100</v>
      </c>
      <c r="D92" s="1862">
        <f t="shared" ref="D92:M92" si="21">C92-$K28</f>
        <v>98</v>
      </c>
      <c r="E92" s="1862">
        <f t="shared" si="21"/>
        <v>96</v>
      </c>
      <c r="F92" s="1862">
        <f t="shared" si="21"/>
        <v>94</v>
      </c>
      <c r="G92" s="1862">
        <f t="shared" si="21"/>
        <v>92</v>
      </c>
      <c r="H92" s="1862">
        <f t="shared" si="21"/>
        <v>90</v>
      </c>
      <c r="I92" s="1862">
        <f t="shared" si="21"/>
        <v>88</v>
      </c>
      <c r="J92" s="1862">
        <f t="shared" si="21"/>
        <v>86</v>
      </c>
      <c r="K92" s="1862">
        <f t="shared" si="21"/>
        <v>84</v>
      </c>
      <c r="L92" s="1862">
        <f t="shared" si="21"/>
        <v>82</v>
      </c>
      <c r="M92" s="1862">
        <f t="shared" si="21"/>
        <v>80</v>
      </c>
      <c r="N92" s="3016"/>
      <c r="O92" s="3016"/>
      <c r="P92" s="2058"/>
      <c r="Q92" s="1873"/>
    </row>
    <row r="93" spans="1:17" ht="15.75" thickTop="1">
      <c r="A93" s="1853"/>
      <c r="B93" s="1858">
        <f>B47</f>
        <v>0</v>
      </c>
      <c r="C93" s="468"/>
      <c r="D93" s="468"/>
      <c r="E93" s="468"/>
      <c r="F93" s="468"/>
      <c r="G93" s="468"/>
      <c r="H93" s="468"/>
      <c r="I93" s="468"/>
      <c r="J93" s="468"/>
      <c r="K93" s="468"/>
      <c r="L93" s="468"/>
      <c r="M93" s="1890"/>
      <c r="N93" s="3014"/>
      <c r="O93" s="3014"/>
      <c r="P93" s="2057"/>
      <c r="Q93" s="1821"/>
    </row>
    <row r="94" spans="1:17" ht="15.75" thickBot="1">
      <c r="A94" s="1853"/>
      <c r="B94" s="1861"/>
      <c r="C94" s="1874"/>
      <c r="D94" s="1855"/>
      <c r="E94" s="1855"/>
      <c r="F94" s="1855"/>
      <c r="G94" s="1855"/>
      <c r="H94" s="1855"/>
      <c r="I94" s="1855"/>
      <c r="J94" s="1855"/>
      <c r="K94" s="1855"/>
      <c r="L94" s="1855"/>
      <c r="M94" s="1856"/>
      <c r="N94" s="3015"/>
      <c r="O94" s="3015"/>
      <c r="P94" s="2057"/>
      <c r="Q94" s="1821"/>
    </row>
    <row r="95" spans="1:17" ht="15.75" thickTop="1">
      <c r="A95" s="1853"/>
      <c r="B95" s="1858">
        <f>B30</f>
        <v>111</v>
      </c>
      <c r="C95" s="468"/>
      <c r="D95" s="468"/>
      <c r="E95" s="468"/>
      <c r="F95" s="468"/>
      <c r="G95" s="1578"/>
      <c r="H95" s="1578"/>
      <c r="I95" s="1578"/>
      <c r="J95" s="1578"/>
      <c r="K95" s="473"/>
      <c r="L95" s="473"/>
      <c r="M95" s="1893"/>
      <c r="N95" s="3014"/>
      <c r="O95" s="3014"/>
      <c r="P95" s="2057"/>
      <c r="Q95" s="1821"/>
    </row>
    <row r="96" spans="1:17" ht="15.75" thickBot="1">
      <c r="A96" s="1853"/>
      <c r="B96" s="1861"/>
      <c r="C96" s="1874"/>
      <c r="D96" s="1874"/>
      <c r="E96" s="1874"/>
      <c r="F96" s="1874"/>
      <c r="G96" s="1855"/>
      <c r="H96" s="1855"/>
      <c r="I96" s="1855"/>
      <c r="J96" s="1855"/>
      <c r="K96" s="1855"/>
      <c r="L96" s="1855"/>
      <c r="M96" s="1856"/>
      <c r="N96" s="3015"/>
      <c r="O96" s="3015"/>
      <c r="P96" s="2057"/>
      <c r="Q96" s="1821"/>
    </row>
    <row r="97" spans="1:17" ht="15.75" thickTop="1">
      <c r="A97" s="1853"/>
      <c r="B97" s="1858">
        <f>B31</f>
        <v>111</v>
      </c>
      <c r="C97" s="468"/>
      <c r="D97" s="468"/>
      <c r="E97" s="468"/>
      <c r="F97" s="468"/>
      <c r="G97" s="1578"/>
      <c r="H97" s="1578"/>
      <c r="I97" s="1578"/>
      <c r="J97" s="1578"/>
      <c r="K97" s="473"/>
      <c r="L97" s="473"/>
      <c r="M97" s="1893"/>
      <c r="N97" s="3014"/>
      <c r="O97" s="3014"/>
      <c r="P97" s="2057"/>
      <c r="Q97" s="1821"/>
    </row>
    <row r="98" spans="1:17" ht="15.75" thickBot="1">
      <c r="A98" s="1853"/>
      <c r="B98" s="1861"/>
      <c r="C98" s="1874"/>
      <c r="D98" s="1855"/>
      <c r="E98" s="1855"/>
      <c r="F98" s="1855"/>
      <c r="G98" s="1855"/>
      <c r="H98" s="1855"/>
      <c r="I98" s="1855"/>
      <c r="J98" s="1855"/>
      <c r="K98" s="1855"/>
      <c r="L98" s="1855"/>
      <c r="M98" s="1856"/>
      <c r="N98" s="3015"/>
      <c r="O98" s="3015"/>
      <c r="P98" s="2057"/>
      <c r="Q98" s="1821"/>
    </row>
    <row r="99" spans="1:17" ht="15.75" thickTop="1">
      <c r="A99" s="1853"/>
      <c r="B99" s="1864">
        <f>B32</f>
        <v>111</v>
      </c>
      <c r="C99" s="409"/>
      <c r="D99" s="409"/>
      <c r="E99" s="409"/>
      <c r="F99" s="409"/>
      <c r="G99" s="1894"/>
      <c r="H99" s="1894"/>
      <c r="I99" s="1894"/>
      <c r="J99" s="1894"/>
      <c r="K99" s="477"/>
      <c r="L99" s="477"/>
      <c r="M99" s="1895"/>
      <c r="N99" s="3014"/>
      <c r="O99" s="3014"/>
      <c r="P99" s="2057"/>
      <c r="Q99" s="1821"/>
    </row>
    <row r="100" spans="1:17" ht="15.75" thickBot="1">
      <c r="A100" s="1896"/>
      <c r="B100" s="1881"/>
      <c r="C100" s="1882"/>
      <c r="D100" s="1882"/>
      <c r="E100" s="1882"/>
      <c r="F100" s="1882"/>
      <c r="G100" s="1897"/>
      <c r="H100" s="1897"/>
      <c r="I100" s="1897"/>
      <c r="J100" s="1897"/>
      <c r="K100" s="1897"/>
      <c r="L100" s="1897"/>
      <c r="M100" s="1898"/>
      <c r="N100" s="3015"/>
      <c r="O100" s="3015"/>
      <c r="P100" s="2057"/>
      <c r="Q100" s="1821"/>
    </row>
    <row r="101" spans="1:17">
      <c r="A101" s="1846" t="s">
        <v>2273</v>
      </c>
      <c r="B101" s="1847" t="s">
        <v>2322</v>
      </c>
      <c r="C101" s="3859" t="s">
        <v>4242</v>
      </c>
      <c r="D101" s="3451" t="s">
        <v>3352</v>
      </c>
      <c r="E101" s="3451" t="s">
        <v>3353</v>
      </c>
      <c r="F101" s="3451" t="s">
        <v>3523</v>
      </c>
      <c r="G101" s="1849"/>
      <c r="H101" s="1849"/>
      <c r="I101" s="1849"/>
      <c r="J101" s="1849"/>
      <c r="K101" s="417"/>
      <c r="L101" s="417"/>
      <c r="M101" s="1850"/>
      <c r="N101" s="3014"/>
      <c r="O101" s="3014"/>
      <c r="P101" s="2057"/>
      <c r="Q101" s="1821"/>
    </row>
    <row r="102" spans="1:17" ht="15.75" thickBot="1">
      <c r="A102" s="1853"/>
      <c r="B102" s="1861"/>
      <c r="C102" s="1862">
        <v>100</v>
      </c>
      <c r="D102" s="1862">
        <f t="shared" ref="D102:M102" si="22">C102-$K33</f>
        <v>99</v>
      </c>
      <c r="E102" s="1862">
        <f t="shared" si="22"/>
        <v>98</v>
      </c>
      <c r="F102" s="1862">
        <f t="shared" si="22"/>
        <v>97</v>
      </c>
      <c r="G102" s="1862">
        <f t="shared" si="22"/>
        <v>96</v>
      </c>
      <c r="H102" s="1862">
        <f t="shared" si="22"/>
        <v>95</v>
      </c>
      <c r="I102" s="1862">
        <f t="shared" si="22"/>
        <v>94</v>
      </c>
      <c r="J102" s="1862">
        <f t="shared" si="22"/>
        <v>93</v>
      </c>
      <c r="K102" s="1862">
        <f t="shared" si="22"/>
        <v>92</v>
      </c>
      <c r="L102" s="1862">
        <f t="shared" si="22"/>
        <v>91</v>
      </c>
      <c r="M102" s="1863">
        <f t="shared" si="22"/>
        <v>90</v>
      </c>
      <c r="N102" s="3015"/>
      <c r="O102" s="3015"/>
      <c r="P102" s="2057"/>
      <c r="Q102" s="1821"/>
    </row>
    <row r="103" spans="1:17" ht="29.25" thickTop="1">
      <c r="A103" s="1853"/>
      <c r="B103" s="1858" t="s">
        <v>2323</v>
      </c>
      <c r="C103" s="579" t="str">
        <f>C104&amp;"(含)"&amp;"-"&amp;D104</f>
        <v>0(含)-500</v>
      </c>
      <c r="D103" s="579" t="str">
        <f t="shared" ref="D103:L103" si="23">D104&amp;"(含)"&amp;"-"&amp;E104</f>
        <v>500(含)-1000</v>
      </c>
      <c r="E103" s="579" t="str">
        <f t="shared" si="23"/>
        <v>1000(含)-1500</v>
      </c>
      <c r="F103" s="579" t="str">
        <f t="shared" si="23"/>
        <v>1500(含)-2000</v>
      </c>
      <c r="G103" s="579" t="str">
        <f t="shared" si="23"/>
        <v>2000(含)-2500</v>
      </c>
      <c r="H103" s="579" t="str">
        <f t="shared" si="23"/>
        <v>2500(含)-</v>
      </c>
      <c r="I103" s="579" t="str">
        <f t="shared" si="23"/>
        <v>(含)-</v>
      </c>
      <c r="J103" s="579" t="str">
        <f t="shared" si="23"/>
        <v>(含)-</v>
      </c>
      <c r="K103" s="579" t="str">
        <f t="shared" si="23"/>
        <v>(含)-</v>
      </c>
      <c r="L103" s="579" t="str">
        <f t="shared" si="23"/>
        <v>(含)-</v>
      </c>
      <c r="M103" s="2060" t="str">
        <f>M104&amp;"(含)"&amp;"-"&amp;P104</f>
        <v>(含)-</v>
      </c>
      <c r="N103" s="3013"/>
      <c r="O103" s="3013"/>
      <c r="P103" s="2057"/>
      <c r="Q103" s="1821"/>
    </row>
    <row r="104" spans="1:17" s="1771" customFormat="1">
      <c r="A104" s="1899"/>
      <c r="B104" s="1900"/>
      <c r="C104" s="1901">
        <v>0</v>
      </c>
      <c r="D104" s="1901">
        <v>500</v>
      </c>
      <c r="E104" s="1901">
        <v>1000</v>
      </c>
      <c r="F104" s="1901">
        <v>1500</v>
      </c>
      <c r="G104" s="1901">
        <v>2000</v>
      </c>
      <c r="H104" s="1901">
        <v>2500</v>
      </c>
      <c r="I104" s="1901"/>
      <c r="J104" s="485"/>
      <c r="K104" s="485"/>
      <c r="L104" s="485"/>
      <c r="M104" s="1902"/>
      <c r="N104" s="3016"/>
      <c r="O104" s="3016"/>
      <c r="P104" s="2058"/>
      <c r="Q104" s="1873"/>
    </row>
    <row r="105" spans="1:17" s="1771" customFormat="1" ht="15.75" thickBot="1">
      <c r="A105" s="1869"/>
      <c r="B105" s="1861"/>
      <c r="C105" s="1874">
        <v>100</v>
      </c>
      <c r="D105" s="1855">
        <v>99</v>
      </c>
      <c r="E105" s="1855">
        <v>98</v>
      </c>
      <c r="F105" s="1855">
        <v>97</v>
      </c>
      <c r="G105" s="1855">
        <v>96</v>
      </c>
      <c r="H105" s="1855">
        <v>95</v>
      </c>
      <c r="I105" s="1855"/>
      <c r="J105" s="1855"/>
      <c r="K105" s="1855"/>
      <c r="L105" s="1855"/>
      <c r="M105" s="1856"/>
      <c r="N105" s="3015"/>
      <c r="O105" s="3015"/>
      <c r="P105" s="2058"/>
      <c r="Q105" s="1873"/>
    </row>
    <row r="106" spans="1:17" ht="15" thickTop="1">
      <c r="A106" s="1903"/>
      <c r="B106" s="1858" t="s">
        <v>2324</v>
      </c>
      <c r="C106" s="3158" t="s">
        <v>3354</v>
      </c>
      <c r="D106" s="468"/>
      <c r="E106" s="1578"/>
      <c r="F106" s="1578"/>
      <c r="G106" s="1578"/>
      <c r="H106" s="1578"/>
      <c r="I106" s="1578"/>
      <c r="J106" s="1578"/>
      <c r="K106" s="473"/>
      <c r="L106" s="473"/>
      <c r="M106" s="1893"/>
      <c r="N106" s="3014"/>
      <c r="O106" s="3014"/>
      <c r="P106" s="2057"/>
      <c r="Q106" s="1821"/>
    </row>
    <row r="107" spans="1:17" ht="15.75" thickBot="1">
      <c r="A107" s="1853"/>
      <c r="B107" s="1861"/>
      <c r="C107" s="1862">
        <v>100</v>
      </c>
      <c r="D107" s="1862">
        <f t="shared" ref="D107:M107" si="24">C107-$K35</f>
        <v>99</v>
      </c>
      <c r="E107" s="1862">
        <f t="shared" si="24"/>
        <v>98</v>
      </c>
      <c r="F107" s="1862">
        <f t="shared" si="24"/>
        <v>97</v>
      </c>
      <c r="G107" s="1862">
        <f t="shared" si="24"/>
        <v>96</v>
      </c>
      <c r="H107" s="1862">
        <f t="shared" si="24"/>
        <v>95</v>
      </c>
      <c r="I107" s="1862">
        <f t="shared" si="24"/>
        <v>94</v>
      </c>
      <c r="J107" s="1862">
        <f t="shared" si="24"/>
        <v>93</v>
      </c>
      <c r="K107" s="1862">
        <f t="shared" si="24"/>
        <v>92</v>
      </c>
      <c r="L107" s="1862">
        <f t="shared" si="24"/>
        <v>91</v>
      </c>
      <c r="M107" s="1863">
        <f t="shared" si="24"/>
        <v>90</v>
      </c>
      <c r="N107" s="3015"/>
      <c r="O107" s="3015"/>
      <c r="P107" s="2057"/>
      <c r="Q107" s="1821"/>
    </row>
    <row r="108" spans="1:17" ht="15" thickTop="1">
      <c r="A108" s="1903"/>
      <c r="B108" s="1858" t="s">
        <v>2326</v>
      </c>
      <c r="C108" s="3158" t="s">
        <v>2895</v>
      </c>
      <c r="D108" s="3158" t="s">
        <v>2897</v>
      </c>
      <c r="E108" s="468"/>
      <c r="F108" s="1578"/>
      <c r="G108" s="1578"/>
      <c r="H108" s="1578"/>
      <c r="I108" s="1578"/>
      <c r="J108" s="1578"/>
      <c r="K108" s="473"/>
      <c r="L108" s="473"/>
      <c r="M108" s="1893"/>
      <c r="N108" s="3014"/>
      <c r="O108" s="3014"/>
      <c r="P108" s="2057"/>
      <c r="Q108" s="1821"/>
    </row>
    <row r="109" spans="1:17" ht="15.75" thickBot="1">
      <c r="A109" s="1853"/>
      <c r="B109" s="1861"/>
      <c r="C109" s="1862">
        <v>100</v>
      </c>
      <c r="D109" s="1862">
        <f t="shared" ref="D109:M109" si="25">C109-$K36</f>
        <v>99</v>
      </c>
      <c r="E109" s="1862">
        <f t="shared" si="25"/>
        <v>98</v>
      </c>
      <c r="F109" s="1862">
        <f t="shared" si="25"/>
        <v>97</v>
      </c>
      <c r="G109" s="1862">
        <f t="shared" si="25"/>
        <v>96</v>
      </c>
      <c r="H109" s="1862">
        <f t="shared" si="25"/>
        <v>95</v>
      </c>
      <c r="I109" s="1862">
        <f t="shared" si="25"/>
        <v>94</v>
      </c>
      <c r="J109" s="1862">
        <f t="shared" si="25"/>
        <v>93</v>
      </c>
      <c r="K109" s="1862">
        <f t="shared" si="25"/>
        <v>92</v>
      </c>
      <c r="L109" s="1862">
        <f t="shared" si="25"/>
        <v>91</v>
      </c>
      <c r="M109" s="1863">
        <f t="shared" si="25"/>
        <v>90</v>
      </c>
      <c r="N109" s="3015"/>
      <c r="O109" s="3015"/>
      <c r="P109" s="2057"/>
      <c r="Q109" s="1821"/>
    </row>
    <row r="110" spans="1:17" ht="15" thickTop="1">
      <c r="A110" s="1903"/>
      <c r="B110" s="1858" t="s">
        <v>2327</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8"/>
      <c r="J110" s="1578"/>
      <c r="K110" s="473"/>
      <c r="L110" s="473"/>
      <c r="M110" s="1893"/>
      <c r="N110" s="3014"/>
      <c r="O110" s="3014"/>
      <c r="P110" s="2057"/>
      <c r="Q110" s="1821"/>
    </row>
    <row r="111" spans="1:17">
      <c r="A111" s="1903"/>
      <c r="B111" s="1864"/>
      <c r="C111" s="1905">
        <v>0.5</v>
      </c>
      <c r="D111" s="1905">
        <v>0.6</v>
      </c>
      <c r="E111" s="1905">
        <v>0.7</v>
      </c>
      <c r="F111" s="1905">
        <v>0.8</v>
      </c>
      <c r="G111" s="1905">
        <v>0.9</v>
      </c>
      <c r="H111" s="1905">
        <v>1</v>
      </c>
      <c r="I111" s="2482"/>
      <c r="J111" s="2482"/>
      <c r="K111" s="508"/>
      <c r="L111" s="508"/>
      <c r="M111" s="2483"/>
      <c r="N111" s="3014"/>
      <c r="O111" s="3014"/>
      <c r="P111" s="2057"/>
      <c r="Q111" s="1821"/>
    </row>
    <row r="112" spans="1:17" ht="15.75" thickBot="1">
      <c r="A112" s="1853"/>
      <c r="B112" s="1861"/>
      <c r="C112" s="1891">
        <v>100</v>
      </c>
      <c r="D112" s="1862">
        <f>C112+$K37</f>
        <v>101</v>
      </c>
      <c r="E112" s="1862">
        <f t="shared" ref="E112:M112" si="26">D112+$K37</f>
        <v>102</v>
      </c>
      <c r="F112" s="1862">
        <f t="shared" si="26"/>
        <v>103</v>
      </c>
      <c r="G112" s="1862">
        <f t="shared" si="26"/>
        <v>104</v>
      </c>
      <c r="H112" s="1862">
        <f t="shared" si="26"/>
        <v>105</v>
      </c>
      <c r="I112" s="1862">
        <f t="shared" si="26"/>
        <v>106</v>
      </c>
      <c r="J112" s="1862">
        <f t="shared" si="26"/>
        <v>107</v>
      </c>
      <c r="K112" s="1862">
        <f t="shared" si="26"/>
        <v>108</v>
      </c>
      <c r="L112" s="1862">
        <f t="shared" si="26"/>
        <v>109</v>
      </c>
      <c r="M112" s="1862">
        <f t="shared" si="26"/>
        <v>110</v>
      </c>
      <c r="N112" s="3015"/>
      <c r="O112" s="3015"/>
      <c r="P112" s="2057"/>
      <c r="Q112" s="1821"/>
    </row>
    <row r="113" spans="1:17" s="1771" customFormat="1" ht="15" thickTop="1">
      <c r="A113" s="1899"/>
      <c r="B113" s="1858" t="s">
        <v>2397</v>
      </c>
      <c r="C113" s="3158" t="s">
        <v>3519</v>
      </c>
      <c r="D113" s="4115" t="s">
        <v>4992</v>
      </c>
      <c r="E113" s="3158" t="s">
        <v>3520</v>
      </c>
      <c r="F113" s="468"/>
      <c r="G113" s="468"/>
      <c r="H113" s="1578"/>
      <c r="I113" s="1578"/>
      <c r="J113" s="1578"/>
      <c r="K113" s="473"/>
      <c r="L113" s="473"/>
      <c r="M113" s="1893"/>
      <c r="N113" s="3016"/>
      <c r="O113" s="3016"/>
      <c r="P113" s="2058"/>
      <c r="Q113" s="1873"/>
    </row>
    <row r="114" spans="1:17" s="1771" customFormat="1" ht="15.75" thickBot="1">
      <c r="A114" s="1869"/>
      <c r="B114" s="1861"/>
      <c r="C114" s="1862">
        <v>100</v>
      </c>
      <c r="D114" s="1862">
        <f>C114-$K38</f>
        <v>98</v>
      </c>
      <c r="E114" s="1862">
        <f t="shared" ref="E114:M114" si="27">D114-$K38</f>
        <v>96</v>
      </c>
      <c r="F114" s="1862">
        <f t="shared" si="27"/>
        <v>94</v>
      </c>
      <c r="G114" s="1862">
        <f t="shared" si="27"/>
        <v>92</v>
      </c>
      <c r="H114" s="1862">
        <f t="shared" si="27"/>
        <v>90</v>
      </c>
      <c r="I114" s="1862">
        <f t="shared" si="27"/>
        <v>88</v>
      </c>
      <c r="J114" s="1862">
        <f t="shared" si="27"/>
        <v>86</v>
      </c>
      <c r="K114" s="1862">
        <f t="shared" si="27"/>
        <v>84</v>
      </c>
      <c r="L114" s="1862">
        <f t="shared" si="27"/>
        <v>82</v>
      </c>
      <c r="M114" s="1862">
        <f t="shared" si="27"/>
        <v>80</v>
      </c>
      <c r="N114" s="3016"/>
      <c r="O114" s="3016"/>
      <c r="P114" s="2058"/>
      <c r="Q114" s="1873"/>
    </row>
    <row r="115" spans="1:17" ht="15" thickTop="1">
      <c r="A115" s="1903"/>
      <c r="B115" s="1858" t="s">
        <v>2328</v>
      </c>
      <c r="C115" s="3158" t="s">
        <v>3521</v>
      </c>
      <c r="D115" s="468"/>
      <c r="E115" s="1578"/>
      <c r="F115" s="1578"/>
      <c r="G115" s="1578"/>
      <c r="H115" s="1578"/>
      <c r="I115" s="1578"/>
      <c r="J115" s="1578"/>
      <c r="K115" s="473"/>
      <c r="L115" s="473"/>
      <c r="M115" s="1893"/>
      <c r="N115" s="3014"/>
      <c r="O115" s="3014"/>
      <c r="P115" s="2057"/>
      <c r="Q115" s="1821"/>
    </row>
    <row r="116" spans="1:17" ht="15.75" thickBot="1">
      <c r="A116" s="1853"/>
      <c r="B116" s="1861"/>
      <c r="C116" s="1862">
        <v>100</v>
      </c>
      <c r="D116" s="1862">
        <f t="shared" ref="D116:M116" si="28">C116-$K39</f>
        <v>100</v>
      </c>
      <c r="E116" s="1862">
        <f t="shared" si="28"/>
        <v>100</v>
      </c>
      <c r="F116" s="1862">
        <f t="shared" si="28"/>
        <v>100</v>
      </c>
      <c r="G116" s="1862">
        <f t="shared" si="28"/>
        <v>100</v>
      </c>
      <c r="H116" s="1862">
        <f t="shared" si="28"/>
        <v>100</v>
      </c>
      <c r="I116" s="1862">
        <f t="shared" si="28"/>
        <v>100</v>
      </c>
      <c r="J116" s="1862">
        <f t="shared" si="28"/>
        <v>100</v>
      </c>
      <c r="K116" s="1862">
        <f t="shared" si="28"/>
        <v>100</v>
      </c>
      <c r="L116" s="1862">
        <f t="shared" si="28"/>
        <v>100</v>
      </c>
      <c r="M116" s="1863">
        <f t="shared" si="28"/>
        <v>100</v>
      </c>
      <c r="N116" s="3015"/>
      <c r="O116" s="3015"/>
      <c r="P116" s="2057"/>
      <c r="Q116" s="1821"/>
    </row>
    <row r="117" spans="1:17" ht="15" thickTop="1">
      <c r="A117" s="1903"/>
      <c r="B117" s="1858" t="s">
        <v>2329</v>
      </c>
      <c r="C117" s="3158" t="s">
        <v>3522</v>
      </c>
      <c r="D117" s="468"/>
      <c r="E117" s="468"/>
      <c r="F117" s="468"/>
      <c r="G117" s="468"/>
      <c r="H117" s="1578"/>
      <c r="I117" s="1578"/>
      <c r="J117" s="1578"/>
      <c r="K117" s="473"/>
      <c r="L117" s="473"/>
      <c r="M117" s="1893"/>
      <c r="N117" s="3014"/>
      <c r="O117" s="3014"/>
      <c r="P117" s="2057"/>
      <c r="Q117" s="1821"/>
    </row>
    <row r="118" spans="1:17" ht="15.75" thickBot="1">
      <c r="A118" s="1853"/>
      <c r="B118" s="1861"/>
      <c r="C118" s="1862">
        <v>100</v>
      </c>
      <c r="D118" s="1862">
        <f>C118-$K40</f>
        <v>100</v>
      </c>
      <c r="E118" s="1862">
        <f>D118-$K40</f>
        <v>100</v>
      </c>
      <c r="F118" s="1862">
        <f>E118-$K40</f>
        <v>100</v>
      </c>
      <c r="G118" s="1862">
        <f>F118-$K40</f>
        <v>100</v>
      </c>
      <c r="H118" s="1862"/>
      <c r="I118" s="1862"/>
      <c r="J118" s="1862"/>
      <c r="K118" s="1862"/>
      <c r="L118" s="1862"/>
      <c r="M118" s="1863"/>
      <c r="N118" s="3015"/>
      <c r="O118" s="3015"/>
      <c r="P118" s="2057"/>
      <c r="Q118" s="1821"/>
    </row>
    <row r="119" spans="1:17" ht="15" thickTop="1">
      <c r="A119" s="1903"/>
      <c r="B119" s="2504" t="s">
        <v>2398</v>
      </c>
      <c r="C119" s="3159" t="s">
        <v>4244</v>
      </c>
      <c r="D119" s="1578"/>
      <c r="E119" s="1578"/>
      <c r="F119" s="1578"/>
      <c r="G119" s="1578"/>
      <c r="H119" s="1578"/>
      <c r="I119" s="1578"/>
      <c r="J119" s="1578"/>
      <c r="K119" s="1578"/>
      <c r="L119" s="1578"/>
      <c r="M119" s="2505"/>
      <c r="N119" s="3015"/>
      <c r="O119" s="3015"/>
      <c r="P119" s="2506"/>
      <c r="Q119" s="2507"/>
    </row>
    <row r="120" spans="1:17" ht="15.75" thickBot="1">
      <c r="A120" s="1853"/>
      <c r="B120" s="1861"/>
      <c r="C120" s="1891">
        <v>100</v>
      </c>
      <c r="D120" s="1862">
        <f>C120-$K41</f>
        <v>100</v>
      </c>
      <c r="E120" s="1862">
        <f t="shared" ref="E120:M120" si="29">D120-$K41</f>
        <v>100</v>
      </c>
      <c r="F120" s="1862">
        <f t="shared" si="29"/>
        <v>100</v>
      </c>
      <c r="G120" s="1862">
        <f t="shared" si="29"/>
        <v>100</v>
      </c>
      <c r="H120" s="1862">
        <f t="shared" si="29"/>
        <v>100</v>
      </c>
      <c r="I120" s="1862">
        <f t="shared" si="29"/>
        <v>100</v>
      </c>
      <c r="J120" s="1862">
        <f t="shared" si="29"/>
        <v>100</v>
      </c>
      <c r="K120" s="1862">
        <f t="shared" si="29"/>
        <v>100</v>
      </c>
      <c r="L120" s="1862">
        <f t="shared" si="29"/>
        <v>100</v>
      </c>
      <c r="M120" s="1862">
        <f t="shared" si="29"/>
        <v>100</v>
      </c>
      <c r="N120" s="3015"/>
      <c r="O120" s="3015"/>
      <c r="P120" s="2057"/>
      <c r="Q120" s="1821"/>
    </row>
    <row r="121" spans="1:17" s="1771" customFormat="1" ht="15" thickTop="1">
      <c r="A121" s="1899"/>
      <c r="B121" s="1858" t="s">
        <v>2380</v>
      </c>
      <c r="C121" s="468"/>
      <c r="D121" s="468"/>
      <c r="E121" s="468"/>
      <c r="F121" s="1578"/>
      <c r="G121" s="443"/>
      <c r="H121" s="443"/>
      <c r="I121" s="443"/>
      <c r="J121" s="443"/>
      <c r="K121" s="443"/>
      <c r="L121" s="443"/>
      <c r="M121" s="1870"/>
      <c r="N121" s="3016"/>
      <c r="O121" s="3016"/>
      <c r="P121" s="2058"/>
      <c r="Q121" s="1873"/>
    </row>
    <row r="122" spans="1:17" s="1771" customFormat="1" ht="15.75" thickBot="1">
      <c r="A122" s="1869"/>
      <c r="B122" s="1854"/>
      <c r="C122" s="1874"/>
      <c r="D122" s="1874"/>
      <c r="E122" s="1874"/>
      <c r="F122" s="1874"/>
      <c r="G122" s="1874"/>
      <c r="H122" s="1874"/>
      <c r="I122" s="1874"/>
      <c r="J122" s="1874"/>
      <c r="K122" s="1874"/>
      <c r="L122" s="1874"/>
      <c r="M122" s="1874"/>
      <c r="N122" s="3016"/>
      <c r="O122" s="3016"/>
      <c r="P122" s="2058"/>
      <c r="Q122" s="1873"/>
    </row>
    <row r="123" spans="1:17" ht="15" thickTop="1">
      <c r="A123" s="1903"/>
      <c r="B123" s="1858" t="s">
        <v>2331</v>
      </c>
      <c r="C123" s="3158" t="s">
        <v>2895</v>
      </c>
      <c r="D123" s="3158" t="s">
        <v>2897</v>
      </c>
      <c r="E123" s="3158" t="s">
        <v>2898</v>
      </c>
      <c r="F123" s="3159" t="s">
        <v>2899</v>
      </c>
      <c r="G123" s="1578"/>
      <c r="H123" s="1578"/>
      <c r="I123" s="1578"/>
      <c r="J123" s="1578"/>
      <c r="K123" s="473"/>
      <c r="L123" s="473"/>
      <c r="M123" s="1893"/>
      <c r="N123" s="3014"/>
      <c r="O123" s="3014"/>
      <c r="P123" s="2057"/>
      <c r="Q123" s="1821"/>
    </row>
    <row r="124" spans="1:17" ht="15.75" thickBot="1">
      <c r="A124" s="1853"/>
      <c r="B124" s="1861"/>
      <c r="C124" s="1862">
        <v>100</v>
      </c>
      <c r="D124" s="1862">
        <f t="shared" ref="D124:M124" si="30">C124-$K43</f>
        <v>98</v>
      </c>
      <c r="E124" s="1862">
        <f t="shared" si="30"/>
        <v>96</v>
      </c>
      <c r="F124" s="1862">
        <f t="shared" si="30"/>
        <v>94</v>
      </c>
      <c r="G124" s="1862">
        <f t="shared" si="30"/>
        <v>92</v>
      </c>
      <c r="H124" s="1862">
        <f t="shared" si="30"/>
        <v>90</v>
      </c>
      <c r="I124" s="1862">
        <f t="shared" si="30"/>
        <v>88</v>
      </c>
      <c r="J124" s="1862">
        <f t="shared" si="30"/>
        <v>86</v>
      </c>
      <c r="K124" s="1862">
        <f t="shared" si="30"/>
        <v>84</v>
      </c>
      <c r="L124" s="1862">
        <f t="shared" si="30"/>
        <v>82</v>
      </c>
      <c r="M124" s="1863">
        <f t="shared" si="30"/>
        <v>80</v>
      </c>
      <c r="N124" s="3015"/>
      <c r="O124" s="3015"/>
      <c r="P124" s="2057"/>
      <c r="Q124" s="1821"/>
    </row>
    <row r="125" spans="1:17" ht="15" thickTop="1">
      <c r="A125" s="1903"/>
      <c r="B125" s="1858" t="s">
        <v>2332</v>
      </c>
      <c r="C125" s="579" t="s">
        <v>2307</v>
      </c>
      <c r="D125" s="579" t="s">
        <v>2308</v>
      </c>
      <c r="E125" s="579" t="s">
        <v>2309</v>
      </c>
      <c r="F125" s="579" t="s">
        <v>2310</v>
      </c>
      <c r="G125" s="579" t="s">
        <v>2311</v>
      </c>
      <c r="H125" s="1859"/>
      <c r="I125" s="1859"/>
      <c r="J125" s="1859"/>
      <c r="K125" s="428"/>
      <c r="L125" s="428"/>
      <c r="M125" s="1860"/>
      <c r="N125" s="3014"/>
      <c r="O125" s="3014"/>
      <c r="P125" s="2058"/>
      <c r="Q125" s="1821"/>
    </row>
    <row r="126" spans="1:17" ht="15.75" thickBot="1">
      <c r="A126" s="1853"/>
      <c r="B126" s="1861"/>
      <c r="C126" s="1862">
        <v>100</v>
      </c>
      <c r="D126" s="1862">
        <f>C126-$K44</f>
        <v>95</v>
      </c>
      <c r="E126" s="1862">
        <f>D126-$K44</f>
        <v>90</v>
      </c>
      <c r="F126" s="1862">
        <f>E126-$K44</f>
        <v>85</v>
      </c>
      <c r="G126" s="1862">
        <f>F126-$K44</f>
        <v>80</v>
      </c>
      <c r="H126" s="1862"/>
      <c r="I126" s="1862"/>
      <c r="J126" s="1862"/>
      <c r="K126" s="1862"/>
      <c r="L126" s="1862"/>
      <c r="M126" s="1863"/>
      <c r="N126" s="3015"/>
      <c r="O126" s="3015"/>
      <c r="P126" s="2057"/>
      <c r="Q126" s="1821"/>
    </row>
    <row r="127" spans="1:17" s="1771" customFormat="1" ht="15" thickTop="1">
      <c r="A127" s="1899"/>
      <c r="B127" s="1858" t="str">
        <f>B45</f>
        <v>物业类型</v>
      </c>
      <c r="C127" s="3158" t="s">
        <v>4994</v>
      </c>
      <c r="D127" s="3452" t="s">
        <v>5022</v>
      </c>
      <c r="E127" s="468"/>
      <c r="F127" s="468"/>
      <c r="G127" s="468"/>
      <c r="H127" s="443"/>
      <c r="I127" s="443"/>
      <c r="J127" s="443"/>
      <c r="K127" s="443"/>
      <c r="L127" s="443"/>
      <c r="M127" s="1870"/>
      <c r="N127" s="3016"/>
      <c r="O127" s="3016"/>
      <c r="P127" s="2058"/>
      <c r="Q127" s="1873"/>
    </row>
    <row r="128" spans="1:17" s="1771" customFormat="1" ht="15.75" thickBot="1">
      <c r="A128" s="1869"/>
      <c r="B128" s="1861"/>
      <c r="C128" s="1874">
        <v>100</v>
      </c>
      <c r="D128" s="1855">
        <v>95</v>
      </c>
      <c r="E128" s="1855"/>
      <c r="F128" s="1855"/>
      <c r="G128" s="1874"/>
      <c r="H128" s="1877"/>
      <c r="I128" s="1877"/>
      <c r="J128" s="1877"/>
      <c r="K128" s="1877"/>
      <c r="L128" s="1877"/>
      <c r="M128" s="1878"/>
      <c r="N128" s="3016"/>
      <c r="O128" s="3016"/>
      <c r="P128" s="2058"/>
      <c r="Q128" s="1873"/>
    </row>
    <row r="129" spans="1:17" ht="15" thickTop="1">
      <c r="A129" s="1903"/>
      <c r="B129" s="1858" t="e">
        <f>#REF!</f>
        <v>#REF!</v>
      </c>
      <c r="C129" s="3158" t="s">
        <v>4997</v>
      </c>
      <c r="D129" s="3158" t="s">
        <v>4998</v>
      </c>
      <c r="E129" s="468"/>
      <c r="F129" s="468"/>
      <c r="G129" s="1578"/>
      <c r="H129" s="1578"/>
      <c r="I129" s="1578"/>
      <c r="J129" s="1578"/>
      <c r="K129" s="473"/>
      <c r="L129" s="473"/>
      <c r="M129" s="1893"/>
      <c r="N129" s="3014"/>
      <c r="O129" s="3014"/>
      <c r="P129" s="2057"/>
      <c r="Q129" s="1821"/>
    </row>
    <row r="130" spans="1:17" ht="15.75" thickBot="1">
      <c r="A130" s="1853"/>
      <c r="B130" s="1861"/>
      <c r="C130" s="1874">
        <v>100</v>
      </c>
      <c r="D130" s="1874">
        <v>98</v>
      </c>
      <c r="E130" s="1874"/>
      <c r="F130" s="1874"/>
      <c r="G130" s="1855"/>
      <c r="H130" s="1855"/>
      <c r="I130" s="1855"/>
      <c r="J130" s="1855"/>
      <c r="K130" s="1855"/>
      <c r="L130" s="1855"/>
      <c r="M130" s="1856"/>
      <c r="N130" s="3015"/>
      <c r="O130" s="3015"/>
      <c r="P130" s="2057"/>
      <c r="Q130" s="1821"/>
    </row>
    <row r="131" spans="1:17" ht="15" thickTop="1">
      <c r="A131" s="1903"/>
      <c r="B131" s="1864" t="e">
        <f>#REF!</f>
        <v>#REF!</v>
      </c>
      <c r="C131" s="409"/>
      <c r="D131" s="409"/>
      <c r="E131" s="409"/>
      <c r="F131" s="409"/>
      <c r="G131" s="1894"/>
      <c r="H131" s="1894"/>
      <c r="I131" s="1894"/>
      <c r="J131" s="1894"/>
      <c r="K131" s="409"/>
      <c r="L131" s="409"/>
      <c r="M131" s="1895"/>
      <c r="N131" s="3014"/>
      <c r="O131" s="3014"/>
      <c r="P131" s="2057"/>
      <c r="Q131" s="1821"/>
    </row>
    <row r="132" spans="1:17" ht="15.75" thickBot="1">
      <c r="A132" s="2508"/>
      <c r="B132" s="1881"/>
      <c r="C132" s="1882"/>
      <c r="D132" s="1882"/>
      <c r="E132" s="1882"/>
      <c r="F132" s="1882"/>
      <c r="G132" s="1897"/>
      <c r="H132" s="1897"/>
      <c r="I132" s="1897"/>
      <c r="J132" s="1897"/>
      <c r="K132" s="1897"/>
      <c r="L132" s="1897"/>
      <c r="M132" s="1898"/>
      <c r="N132" s="3015"/>
      <c r="O132" s="3015"/>
      <c r="P132" s="2057"/>
      <c r="Q132" s="1821"/>
    </row>
  </sheetData>
  <sheetProtection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7" type="noConversion"/>
  <conditionalFormatting sqref="F53 H53">
    <cfRule type="containsText" dxfId="27" priority="20" stopIfTrue="1" operator="containsText" text="超过">
      <formula>NOT(ISERROR(SEARCH("超过",F53)))</formula>
    </cfRule>
  </conditionalFormatting>
  <conditionalFormatting sqref="H55">
    <cfRule type="containsText" dxfId="26" priority="19" stopIfTrue="1" operator="containsText" text="超过">
      <formula>NOT(ISERROR(SEARCH("超过",H55)))</formula>
    </cfRule>
  </conditionalFormatting>
  <conditionalFormatting sqref="F55">
    <cfRule type="containsText" dxfId="25" priority="18" stopIfTrue="1" operator="containsText" text="超过">
      <formula>NOT(ISERROR(SEARCH("超过",F55)))</formula>
    </cfRule>
  </conditionalFormatting>
  <conditionalFormatting sqref="F54 H54">
    <cfRule type="containsText" dxfId="24" priority="17" stopIfTrue="1" operator="containsText" text="超过">
      <formula>NOT(ISERROR(SEARCH("超过",F54)))</formula>
    </cfRule>
  </conditionalFormatting>
  <conditionalFormatting sqref="E53">
    <cfRule type="expression" dxfId="23" priority="16" stopIfTrue="1">
      <formula>$F$53="超过30%"</formula>
    </cfRule>
  </conditionalFormatting>
  <conditionalFormatting sqref="E54">
    <cfRule type="expression" dxfId="22" priority="15" stopIfTrue="1">
      <formula>$F$54="超过20%"</formula>
    </cfRule>
  </conditionalFormatting>
  <conditionalFormatting sqref="E55">
    <cfRule type="expression" dxfId="21" priority="14" stopIfTrue="1">
      <formula>$F$55="超过30%"</formula>
    </cfRule>
  </conditionalFormatting>
  <conditionalFormatting sqref="G55">
    <cfRule type="expression" dxfId="20" priority="13" stopIfTrue="1">
      <formula>$H$55="超过30%"</formula>
    </cfRule>
  </conditionalFormatting>
  <conditionalFormatting sqref="G53">
    <cfRule type="expression" dxfId="19" priority="12" stopIfTrue="1">
      <formula>$H$53="超过30%"</formula>
    </cfRule>
  </conditionalFormatting>
  <conditionalFormatting sqref="G54">
    <cfRule type="expression" dxfId="18" priority="11" stopIfTrue="1">
      <formula>$H$54="超过20%"</formula>
    </cfRule>
  </conditionalFormatting>
  <conditionalFormatting sqref="J53">
    <cfRule type="containsText" dxfId="17" priority="10" stopIfTrue="1" operator="containsText" text="超过">
      <formula>NOT(ISERROR(SEARCH("超过",J53)))</formula>
    </cfRule>
  </conditionalFormatting>
  <conditionalFormatting sqref="J55">
    <cfRule type="containsText" dxfId="16" priority="9" stopIfTrue="1" operator="containsText" text="超过">
      <formula>NOT(ISERROR(SEARCH("超过",J55)))</formula>
    </cfRule>
  </conditionalFormatting>
  <conditionalFormatting sqref="J54">
    <cfRule type="containsText" dxfId="15" priority="8" stopIfTrue="1" operator="containsText" text="超过">
      <formula>NOT(ISERROR(SEARCH("超过",J54)))</formula>
    </cfRule>
  </conditionalFormatting>
  <conditionalFormatting sqref="I53">
    <cfRule type="expression" dxfId="14" priority="7" stopIfTrue="1">
      <formula>$J$53="超过30%"</formula>
    </cfRule>
  </conditionalFormatting>
  <conditionalFormatting sqref="I54">
    <cfRule type="expression" dxfId="13" priority="6" stopIfTrue="1">
      <formula>$J$53+$J$54="超过20%"</formula>
    </cfRule>
  </conditionalFormatting>
  <conditionalFormatting sqref="I55">
    <cfRule type="expression" dxfId="12" priority="5" stopIfTrue="1">
      <formula>$J$55="超过30%"</formula>
    </cfRule>
  </conditionalFormatting>
  <conditionalFormatting sqref="F49">
    <cfRule type="expression" dxfId="11" priority="4">
      <formula>$D$49="简单平均"</formula>
    </cfRule>
  </conditionalFormatting>
  <conditionalFormatting sqref="H49">
    <cfRule type="expression" dxfId="10" priority="3">
      <formula>$D$49="简单平均"</formula>
    </cfRule>
  </conditionalFormatting>
  <conditionalFormatting sqref="J49">
    <cfRule type="expression" dxfId="9" priority="2">
      <formula>$D$49="简单平均"</formula>
    </cfRule>
  </conditionalFormatting>
  <conditionalFormatting sqref="F7:F47 H7:H47 J7:J47">
    <cfRule type="cellIs" dxfId="8" priority="1" operator="notEqual">
      <formula>100</formula>
    </cfRule>
  </conditionalFormatting>
  <dataValidations count="25">
    <dataValidation type="list" allowBlank="1" showInputMessage="1" showErrorMessage="1" sqref="C35 E35 G35 I35" xr:uid="{00000000-0002-0000-2200-000000000000}">
      <formula1>办公建筑结构</formula1>
    </dataValidation>
    <dataValidation type="list" allowBlank="1" showInputMessage="1" showErrorMessage="1" sqref="E24 G24 I24 C24" xr:uid="{00000000-0002-0000-2200-000001000000}">
      <formula1>环境</formula1>
    </dataValidation>
    <dataValidation type="list" allowBlank="1" showInputMessage="1" showErrorMessage="1" sqref="E18 G18 I18 C18" xr:uid="{00000000-0002-0000-2200-000002000000}">
      <formula1>交通便捷度</formula1>
    </dataValidation>
    <dataValidation type="list" allowBlank="1" showInputMessage="1" showErrorMessage="1" sqref="E20 G20 C20 I20" xr:uid="{00000000-0002-0000-2200-000003000000}">
      <formula1>公共配套设施</formula1>
    </dataValidation>
    <dataValidation type="list" allowBlank="1" showInputMessage="1" showErrorMessage="1" sqref="C44 E44 G44 I44" xr:uid="{00000000-0002-0000-2200-000004000000}">
      <formula1>内部装修维护情况</formula1>
    </dataValidation>
    <dataValidation type="list" allowBlank="1" showInputMessage="1" showErrorMessage="1" sqref="C10 E10 G10 I10" xr:uid="{00000000-0002-0000-2200-000005000000}">
      <formula1>土地年限区间</formula1>
    </dataValidation>
    <dataValidation type="list" allowBlank="1" showInputMessage="1" showErrorMessage="1" sqref="E9 G9 I9" xr:uid="{00000000-0002-0000-2200-000006000000}">
      <formula1>办公用途</formula1>
    </dataValidation>
    <dataValidation type="list" allowBlank="1" showInputMessage="1" showErrorMessage="1" sqref="C16 E16 G16 I16" xr:uid="{00000000-0002-0000-2200-000007000000}">
      <formula1>办公集聚程度</formula1>
    </dataValidation>
    <dataValidation type="list" allowBlank="1" showInputMessage="1" showErrorMessage="1" sqref="G26 C26 E26 I26" xr:uid="{00000000-0002-0000-2200-000008000000}">
      <formula1>办公道路级别</formula1>
    </dataValidation>
    <dataValidation type="list" allowBlank="1" showInputMessage="1" showErrorMessage="1" sqref="C28 E28 G28 I28" xr:uid="{00000000-0002-0000-2200-000009000000}">
      <formula1>办公朝向</formula1>
    </dataValidation>
    <dataValidation type="list" allowBlank="1" showInputMessage="1" showErrorMessage="1" sqref="C27 E27 G27 I27" xr:uid="{00000000-0002-0000-2200-00000A000000}">
      <formula1>办公楼层</formula1>
    </dataValidation>
    <dataValidation type="list" allowBlank="1" showInputMessage="1" showErrorMessage="1" sqref="C33 E33 G33 I33" xr:uid="{00000000-0002-0000-2200-00000B000000}">
      <formula1>办公建筑类型</formula1>
    </dataValidation>
    <dataValidation type="list" allowBlank="1" showInputMessage="1" showErrorMessage="1" sqref="C36 E36 G36 I36" xr:uid="{00000000-0002-0000-2200-00000C000000}">
      <formula1>办公公共部分装修</formula1>
    </dataValidation>
    <dataValidation type="list" allowBlank="1" showInputMessage="1" showErrorMessage="1" sqref="G38 E38 C38 I38" xr:uid="{00000000-0002-0000-2200-00000D000000}">
      <formula1>写字楼等级</formula1>
    </dataValidation>
    <dataValidation type="list" allowBlank="1" showInputMessage="1" showErrorMessage="1" sqref="C39 E39 G39 I39" xr:uid="{00000000-0002-0000-2200-00000E000000}">
      <formula1>办公物业管理</formula1>
    </dataValidation>
    <dataValidation type="list" allowBlank="1" showInputMessage="1" showErrorMessage="1" sqref="C40 E40 G40 I40" xr:uid="{00000000-0002-0000-2200-00000F000000}">
      <formula1>办公基础设施水平</formula1>
    </dataValidation>
    <dataValidation type="list" allowBlank="1" showInputMessage="1" showErrorMessage="1" sqref="C41 E41 G41 I41" xr:uid="{00000000-0002-0000-2200-000010000000}">
      <formula1>办公层高</formula1>
    </dataValidation>
    <dataValidation type="list" allowBlank="1" showInputMessage="1" showErrorMessage="1" sqref="C43 E43 G43 I43" xr:uid="{00000000-0002-0000-2200-000011000000}">
      <formula1>办公内部装修</formula1>
    </dataValidation>
    <dataValidation type="list" allowBlank="1" showInputMessage="1" showErrorMessage="1" sqref="C8 E8 G8 I8" xr:uid="{00000000-0002-0000-2200-000012000000}">
      <formula1>办公交易情况</formula1>
    </dataValidation>
    <dataValidation type="list" allowBlank="1" showInputMessage="1" showErrorMessage="1" sqref="C1" xr:uid="{00000000-0002-0000-2200-000013000000}">
      <formula1>"估价对象,仅计算典型户型"</formula1>
    </dataValidation>
    <dataValidation type="list" allowBlank="1" showInputMessage="1" showErrorMessage="1" sqref="C22 E22 G22 I22" xr:uid="{00000000-0002-0000-2200-000014000000}">
      <formula1>基础设施水平</formula1>
    </dataValidation>
    <dataValidation type="list" allowBlank="1" showInputMessage="1" showErrorMessage="1" sqref="E1" xr:uid="{00000000-0002-0000-2200-000015000000}">
      <formula1>"售价,租金"</formula1>
    </dataValidation>
    <dataValidation type="list" allowBlank="1" showInputMessage="1" showErrorMessage="1" sqref="D2" xr:uid="{00000000-0002-0000-2200-000016000000}">
      <formula1>"需扣减承租人权益,——"</formula1>
    </dataValidation>
    <dataValidation type="list" allowBlank="1" showInputMessage="1" showErrorMessage="1" sqref="G2" xr:uid="{00000000-0002-0000-2200-000017000000}">
      <formula1>估价方法</formula1>
    </dataValidation>
    <dataValidation type="list" allowBlank="1" showInputMessage="1" showErrorMessage="1" sqref="D49" xr:uid="{00000000-0002-0000-2200-000018000000}">
      <formula1>"简单平均,加权平均"</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D119"/>
  <sheetViews>
    <sheetView workbookViewId="0">
      <selection activeCell="C29" sqref="C29"/>
    </sheetView>
  </sheetViews>
  <sheetFormatPr defaultColWidth="8.875" defaultRowHeight="14.25"/>
  <cols>
    <col min="1" max="1" width="9.625" bestFit="1" customWidth="1"/>
    <col min="3" max="3" width="31.625" customWidth="1"/>
    <col min="4" max="4" width="13.625" customWidth="1"/>
    <col min="5" max="5" width="13.375" customWidth="1"/>
  </cols>
  <sheetData>
    <row r="1" spans="1:16" ht="12" customHeight="1" thickBot="1">
      <c r="A1" s="3956" t="s">
        <v>4741</v>
      </c>
      <c r="B1" s="3956"/>
      <c r="C1" s="3956"/>
      <c r="D1" s="3956"/>
      <c r="E1" s="3956"/>
      <c r="F1" s="3956"/>
      <c r="G1" s="3956"/>
    </row>
    <row r="2" spans="1:16" s="3905" customFormat="1" ht="24" customHeight="1">
      <c r="A2" s="4148" t="s">
        <v>2745</v>
      </c>
      <c r="B2" s="4148" t="s">
        <v>4742</v>
      </c>
      <c r="C2" s="4148" t="s">
        <v>4249</v>
      </c>
      <c r="D2" s="4148" t="s">
        <v>4743</v>
      </c>
      <c r="E2" s="4148" t="s">
        <v>4744</v>
      </c>
      <c r="F2" s="4148" t="s">
        <v>4745</v>
      </c>
      <c r="G2" s="4148" t="s">
        <v>4746</v>
      </c>
    </row>
    <row r="3" spans="1:16" ht="12" customHeight="1">
      <c r="A3" s="3957">
        <v>1</v>
      </c>
      <c r="B3" s="3957">
        <v>102</v>
      </c>
      <c r="C3" s="3957" t="s">
        <v>4747</v>
      </c>
      <c r="D3" s="3958">
        <v>1189.1099999999999</v>
      </c>
      <c r="E3" s="3959">
        <v>5</v>
      </c>
      <c r="F3" s="3960" t="s">
        <v>4748</v>
      </c>
      <c r="G3" s="3959" t="s">
        <v>4749</v>
      </c>
    </row>
    <row r="4" spans="1:16" ht="12" customHeight="1">
      <c r="A4" s="3961">
        <v>2</v>
      </c>
      <c r="B4" s="3961">
        <v>103</v>
      </c>
      <c r="C4" s="3961" t="s">
        <v>4750</v>
      </c>
      <c r="D4" s="3962">
        <v>188.24</v>
      </c>
      <c r="E4" s="3963">
        <v>8.5</v>
      </c>
      <c r="F4" s="3964" t="s">
        <v>4751</v>
      </c>
      <c r="G4" s="3965" t="s">
        <v>4752</v>
      </c>
      <c r="K4">
        <v>2017</v>
      </c>
      <c r="L4">
        <v>2018</v>
      </c>
      <c r="M4">
        <v>2019</v>
      </c>
      <c r="N4">
        <v>2020</v>
      </c>
      <c r="O4">
        <v>2021</v>
      </c>
      <c r="P4">
        <v>2022</v>
      </c>
    </row>
    <row r="5" spans="1:16" ht="12" customHeight="1">
      <c r="A5" s="3966">
        <v>3</v>
      </c>
      <c r="B5" s="3961">
        <v>106</v>
      </c>
      <c r="C5" s="3961" t="s">
        <v>4753</v>
      </c>
      <c r="D5" s="3962">
        <v>188.24</v>
      </c>
      <c r="E5" s="3963">
        <v>8.5</v>
      </c>
      <c r="F5" s="3964" t="s">
        <v>4754</v>
      </c>
      <c r="G5" s="3965" t="s">
        <v>4755</v>
      </c>
      <c r="J5" s="1341" t="s">
        <v>4928</v>
      </c>
      <c r="K5">
        <v>6.0720000000000001</v>
      </c>
      <c r="L5">
        <v>7.78</v>
      </c>
      <c r="M5">
        <v>7.78</v>
      </c>
      <c r="N5">
        <v>7.76</v>
      </c>
      <c r="O5">
        <v>9.34</v>
      </c>
      <c r="P5">
        <v>10.36</v>
      </c>
    </row>
    <row r="6" spans="1:16" ht="12" customHeight="1">
      <c r="A6" s="3961">
        <v>4</v>
      </c>
      <c r="B6" s="3961">
        <v>108</v>
      </c>
      <c r="C6" s="3961" t="s">
        <v>4756</v>
      </c>
      <c r="D6" s="3962">
        <v>188.24</v>
      </c>
      <c r="E6" s="3963">
        <v>8.5</v>
      </c>
      <c r="F6" s="3964" t="s">
        <v>4754</v>
      </c>
      <c r="G6" s="3965" t="s">
        <v>4755</v>
      </c>
      <c r="J6" s="1341" t="s">
        <v>3438</v>
      </c>
      <c r="L6">
        <f>ROUND((L5-K5)/K5,2)</f>
        <v>0.28000000000000003</v>
      </c>
      <c r="M6">
        <f t="shared" ref="M6:P6" si="0">ROUND((M5-L5)/L5,2)</f>
        <v>0</v>
      </c>
      <c r="N6">
        <f t="shared" si="0"/>
        <v>0</v>
      </c>
      <c r="O6">
        <f t="shared" si="0"/>
        <v>0.2</v>
      </c>
      <c r="P6">
        <f t="shared" si="0"/>
        <v>0.11</v>
      </c>
    </row>
    <row r="7" spans="1:16" ht="12" customHeight="1">
      <c r="A7" s="3961">
        <v>5</v>
      </c>
      <c r="B7" s="3961" t="s">
        <v>4757</v>
      </c>
      <c r="C7" s="3961" t="s">
        <v>4758</v>
      </c>
      <c r="D7" s="3962">
        <v>278.18</v>
      </c>
      <c r="E7" s="3963">
        <v>8.5</v>
      </c>
      <c r="F7" s="3966" t="s">
        <v>4759</v>
      </c>
      <c r="G7" s="3966" t="s">
        <v>4760</v>
      </c>
      <c r="J7" s="1341" t="s">
        <v>4716</v>
      </c>
      <c r="K7">
        <v>6.0430000000000001</v>
      </c>
      <c r="L7">
        <v>6.4</v>
      </c>
      <c r="M7">
        <v>6.52</v>
      </c>
      <c r="N7">
        <v>6.5</v>
      </c>
      <c r="O7">
        <v>7.6</v>
      </c>
      <c r="P7">
        <v>7.6</v>
      </c>
    </row>
    <row r="8" spans="1:16" ht="12" customHeight="1">
      <c r="A8" s="3961">
        <v>7</v>
      </c>
      <c r="B8" s="3967">
        <v>107</v>
      </c>
      <c r="C8" s="3967" t="s">
        <v>4761</v>
      </c>
      <c r="D8" s="3963">
        <v>36.29</v>
      </c>
      <c r="E8" s="3963">
        <v>2.5</v>
      </c>
      <c r="F8" s="3963" t="s">
        <v>4762</v>
      </c>
      <c r="G8" s="3963" t="s">
        <v>4763</v>
      </c>
      <c r="J8" s="1341" t="s">
        <v>3438</v>
      </c>
      <c r="L8">
        <f>ROUND((L7-K7)/K7,2)</f>
        <v>0.06</v>
      </c>
      <c r="M8">
        <f t="shared" ref="M8:P8" si="1">ROUND((M7-L7)/L7,2)</f>
        <v>0.02</v>
      </c>
      <c r="N8">
        <f t="shared" si="1"/>
        <v>0</v>
      </c>
      <c r="O8">
        <f t="shared" si="1"/>
        <v>0.17</v>
      </c>
      <c r="P8">
        <f t="shared" si="1"/>
        <v>0</v>
      </c>
    </row>
    <row r="9" spans="1:16" ht="12" customHeight="1">
      <c r="A9" s="4758">
        <v>8</v>
      </c>
      <c r="B9" s="4758">
        <v>111</v>
      </c>
      <c r="C9" s="4761" t="s">
        <v>4764</v>
      </c>
      <c r="D9" s="4764">
        <v>425.96</v>
      </c>
      <c r="E9" s="3963">
        <v>4.8</v>
      </c>
      <c r="F9" s="3963" t="s">
        <v>4765</v>
      </c>
      <c r="G9" s="3963" t="s">
        <v>4766</v>
      </c>
    </row>
    <row r="10" spans="1:16" ht="12" customHeight="1">
      <c r="A10" s="4759"/>
      <c r="B10" s="4759"/>
      <c r="C10" s="4762"/>
      <c r="D10" s="4765"/>
      <c r="E10" s="3963">
        <v>5</v>
      </c>
      <c r="F10" s="3963" t="s">
        <v>4767</v>
      </c>
      <c r="G10" s="3963" t="s">
        <v>4768</v>
      </c>
    </row>
    <row r="11" spans="1:16" ht="12" customHeight="1">
      <c r="A11" s="4759"/>
      <c r="B11" s="4759"/>
      <c r="C11" s="4762"/>
      <c r="D11" s="4765"/>
      <c r="E11" s="3963">
        <v>5.2</v>
      </c>
      <c r="F11" s="3963" t="s">
        <v>4769</v>
      </c>
      <c r="G11" s="3963" t="s">
        <v>4770</v>
      </c>
    </row>
    <row r="12" spans="1:16" ht="12" customHeight="1">
      <c r="A12" s="4760"/>
      <c r="B12" s="4760"/>
      <c r="C12" s="4763"/>
      <c r="D12" s="4766"/>
      <c r="E12" s="3963">
        <v>5.3</v>
      </c>
      <c r="F12" s="3963" t="s">
        <v>4771</v>
      </c>
      <c r="G12" s="3963" t="s">
        <v>4772</v>
      </c>
    </row>
    <row r="13" spans="1:16" ht="12" customHeight="1">
      <c r="A13" s="3968">
        <v>9</v>
      </c>
      <c r="B13" s="3968">
        <v>115</v>
      </c>
      <c r="C13" s="3969" t="s">
        <v>4773</v>
      </c>
      <c r="D13" s="3959">
        <v>17.8</v>
      </c>
      <c r="E13" s="3959">
        <v>5</v>
      </c>
      <c r="F13" s="3959" t="s">
        <v>4774</v>
      </c>
      <c r="G13" s="3959" t="s">
        <v>4775</v>
      </c>
    </row>
    <row r="14" spans="1:16" ht="12" customHeight="1">
      <c r="A14" s="3970">
        <v>10</v>
      </c>
      <c r="B14" s="3970">
        <v>202</v>
      </c>
      <c r="C14" s="3970" t="s">
        <v>4776</v>
      </c>
      <c r="D14" s="3970">
        <v>917.41</v>
      </c>
      <c r="E14" s="3971">
        <v>5</v>
      </c>
      <c r="F14" s="3971" t="s">
        <v>4777</v>
      </c>
      <c r="G14" s="3971" t="s">
        <v>4778</v>
      </c>
    </row>
    <row r="15" spans="1:16" ht="12" customHeight="1">
      <c r="A15" s="4755">
        <v>11</v>
      </c>
      <c r="B15" s="4755">
        <v>203</v>
      </c>
      <c r="C15" s="4755" t="s">
        <v>4779</v>
      </c>
      <c r="D15" s="4755">
        <v>384.1</v>
      </c>
      <c r="E15" s="4129">
        <v>6</v>
      </c>
      <c r="F15" s="4129" t="s">
        <v>4780</v>
      </c>
      <c r="G15" s="3973" t="s">
        <v>4781</v>
      </c>
    </row>
    <row r="16" spans="1:16" ht="12" customHeight="1">
      <c r="A16" s="4756"/>
      <c r="B16" s="4756"/>
      <c r="C16" s="4756"/>
      <c r="D16" s="4756"/>
      <c r="E16" s="3973">
        <v>6.25</v>
      </c>
      <c r="F16" s="3973" t="s">
        <v>4782</v>
      </c>
      <c r="G16" s="3973" t="s">
        <v>4783</v>
      </c>
    </row>
    <row r="17" spans="1:30" ht="12" customHeight="1">
      <c r="A17" s="4757"/>
      <c r="B17" s="4757"/>
      <c r="C17" s="4757"/>
      <c r="D17" s="4757"/>
      <c r="E17" s="3973">
        <v>6.5</v>
      </c>
      <c r="F17" s="3973" t="s">
        <v>4784</v>
      </c>
      <c r="G17" s="3973" t="s">
        <v>4785</v>
      </c>
    </row>
    <row r="18" spans="1:30" ht="12" customHeight="1">
      <c r="A18" s="3973">
        <v>12</v>
      </c>
      <c r="B18" s="3970">
        <v>206</v>
      </c>
      <c r="C18" s="3970" t="s">
        <v>4786</v>
      </c>
      <c r="D18" s="3973">
        <v>260.01</v>
      </c>
      <c r="E18" s="3972">
        <v>5.8</v>
      </c>
      <c r="F18" s="3972" t="s">
        <v>4787</v>
      </c>
      <c r="G18" s="3973" t="s">
        <v>4788</v>
      </c>
    </row>
    <row r="19" spans="1:30" ht="12" customHeight="1">
      <c r="A19" s="4755">
        <v>13</v>
      </c>
      <c r="B19" s="4755">
        <v>207</v>
      </c>
      <c r="C19" s="4755" t="s">
        <v>4779</v>
      </c>
      <c r="D19" s="4755">
        <v>192.05</v>
      </c>
      <c r="E19" s="4129">
        <v>6</v>
      </c>
      <c r="F19" s="4129" t="s">
        <v>4780</v>
      </c>
      <c r="G19" s="3973" t="s">
        <v>4781</v>
      </c>
    </row>
    <row r="20" spans="1:30" ht="12" customHeight="1">
      <c r="A20" s="4756"/>
      <c r="B20" s="4756"/>
      <c r="C20" s="4756"/>
      <c r="D20" s="4756"/>
      <c r="E20" s="3973">
        <v>6.25</v>
      </c>
      <c r="F20" s="3973" t="s">
        <v>4782</v>
      </c>
      <c r="G20" s="3973" t="s">
        <v>4783</v>
      </c>
    </row>
    <row r="21" spans="1:30" ht="12" customHeight="1">
      <c r="A21" s="4757"/>
      <c r="B21" s="4757"/>
      <c r="C21" s="4757"/>
      <c r="D21" s="4757"/>
      <c r="E21" s="3973">
        <v>6.5</v>
      </c>
      <c r="F21" s="3973" t="s">
        <v>4784</v>
      </c>
      <c r="G21" s="3973" t="s">
        <v>4785</v>
      </c>
    </row>
    <row r="22" spans="1:30" ht="12" customHeight="1">
      <c r="A22" s="3970">
        <v>14</v>
      </c>
      <c r="B22" s="3974">
        <v>208</v>
      </c>
      <c r="C22" s="3970" t="s">
        <v>4789</v>
      </c>
      <c r="D22" s="3970">
        <v>101</v>
      </c>
      <c r="E22" s="3975">
        <v>5.4</v>
      </c>
      <c r="F22" s="3975" t="s">
        <v>4790</v>
      </c>
      <c r="G22" s="3970" t="s">
        <v>4791</v>
      </c>
    </row>
    <row r="23" spans="1:30" ht="12" customHeight="1">
      <c r="A23" s="4755">
        <v>15</v>
      </c>
      <c r="B23" s="4755">
        <v>209</v>
      </c>
      <c r="C23" s="4755" t="s">
        <v>4792</v>
      </c>
      <c r="D23" s="4755">
        <v>192.05</v>
      </c>
      <c r="E23" s="4130">
        <v>6.2</v>
      </c>
      <c r="F23" s="4130" t="s">
        <v>4793</v>
      </c>
      <c r="G23" s="3970" t="s">
        <v>4794</v>
      </c>
    </row>
    <row r="24" spans="1:30" ht="12" customHeight="1">
      <c r="A24" s="4756"/>
      <c r="B24" s="4756"/>
      <c r="C24" s="4756"/>
      <c r="D24" s="4756"/>
      <c r="E24" s="3970">
        <v>6.45</v>
      </c>
      <c r="F24" s="3970" t="s">
        <v>4795</v>
      </c>
      <c r="G24" s="3970" t="s">
        <v>4796</v>
      </c>
    </row>
    <row r="25" spans="1:30" ht="12" customHeight="1">
      <c r="A25" s="4757"/>
      <c r="B25" s="4757"/>
      <c r="C25" s="4757"/>
      <c r="D25" s="4757"/>
      <c r="E25" s="3970">
        <v>6.71</v>
      </c>
      <c r="F25" s="3970" t="s">
        <v>4797</v>
      </c>
      <c r="G25" s="3970" t="s">
        <v>4798</v>
      </c>
    </row>
    <row r="26" spans="1:30" ht="12" customHeight="1">
      <c r="A26" s="3970">
        <v>16</v>
      </c>
      <c r="B26" s="3973">
        <v>218</v>
      </c>
      <c r="C26" s="3970" t="s">
        <v>4799</v>
      </c>
      <c r="D26" s="3973">
        <v>75</v>
      </c>
      <c r="E26" s="3975">
        <v>5.5</v>
      </c>
      <c r="F26" s="3975" t="s">
        <v>4800</v>
      </c>
      <c r="G26" s="3970" t="s">
        <v>4801</v>
      </c>
    </row>
    <row r="27" spans="1:30">
      <c r="A27" s="4053"/>
      <c r="B27" s="4053"/>
      <c r="C27" s="4053"/>
      <c r="D27" s="4053"/>
      <c r="E27" s="4054"/>
      <c r="F27" s="4054"/>
      <c r="G27" s="4053"/>
    </row>
    <row r="28" spans="1:30" ht="14.25" customHeight="1">
      <c r="A28" s="4055">
        <v>2018</v>
      </c>
      <c r="B28" s="4053"/>
      <c r="C28" s="4053"/>
      <c r="D28" s="4053"/>
      <c r="E28" s="4054"/>
      <c r="F28" s="4054"/>
      <c r="G28" s="4053"/>
    </row>
    <row r="30" spans="1:30">
      <c r="A30" s="4750" t="s">
        <v>4802</v>
      </c>
      <c r="B30" s="4750"/>
      <c r="C30" s="4750"/>
      <c r="D30" s="4750"/>
      <c r="E30" s="4750"/>
      <c r="F30" s="4750"/>
      <c r="G30" s="4750"/>
      <c r="H30" s="4752" t="s">
        <v>3104</v>
      </c>
      <c r="I30" s="4753"/>
      <c r="J30" s="4754"/>
      <c r="K30" s="3976" t="s">
        <v>4803</v>
      </c>
      <c r="L30" s="4752" t="s">
        <v>4804</v>
      </c>
      <c r="M30" s="4753"/>
      <c r="N30" s="4754"/>
      <c r="O30" s="4752" t="s">
        <v>4805</v>
      </c>
      <c r="P30" s="4753"/>
      <c r="Q30" s="4753"/>
      <c r="R30" s="4753"/>
      <c r="S30" s="4753"/>
      <c r="T30" s="4753"/>
      <c r="U30" s="4753"/>
      <c r="V30" s="4753"/>
      <c r="W30" s="4753"/>
      <c r="X30" s="4753"/>
      <c r="Y30" s="4753"/>
      <c r="Z30" s="4753"/>
      <c r="AA30" s="4753"/>
      <c r="AB30" s="4753"/>
      <c r="AC30" s="3977"/>
      <c r="AD30" s="3977"/>
    </row>
    <row r="31" spans="1:30" ht="26.25" thickBot="1">
      <c r="A31" s="3978" t="s">
        <v>2745</v>
      </c>
      <c r="B31" s="3979" t="s">
        <v>4567</v>
      </c>
      <c r="C31" s="3980" t="s">
        <v>4806</v>
      </c>
      <c r="D31" s="3979" t="s">
        <v>4569</v>
      </c>
      <c r="E31" s="3979" t="s">
        <v>4807</v>
      </c>
      <c r="F31" s="3979" t="s">
        <v>4808</v>
      </c>
      <c r="G31" s="3981" t="s">
        <v>4809</v>
      </c>
      <c r="H31" s="3982" t="s">
        <v>4810</v>
      </c>
      <c r="I31" s="3983" t="s">
        <v>4503</v>
      </c>
      <c r="J31" s="3984" t="s">
        <v>4811</v>
      </c>
      <c r="K31" s="3985" t="s">
        <v>4812</v>
      </c>
      <c r="L31" s="3986" t="s">
        <v>4813</v>
      </c>
      <c r="M31" s="3987" t="s">
        <v>4814</v>
      </c>
      <c r="N31" s="3979" t="s">
        <v>4815</v>
      </c>
      <c r="O31" s="3978" t="s">
        <v>4816</v>
      </c>
      <c r="P31" s="3988" t="s">
        <v>4817</v>
      </c>
      <c r="Q31" s="3989" t="s">
        <v>4818</v>
      </c>
      <c r="R31" s="3990" t="s">
        <v>4819</v>
      </c>
      <c r="S31" s="3978" t="s">
        <v>4820</v>
      </c>
      <c r="T31" s="3991" t="s">
        <v>4817</v>
      </c>
      <c r="U31" s="3989" t="s">
        <v>4818</v>
      </c>
      <c r="V31" s="3990" t="s">
        <v>4819</v>
      </c>
      <c r="W31" s="3978" t="s">
        <v>4821</v>
      </c>
      <c r="X31" s="3991" t="s">
        <v>4817</v>
      </c>
      <c r="Y31" s="3992" t="s">
        <v>4818</v>
      </c>
      <c r="Z31" s="3993" t="s">
        <v>4819</v>
      </c>
      <c r="AA31" s="3978" t="s">
        <v>4822</v>
      </c>
      <c r="AB31" s="3991" t="s">
        <v>4817</v>
      </c>
      <c r="AC31" s="3992" t="s">
        <v>4818</v>
      </c>
      <c r="AD31" s="3993" t="s">
        <v>4819</v>
      </c>
    </row>
    <row r="32" spans="1:30" ht="17.25" thickTop="1">
      <c r="A32" s="3994">
        <v>1</v>
      </c>
      <c r="B32" s="3995">
        <v>1</v>
      </c>
      <c r="C32" s="3996" t="s">
        <v>4823</v>
      </c>
      <c r="D32" s="3997" t="s">
        <v>4824</v>
      </c>
      <c r="E32" s="3998" t="s">
        <v>4825</v>
      </c>
      <c r="F32" s="3999" t="s">
        <v>2930</v>
      </c>
      <c r="G32" s="4000">
        <v>205.88</v>
      </c>
      <c r="H32" s="4001">
        <v>43252</v>
      </c>
      <c r="I32" s="4002">
        <v>45077</v>
      </c>
      <c r="J32" s="4003">
        <f t="shared" ref="J32:J50" si="2">+I32-H32+1</f>
        <v>1826</v>
      </c>
      <c r="K32" s="4004">
        <f t="shared" ref="K32:K50" si="3">IF($D$3&lt;H32,0,IF($D$3&lt;O32,L32,IF($D$3&lt;S32,Q32,IF($D$3&lt;W32,U32,IF($D$3&lt;AA32,Y32,AC32)))))</f>
        <v>0</v>
      </c>
      <c r="L32" s="4005">
        <v>8.5</v>
      </c>
      <c r="M32" s="4006">
        <f t="shared" ref="M32:M50" si="4">L32*365/12</f>
        <v>258.54166666666669</v>
      </c>
      <c r="N32" s="4007">
        <v>0</v>
      </c>
      <c r="O32" s="4008">
        <v>43617</v>
      </c>
      <c r="P32" s="4009">
        <v>0.05</v>
      </c>
      <c r="Q32" s="4010">
        <f>IF(O32&lt;&gt;"N/A",ROUND(L32*(1+P32),2),0)</f>
        <v>8.93</v>
      </c>
      <c r="R32" s="4011">
        <f t="shared" ref="R32:R48" si="5">Q32*365/12</f>
        <v>271.62083333333334</v>
      </c>
      <c r="S32" s="4008">
        <v>43983</v>
      </c>
      <c r="T32" s="4009">
        <v>0.05</v>
      </c>
      <c r="U32" s="4010">
        <f t="shared" ref="U32:U50" si="6">IF(S32&lt;&gt;"N/A",ROUND(Q32*(1+T32),2),0)</f>
        <v>9.3800000000000008</v>
      </c>
      <c r="V32" s="4011">
        <f t="shared" ref="V32:V50" si="7">U32*365/12</f>
        <v>285.30833333333334</v>
      </c>
      <c r="W32" s="4008">
        <v>44348</v>
      </c>
      <c r="X32" s="4009">
        <v>0.05</v>
      </c>
      <c r="Y32" s="4010">
        <f t="shared" ref="Y32:Y50" si="8">IF(W32&lt;&gt;"N/A",ROUND(U32*(1+X32),2),0)</f>
        <v>9.85</v>
      </c>
      <c r="Z32" s="4011">
        <f t="shared" ref="Z32:Z50" si="9">Y32*365/12</f>
        <v>299.60416666666669</v>
      </c>
      <c r="AA32" s="4008">
        <v>44713</v>
      </c>
      <c r="AB32" s="4009">
        <v>0.05</v>
      </c>
      <c r="AC32" s="4010">
        <f t="shared" ref="AC32:AC50" si="10">IF(AA32&lt;&gt;"N/A",ROUND(Y32*(1+AB32),2),0)</f>
        <v>10.34</v>
      </c>
      <c r="AD32" s="4011">
        <f t="shared" ref="AD32:AD50" si="11">AC32*365/12</f>
        <v>314.50833333333333</v>
      </c>
    </row>
    <row r="33" spans="1:30" ht="16.5">
      <c r="A33" s="4012">
        <v>2</v>
      </c>
      <c r="B33" s="3995">
        <v>1</v>
      </c>
      <c r="C33" s="3996" t="s">
        <v>4826</v>
      </c>
      <c r="D33" s="3997" t="s">
        <v>4827</v>
      </c>
      <c r="E33" s="3998" t="s">
        <v>4825</v>
      </c>
      <c r="F33" s="3999" t="s">
        <v>2930</v>
      </c>
      <c r="G33" s="4000">
        <v>188.24</v>
      </c>
      <c r="H33" s="4001">
        <v>43078</v>
      </c>
      <c r="I33" s="4002">
        <v>44903</v>
      </c>
      <c r="J33" s="4003">
        <f t="shared" si="2"/>
        <v>1826</v>
      </c>
      <c r="K33" s="4004">
        <f t="shared" si="3"/>
        <v>0</v>
      </c>
      <c r="L33" s="4005">
        <v>8.5</v>
      </c>
      <c r="M33" s="4006">
        <f t="shared" si="4"/>
        <v>258.54166666666669</v>
      </c>
      <c r="N33" s="4007">
        <v>0</v>
      </c>
      <c r="O33" s="4008">
        <v>43443</v>
      </c>
      <c r="P33" s="4009">
        <v>0.05</v>
      </c>
      <c r="Q33" s="4010">
        <f>IF(O33&lt;&gt;"N/A",ROUND(L33*(1+P33),2),0)</f>
        <v>8.93</v>
      </c>
      <c r="R33" s="4011">
        <f t="shared" si="5"/>
        <v>271.62083333333334</v>
      </c>
      <c r="S33" s="4008">
        <v>43808</v>
      </c>
      <c r="T33" s="4009">
        <v>0.05</v>
      </c>
      <c r="U33" s="4010">
        <f t="shared" si="6"/>
        <v>9.3800000000000008</v>
      </c>
      <c r="V33" s="4011">
        <f t="shared" si="7"/>
        <v>285.30833333333334</v>
      </c>
      <c r="W33" s="4008">
        <v>44174</v>
      </c>
      <c r="X33" s="4009">
        <v>0.05</v>
      </c>
      <c r="Y33" s="4010">
        <f t="shared" si="8"/>
        <v>9.85</v>
      </c>
      <c r="Z33" s="4011">
        <f t="shared" si="9"/>
        <v>299.60416666666669</v>
      </c>
      <c r="AA33" s="4008">
        <v>44539</v>
      </c>
      <c r="AB33" s="4009">
        <v>0.05</v>
      </c>
      <c r="AC33" s="4010">
        <f t="shared" si="10"/>
        <v>10.34</v>
      </c>
      <c r="AD33" s="4011">
        <f t="shared" si="11"/>
        <v>314.50833333333333</v>
      </c>
    </row>
    <row r="34" spans="1:30" ht="16.5">
      <c r="A34" s="3994">
        <v>3</v>
      </c>
      <c r="B34" s="3995">
        <v>1</v>
      </c>
      <c r="C34" s="3996" t="s">
        <v>4828</v>
      </c>
      <c r="D34" s="3997" t="s">
        <v>4829</v>
      </c>
      <c r="E34" s="3998" t="s">
        <v>4825</v>
      </c>
      <c r="F34" s="3999" t="s">
        <v>2930</v>
      </c>
      <c r="G34" s="4000">
        <v>188.24</v>
      </c>
      <c r="H34" s="4001">
        <v>43101</v>
      </c>
      <c r="I34" s="4002">
        <v>44926</v>
      </c>
      <c r="J34" s="4003">
        <f t="shared" si="2"/>
        <v>1826</v>
      </c>
      <c r="K34" s="4004">
        <f t="shared" si="3"/>
        <v>0</v>
      </c>
      <c r="L34" s="4005">
        <v>8.5</v>
      </c>
      <c r="M34" s="4006">
        <f t="shared" si="4"/>
        <v>258.54166666666669</v>
      </c>
      <c r="N34" s="4007">
        <v>0</v>
      </c>
      <c r="O34" s="4008">
        <v>43466</v>
      </c>
      <c r="P34" s="4009">
        <v>0.05</v>
      </c>
      <c r="Q34" s="4010">
        <f>IF(O34&lt;&gt;"N/A",ROUND(L34*(1+P34),2),0)</f>
        <v>8.93</v>
      </c>
      <c r="R34" s="4011">
        <f t="shared" si="5"/>
        <v>271.62083333333334</v>
      </c>
      <c r="S34" s="4008">
        <v>43831</v>
      </c>
      <c r="T34" s="4009">
        <v>0.05</v>
      </c>
      <c r="U34" s="4010">
        <f t="shared" si="6"/>
        <v>9.3800000000000008</v>
      </c>
      <c r="V34" s="4011">
        <f t="shared" si="7"/>
        <v>285.30833333333334</v>
      </c>
      <c r="W34" s="4008">
        <v>44197</v>
      </c>
      <c r="X34" s="4009">
        <v>0.05</v>
      </c>
      <c r="Y34" s="4010">
        <f t="shared" si="8"/>
        <v>9.85</v>
      </c>
      <c r="Z34" s="4011">
        <f t="shared" si="9"/>
        <v>299.60416666666669</v>
      </c>
      <c r="AA34" s="4008">
        <v>44562</v>
      </c>
      <c r="AB34" s="4009">
        <v>0.05</v>
      </c>
      <c r="AC34" s="4010">
        <f t="shared" si="10"/>
        <v>10.34</v>
      </c>
      <c r="AD34" s="4011">
        <f t="shared" si="11"/>
        <v>314.50833333333333</v>
      </c>
    </row>
    <row r="35" spans="1:30" ht="16.5">
      <c r="A35" s="4012">
        <v>4</v>
      </c>
      <c r="B35" s="3995">
        <v>1</v>
      </c>
      <c r="C35" s="3996" t="s">
        <v>4830</v>
      </c>
      <c r="D35" s="3997" t="s">
        <v>4831</v>
      </c>
      <c r="E35" s="3998" t="s">
        <v>4825</v>
      </c>
      <c r="F35" s="3999" t="s">
        <v>2930</v>
      </c>
      <c r="G35" s="4000">
        <v>188.24</v>
      </c>
      <c r="H35" s="4001">
        <v>43101</v>
      </c>
      <c r="I35" s="4002">
        <v>44926</v>
      </c>
      <c r="J35" s="4003">
        <f t="shared" si="2"/>
        <v>1826</v>
      </c>
      <c r="K35" s="4004">
        <f t="shared" si="3"/>
        <v>0</v>
      </c>
      <c r="L35" s="4005">
        <v>8.5</v>
      </c>
      <c r="M35" s="4006">
        <f t="shared" si="4"/>
        <v>258.54166666666669</v>
      </c>
      <c r="N35" s="4007">
        <v>0</v>
      </c>
      <c r="O35" s="4008">
        <v>43466</v>
      </c>
      <c r="P35" s="4009">
        <v>0.05</v>
      </c>
      <c r="Q35" s="4010">
        <f>IF(O35&lt;&gt;"N/A",ROUND(L35*(1+P35),2),0)</f>
        <v>8.93</v>
      </c>
      <c r="R35" s="4011">
        <f t="shared" si="5"/>
        <v>271.62083333333334</v>
      </c>
      <c r="S35" s="4008">
        <v>43831</v>
      </c>
      <c r="T35" s="4009">
        <v>0.05</v>
      </c>
      <c r="U35" s="4010">
        <f t="shared" si="6"/>
        <v>9.3800000000000008</v>
      </c>
      <c r="V35" s="4011">
        <f t="shared" si="7"/>
        <v>285.30833333333334</v>
      </c>
      <c r="W35" s="4008">
        <v>44197</v>
      </c>
      <c r="X35" s="4009">
        <v>0.05</v>
      </c>
      <c r="Y35" s="4010">
        <f t="shared" si="8"/>
        <v>9.85</v>
      </c>
      <c r="Z35" s="4011">
        <f t="shared" si="9"/>
        <v>299.60416666666669</v>
      </c>
      <c r="AA35" s="4008">
        <v>44562</v>
      </c>
      <c r="AB35" s="4009">
        <v>0.05</v>
      </c>
      <c r="AC35" s="4010">
        <f t="shared" si="10"/>
        <v>10.34</v>
      </c>
      <c r="AD35" s="4011">
        <f t="shared" si="11"/>
        <v>314.50833333333333</v>
      </c>
    </row>
    <row r="36" spans="1:30" ht="27.75">
      <c r="A36" s="3994">
        <v>5</v>
      </c>
      <c r="B36" s="3995">
        <v>1</v>
      </c>
      <c r="C36" s="4013" t="s">
        <v>4832</v>
      </c>
      <c r="D36" s="3997" t="s">
        <v>4614</v>
      </c>
      <c r="E36" s="3998" t="s">
        <v>4825</v>
      </c>
      <c r="F36" s="3999" t="s">
        <v>2930</v>
      </c>
      <c r="G36" s="4000">
        <v>278.18</v>
      </c>
      <c r="H36" s="4001">
        <v>43087</v>
      </c>
      <c r="I36" s="4002">
        <v>44912</v>
      </c>
      <c r="J36" s="4003">
        <f t="shared" si="2"/>
        <v>1826</v>
      </c>
      <c r="K36" s="4004">
        <f t="shared" si="3"/>
        <v>0</v>
      </c>
      <c r="L36" s="4005">
        <v>8.5</v>
      </c>
      <c r="M36" s="4006">
        <f t="shared" si="4"/>
        <v>258.54166666666669</v>
      </c>
      <c r="N36" s="4007">
        <v>0</v>
      </c>
      <c r="O36" s="4008">
        <v>43452</v>
      </c>
      <c r="P36" s="4009">
        <v>0.05</v>
      </c>
      <c r="Q36" s="4010">
        <f>IF(O36&lt;&gt;"N/A",ROUND(L36*(1+P36),2),0)</f>
        <v>8.93</v>
      </c>
      <c r="R36" s="4011">
        <f t="shared" si="5"/>
        <v>271.62083333333334</v>
      </c>
      <c r="S36" s="4008">
        <v>43817</v>
      </c>
      <c r="T36" s="4009">
        <v>0.05</v>
      </c>
      <c r="U36" s="4010">
        <f t="shared" si="6"/>
        <v>9.3800000000000008</v>
      </c>
      <c r="V36" s="4011">
        <f t="shared" si="7"/>
        <v>285.30833333333334</v>
      </c>
      <c r="W36" s="4008">
        <v>44183</v>
      </c>
      <c r="X36" s="4009">
        <v>0.05</v>
      </c>
      <c r="Y36" s="4010">
        <f t="shared" si="8"/>
        <v>9.85</v>
      </c>
      <c r="Z36" s="4011">
        <f t="shared" si="9"/>
        <v>299.60416666666669</v>
      </c>
      <c r="AA36" s="4008">
        <v>44548</v>
      </c>
      <c r="AB36" s="4009">
        <v>0.05</v>
      </c>
      <c r="AC36" s="4010">
        <f t="shared" si="10"/>
        <v>10.34</v>
      </c>
      <c r="AD36" s="4011">
        <f t="shared" si="11"/>
        <v>314.50833333333333</v>
      </c>
    </row>
    <row r="37" spans="1:30" ht="27.75">
      <c r="A37" s="4012">
        <v>6</v>
      </c>
      <c r="B37" s="3995">
        <v>1</v>
      </c>
      <c r="C37" s="4013" t="s">
        <v>4833</v>
      </c>
      <c r="D37" s="3997" t="s">
        <v>4834</v>
      </c>
      <c r="E37" s="3998" t="s">
        <v>4825</v>
      </c>
      <c r="F37" s="3999" t="s">
        <v>2930</v>
      </c>
      <c r="G37" s="4000">
        <v>425.96</v>
      </c>
      <c r="H37" s="4001">
        <v>42314</v>
      </c>
      <c r="I37" s="4002">
        <v>44201</v>
      </c>
      <c r="J37" s="4003">
        <f t="shared" si="2"/>
        <v>1888</v>
      </c>
      <c r="K37" s="4004">
        <f t="shared" si="3"/>
        <v>0</v>
      </c>
      <c r="L37" s="4005">
        <v>4.8</v>
      </c>
      <c r="M37" s="4006">
        <f t="shared" si="4"/>
        <v>146</v>
      </c>
      <c r="N37" s="4007">
        <v>0</v>
      </c>
      <c r="O37" s="4008">
        <v>43045</v>
      </c>
      <c r="P37" s="4009">
        <v>0.04</v>
      </c>
      <c r="Q37" s="4010">
        <v>5</v>
      </c>
      <c r="R37" s="4011">
        <f t="shared" si="5"/>
        <v>152.08333333333334</v>
      </c>
      <c r="S37" s="4008">
        <v>43410</v>
      </c>
      <c r="T37" s="4009">
        <v>0.04</v>
      </c>
      <c r="U37" s="4010">
        <f t="shared" si="6"/>
        <v>5.2</v>
      </c>
      <c r="V37" s="4011">
        <f t="shared" si="7"/>
        <v>158.16666666666666</v>
      </c>
      <c r="W37" s="4008">
        <v>43775</v>
      </c>
      <c r="X37" s="4009">
        <v>0.02</v>
      </c>
      <c r="Y37" s="4010">
        <f t="shared" si="8"/>
        <v>5.3</v>
      </c>
      <c r="Z37" s="4011">
        <f t="shared" si="9"/>
        <v>161.20833333333334</v>
      </c>
      <c r="AA37" s="4014" t="s">
        <v>4835</v>
      </c>
      <c r="AB37" s="4015"/>
      <c r="AC37" s="4010">
        <f t="shared" si="10"/>
        <v>0</v>
      </c>
      <c r="AD37" s="4011">
        <f t="shared" si="11"/>
        <v>0</v>
      </c>
    </row>
    <row r="38" spans="1:30" ht="16.5">
      <c r="A38" s="3994">
        <v>7</v>
      </c>
      <c r="B38" s="3995">
        <v>1</v>
      </c>
      <c r="C38" s="4016" t="s">
        <v>4836</v>
      </c>
      <c r="D38" s="4017" t="s">
        <v>4837</v>
      </c>
      <c r="E38" s="4018" t="s">
        <v>4838</v>
      </c>
      <c r="F38" s="4019" t="s">
        <v>2929</v>
      </c>
      <c r="G38" s="4020">
        <v>1089.1099999999999</v>
      </c>
      <c r="H38" s="4008">
        <v>43252</v>
      </c>
      <c r="I38" s="4021">
        <v>44347</v>
      </c>
      <c r="J38" s="4022">
        <f t="shared" si="2"/>
        <v>1096</v>
      </c>
      <c r="K38" s="4004">
        <f t="shared" si="3"/>
        <v>0</v>
      </c>
      <c r="L38" s="4005">
        <v>6.2</v>
      </c>
      <c r="M38" s="4006">
        <f t="shared" si="4"/>
        <v>188.58333333333334</v>
      </c>
      <c r="N38" s="4007">
        <v>0</v>
      </c>
      <c r="O38" s="4008">
        <v>43617</v>
      </c>
      <c r="P38" s="4009">
        <v>0.05</v>
      </c>
      <c r="Q38" s="4010">
        <f t="shared" ref="Q38:Q48" si="12">IF(O38&lt;&gt;"N/A",ROUND(L38*(1+P38),2),0)</f>
        <v>6.51</v>
      </c>
      <c r="R38" s="4011">
        <f t="shared" si="5"/>
        <v>198.01250000000002</v>
      </c>
      <c r="S38" s="4008">
        <v>43983</v>
      </c>
      <c r="T38" s="4009">
        <v>0.05</v>
      </c>
      <c r="U38" s="4010">
        <f t="shared" si="6"/>
        <v>6.84</v>
      </c>
      <c r="V38" s="4011">
        <f t="shared" si="7"/>
        <v>208.04999999999998</v>
      </c>
      <c r="W38" s="4014" t="s">
        <v>4835</v>
      </c>
      <c r="X38" s="4015"/>
      <c r="Y38" s="4010">
        <f t="shared" si="8"/>
        <v>0</v>
      </c>
      <c r="Z38" s="4011">
        <f t="shared" si="9"/>
        <v>0</v>
      </c>
      <c r="AA38" s="4014" t="s">
        <v>4835</v>
      </c>
      <c r="AB38" s="4015"/>
      <c r="AC38" s="4010">
        <f t="shared" si="10"/>
        <v>0</v>
      </c>
      <c r="AD38" s="4011">
        <f t="shared" si="11"/>
        <v>0</v>
      </c>
    </row>
    <row r="39" spans="1:30" ht="16.5">
      <c r="A39" s="4012">
        <v>8</v>
      </c>
      <c r="B39" s="3995">
        <v>1</v>
      </c>
      <c r="C39" s="3996" t="s">
        <v>4839</v>
      </c>
      <c r="D39" s="4017" t="s">
        <v>4840</v>
      </c>
      <c r="E39" s="4018" t="s">
        <v>4838</v>
      </c>
      <c r="F39" s="4023" t="s">
        <v>2929</v>
      </c>
      <c r="G39" s="4020">
        <v>36.29</v>
      </c>
      <c r="H39" s="4008">
        <v>43282</v>
      </c>
      <c r="I39" s="4021">
        <v>44012</v>
      </c>
      <c r="J39" s="4022">
        <f t="shared" si="2"/>
        <v>731</v>
      </c>
      <c r="K39" s="4004">
        <f t="shared" si="3"/>
        <v>0</v>
      </c>
      <c r="L39" s="4005">
        <v>6.5</v>
      </c>
      <c r="M39" s="4006">
        <f t="shared" si="4"/>
        <v>197.70833333333334</v>
      </c>
      <c r="N39" s="4007">
        <v>0</v>
      </c>
      <c r="O39" s="4008">
        <v>43647</v>
      </c>
      <c r="P39" s="4009">
        <v>0.05</v>
      </c>
      <c r="Q39" s="4010">
        <f t="shared" si="12"/>
        <v>6.83</v>
      </c>
      <c r="R39" s="4011">
        <f t="shared" si="5"/>
        <v>207.74583333333331</v>
      </c>
      <c r="S39" s="4014" t="s">
        <v>4835</v>
      </c>
      <c r="T39" s="4015"/>
      <c r="U39" s="4010">
        <f t="shared" si="6"/>
        <v>0</v>
      </c>
      <c r="V39" s="4011">
        <f t="shared" si="7"/>
        <v>0</v>
      </c>
      <c r="W39" s="4014" t="s">
        <v>4835</v>
      </c>
      <c r="X39" s="4015"/>
      <c r="Y39" s="4010">
        <f t="shared" si="8"/>
        <v>0</v>
      </c>
      <c r="Z39" s="4011">
        <f t="shared" si="9"/>
        <v>0</v>
      </c>
      <c r="AA39" s="4014" t="s">
        <v>4835</v>
      </c>
      <c r="AB39" s="4015"/>
      <c r="AC39" s="4010">
        <f t="shared" si="10"/>
        <v>0</v>
      </c>
      <c r="AD39" s="4011">
        <f t="shared" si="11"/>
        <v>0</v>
      </c>
    </row>
    <row r="40" spans="1:30" ht="16.5">
      <c r="A40" s="4012">
        <v>10</v>
      </c>
      <c r="B40" s="3995">
        <v>1</v>
      </c>
      <c r="C40" s="3996" t="s">
        <v>4841</v>
      </c>
      <c r="D40" s="4024" t="s">
        <v>4842</v>
      </c>
      <c r="E40" s="3998" t="s">
        <v>4825</v>
      </c>
      <c r="F40" s="3999" t="s">
        <v>2930</v>
      </c>
      <c r="G40" s="4000">
        <v>80.150000000000006</v>
      </c>
      <c r="H40" s="4001">
        <v>43318</v>
      </c>
      <c r="I40" s="4002">
        <v>44413</v>
      </c>
      <c r="J40" s="4003">
        <f t="shared" si="2"/>
        <v>1096</v>
      </c>
      <c r="K40" s="4004">
        <f t="shared" si="3"/>
        <v>0</v>
      </c>
      <c r="L40" s="4005">
        <v>10</v>
      </c>
      <c r="M40" s="4006">
        <f t="shared" si="4"/>
        <v>304.16666666666669</v>
      </c>
      <c r="N40" s="4007">
        <v>0</v>
      </c>
      <c r="O40" s="4008">
        <v>43683</v>
      </c>
      <c r="P40" s="4009">
        <v>0.05</v>
      </c>
      <c r="Q40" s="4010">
        <f t="shared" si="12"/>
        <v>10.5</v>
      </c>
      <c r="R40" s="4011">
        <f t="shared" si="5"/>
        <v>319.375</v>
      </c>
      <c r="S40" s="4008">
        <v>44049</v>
      </c>
      <c r="T40" s="4009">
        <v>0.05</v>
      </c>
      <c r="U40" s="4010">
        <f t="shared" si="6"/>
        <v>11.03</v>
      </c>
      <c r="V40" s="4011">
        <f t="shared" si="7"/>
        <v>335.49583333333334</v>
      </c>
      <c r="W40" s="4014" t="s">
        <v>4835</v>
      </c>
      <c r="X40" s="4015"/>
      <c r="Y40" s="4010">
        <f t="shared" si="8"/>
        <v>0</v>
      </c>
      <c r="Z40" s="4011">
        <f t="shared" si="9"/>
        <v>0</v>
      </c>
      <c r="AA40" s="4014" t="s">
        <v>4835</v>
      </c>
      <c r="AB40" s="4015"/>
      <c r="AC40" s="4010">
        <f t="shared" si="10"/>
        <v>0</v>
      </c>
      <c r="AD40" s="4011">
        <f t="shared" si="11"/>
        <v>0</v>
      </c>
    </row>
    <row r="41" spans="1:30" ht="16.5">
      <c r="A41" s="3994">
        <v>11</v>
      </c>
      <c r="B41" s="3995">
        <v>2</v>
      </c>
      <c r="C41" s="3996" t="s">
        <v>4843</v>
      </c>
      <c r="D41" s="4025" t="s">
        <v>4844</v>
      </c>
      <c r="E41" s="4018" t="s">
        <v>4845</v>
      </c>
      <c r="F41" s="4023" t="s">
        <v>2929</v>
      </c>
      <c r="G41" s="4020">
        <v>213.01</v>
      </c>
      <c r="H41" s="4008">
        <v>43167</v>
      </c>
      <c r="I41" s="4021">
        <v>43897</v>
      </c>
      <c r="J41" s="4022">
        <f t="shared" si="2"/>
        <v>731</v>
      </c>
      <c r="K41" s="4004">
        <f t="shared" si="3"/>
        <v>0</v>
      </c>
      <c r="L41" s="4005">
        <v>6.3</v>
      </c>
      <c r="M41" s="4006">
        <f t="shared" si="4"/>
        <v>191.625</v>
      </c>
      <c r="N41" s="4007">
        <v>0</v>
      </c>
      <c r="O41" s="4008">
        <v>43532</v>
      </c>
      <c r="P41" s="4009">
        <v>0.05</v>
      </c>
      <c r="Q41" s="4010">
        <f t="shared" si="12"/>
        <v>6.62</v>
      </c>
      <c r="R41" s="4011">
        <f t="shared" si="5"/>
        <v>201.35833333333335</v>
      </c>
      <c r="S41" s="4014" t="s">
        <v>4835</v>
      </c>
      <c r="T41" s="4015"/>
      <c r="U41" s="4010">
        <f t="shared" si="6"/>
        <v>0</v>
      </c>
      <c r="V41" s="4011">
        <f t="shared" si="7"/>
        <v>0</v>
      </c>
      <c r="W41" s="4014" t="s">
        <v>4835</v>
      </c>
      <c r="X41" s="4015"/>
      <c r="Y41" s="4010">
        <f t="shared" si="8"/>
        <v>0</v>
      </c>
      <c r="Z41" s="4011">
        <f t="shared" si="9"/>
        <v>0</v>
      </c>
      <c r="AA41" s="4014" t="s">
        <v>4835</v>
      </c>
      <c r="AB41" s="4015"/>
      <c r="AC41" s="4010">
        <f t="shared" si="10"/>
        <v>0</v>
      </c>
      <c r="AD41" s="4011">
        <f t="shared" si="11"/>
        <v>0</v>
      </c>
    </row>
    <row r="42" spans="1:30" ht="27.75">
      <c r="A42" s="4012">
        <v>12</v>
      </c>
      <c r="B42" s="3995">
        <v>2</v>
      </c>
      <c r="C42" s="4013" t="s">
        <v>4846</v>
      </c>
      <c r="D42" s="4017" t="s">
        <v>4847</v>
      </c>
      <c r="E42" s="4018" t="s">
        <v>4845</v>
      </c>
      <c r="F42" s="4023" t="s">
        <v>2929</v>
      </c>
      <c r="G42" s="4020">
        <v>384.1</v>
      </c>
      <c r="H42" s="4008">
        <v>43085</v>
      </c>
      <c r="I42" s="4021">
        <v>44180</v>
      </c>
      <c r="J42" s="4022">
        <f t="shared" si="2"/>
        <v>1096</v>
      </c>
      <c r="K42" s="4004">
        <f t="shared" si="3"/>
        <v>0</v>
      </c>
      <c r="L42" s="4005">
        <v>6</v>
      </c>
      <c r="M42" s="4006">
        <f t="shared" si="4"/>
        <v>182.5</v>
      </c>
      <c r="N42" s="4007">
        <v>0</v>
      </c>
      <c r="O42" s="4008">
        <v>43450</v>
      </c>
      <c r="P42" s="4009">
        <v>4.1000000000000002E-2</v>
      </c>
      <c r="Q42" s="4010">
        <f t="shared" si="12"/>
        <v>6.25</v>
      </c>
      <c r="R42" s="4011">
        <f t="shared" si="5"/>
        <v>190.10416666666666</v>
      </c>
      <c r="S42" s="4008">
        <v>43815</v>
      </c>
      <c r="T42" s="4009">
        <v>0.04</v>
      </c>
      <c r="U42" s="4010">
        <f t="shared" si="6"/>
        <v>6.5</v>
      </c>
      <c r="V42" s="4011">
        <f t="shared" si="7"/>
        <v>197.70833333333334</v>
      </c>
      <c r="W42" s="4014" t="s">
        <v>4835</v>
      </c>
      <c r="X42" s="4015"/>
      <c r="Y42" s="4010">
        <f t="shared" si="8"/>
        <v>0</v>
      </c>
      <c r="Z42" s="4011">
        <f t="shared" si="9"/>
        <v>0</v>
      </c>
      <c r="AA42" s="4014" t="s">
        <v>4835</v>
      </c>
      <c r="AB42" s="4015"/>
      <c r="AC42" s="4010">
        <f t="shared" si="10"/>
        <v>0</v>
      </c>
      <c r="AD42" s="4011">
        <f t="shared" si="11"/>
        <v>0</v>
      </c>
    </row>
    <row r="43" spans="1:30" ht="16.5">
      <c r="A43" s="3994">
        <v>13</v>
      </c>
      <c r="B43" s="3995">
        <v>2</v>
      </c>
      <c r="C43" s="3996" t="s">
        <v>4848</v>
      </c>
      <c r="D43" s="4017" t="s">
        <v>4849</v>
      </c>
      <c r="E43" s="4018" t="s">
        <v>4845</v>
      </c>
      <c r="F43" s="4023" t="s">
        <v>2929</v>
      </c>
      <c r="G43" s="4020">
        <v>192.05</v>
      </c>
      <c r="H43" s="4008">
        <v>43175</v>
      </c>
      <c r="I43" s="4021">
        <v>44180</v>
      </c>
      <c r="J43" s="4022">
        <f t="shared" si="2"/>
        <v>1006</v>
      </c>
      <c r="K43" s="4004">
        <f t="shared" si="3"/>
        <v>0</v>
      </c>
      <c r="L43" s="4005">
        <v>6</v>
      </c>
      <c r="M43" s="4006">
        <f t="shared" si="4"/>
        <v>182.5</v>
      </c>
      <c r="N43" s="4007">
        <v>0</v>
      </c>
      <c r="O43" s="4008">
        <v>43450</v>
      </c>
      <c r="P43" s="4009">
        <v>4.1000000000000002E-2</v>
      </c>
      <c r="Q43" s="4010">
        <f t="shared" si="12"/>
        <v>6.25</v>
      </c>
      <c r="R43" s="4011">
        <f t="shared" si="5"/>
        <v>190.10416666666666</v>
      </c>
      <c r="S43" s="4008">
        <v>43815</v>
      </c>
      <c r="T43" s="4009">
        <v>0.04</v>
      </c>
      <c r="U43" s="4010">
        <f t="shared" si="6"/>
        <v>6.5</v>
      </c>
      <c r="V43" s="4011">
        <f t="shared" si="7"/>
        <v>197.70833333333334</v>
      </c>
      <c r="W43" s="4014" t="s">
        <v>4835</v>
      </c>
      <c r="X43" s="4015"/>
      <c r="Y43" s="4010">
        <f t="shared" si="8"/>
        <v>0</v>
      </c>
      <c r="Z43" s="4011">
        <f t="shared" si="9"/>
        <v>0</v>
      </c>
      <c r="AA43" s="4014" t="s">
        <v>4835</v>
      </c>
      <c r="AB43" s="4015"/>
      <c r="AC43" s="4010">
        <f t="shared" si="10"/>
        <v>0</v>
      </c>
      <c r="AD43" s="4011">
        <f t="shared" si="11"/>
        <v>0</v>
      </c>
    </row>
    <row r="44" spans="1:30" ht="16.5">
      <c r="A44" s="4012">
        <v>14</v>
      </c>
      <c r="B44" s="3995">
        <v>2</v>
      </c>
      <c r="C44" s="3996" t="s">
        <v>4850</v>
      </c>
      <c r="D44" s="4017" t="s">
        <v>4851</v>
      </c>
      <c r="E44" s="4018" t="s">
        <v>4852</v>
      </c>
      <c r="F44" s="4023" t="s">
        <v>2929</v>
      </c>
      <c r="G44" s="4020">
        <v>192.05</v>
      </c>
      <c r="H44" s="4008">
        <v>43293</v>
      </c>
      <c r="I44" s="4021">
        <v>44023</v>
      </c>
      <c r="J44" s="4022">
        <f t="shared" si="2"/>
        <v>731</v>
      </c>
      <c r="K44" s="4004">
        <f t="shared" si="3"/>
        <v>0</v>
      </c>
      <c r="L44" s="4005">
        <v>6.8</v>
      </c>
      <c r="M44" s="4006">
        <f t="shared" si="4"/>
        <v>206.83333333333334</v>
      </c>
      <c r="N44" s="4007">
        <v>0</v>
      </c>
      <c r="O44" s="4008">
        <v>43658</v>
      </c>
      <c r="P44" s="4009">
        <v>0.05</v>
      </c>
      <c r="Q44" s="4010">
        <f t="shared" si="12"/>
        <v>7.14</v>
      </c>
      <c r="R44" s="4011">
        <f t="shared" si="5"/>
        <v>217.17499999999998</v>
      </c>
      <c r="S44" s="4014" t="s">
        <v>4835</v>
      </c>
      <c r="T44" s="4009"/>
      <c r="U44" s="4010">
        <f t="shared" si="6"/>
        <v>0</v>
      </c>
      <c r="V44" s="4011">
        <f t="shared" si="7"/>
        <v>0</v>
      </c>
      <c r="W44" s="4014" t="s">
        <v>4835</v>
      </c>
      <c r="X44" s="4015"/>
      <c r="Y44" s="4010">
        <f t="shared" si="8"/>
        <v>0</v>
      </c>
      <c r="Z44" s="4011">
        <f t="shared" si="9"/>
        <v>0</v>
      </c>
      <c r="AA44" s="4014" t="s">
        <v>4835</v>
      </c>
      <c r="AB44" s="4015"/>
      <c r="AC44" s="4010">
        <f t="shared" si="10"/>
        <v>0</v>
      </c>
      <c r="AD44" s="4011">
        <f t="shared" si="11"/>
        <v>0</v>
      </c>
    </row>
    <row r="45" spans="1:30" ht="16.5">
      <c r="A45" s="3994">
        <v>15</v>
      </c>
      <c r="B45" s="3995">
        <v>2</v>
      </c>
      <c r="C45" s="3996" t="s">
        <v>4853</v>
      </c>
      <c r="D45" s="4017" t="s">
        <v>4854</v>
      </c>
      <c r="E45" s="4018" t="s">
        <v>4852</v>
      </c>
      <c r="F45" s="4023" t="s">
        <v>2929</v>
      </c>
      <c r="G45" s="4020">
        <v>192.05</v>
      </c>
      <c r="H45" s="4008">
        <v>43110</v>
      </c>
      <c r="I45" s="4021">
        <v>43839</v>
      </c>
      <c r="J45" s="4022">
        <f t="shared" si="2"/>
        <v>730</v>
      </c>
      <c r="K45" s="4004">
        <f t="shared" si="3"/>
        <v>0</v>
      </c>
      <c r="L45" s="4005">
        <v>6.2</v>
      </c>
      <c r="M45" s="4006">
        <f t="shared" si="4"/>
        <v>188.58333333333334</v>
      </c>
      <c r="N45" s="4007">
        <v>0</v>
      </c>
      <c r="O45" s="4008">
        <v>43475</v>
      </c>
      <c r="P45" s="4009">
        <v>0.04</v>
      </c>
      <c r="Q45" s="4010">
        <f t="shared" si="12"/>
        <v>6.45</v>
      </c>
      <c r="R45" s="4011">
        <f t="shared" si="5"/>
        <v>196.1875</v>
      </c>
      <c r="S45" s="4014" t="s">
        <v>4835</v>
      </c>
      <c r="T45" s="4009"/>
      <c r="U45" s="4010">
        <f t="shared" si="6"/>
        <v>0</v>
      </c>
      <c r="V45" s="4011">
        <f t="shared" si="7"/>
        <v>0</v>
      </c>
      <c r="W45" s="4014" t="s">
        <v>4835</v>
      </c>
      <c r="X45" s="4015"/>
      <c r="Y45" s="4010">
        <f t="shared" si="8"/>
        <v>0</v>
      </c>
      <c r="Z45" s="4011">
        <f t="shared" si="9"/>
        <v>0</v>
      </c>
      <c r="AA45" s="4014" t="s">
        <v>4835</v>
      </c>
      <c r="AB45" s="4015"/>
      <c r="AC45" s="4010">
        <f t="shared" si="10"/>
        <v>0</v>
      </c>
      <c r="AD45" s="4011">
        <f t="shared" si="11"/>
        <v>0</v>
      </c>
    </row>
    <row r="46" spans="1:30" ht="16.5">
      <c r="A46" s="4012">
        <v>16</v>
      </c>
      <c r="B46" s="3995">
        <v>2</v>
      </c>
      <c r="C46" s="3996" t="s">
        <v>4855</v>
      </c>
      <c r="D46" s="4017" t="s">
        <v>4856</v>
      </c>
      <c r="E46" s="4018" t="s">
        <v>4845</v>
      </c>
      <c r="F46" s="4023" t="s">
        <v>2929</v>
      </c>
      <c r="G46" s="4020">
        <v>340.45</v>
      </c>
      <c r="H46" s="4008">
        <v>43125</v>
      </c>
      <c r="I46" s="4021">
        <v>44220</v>
      </c>
      <c r="J46" s="4022">
        <f t="shared" si="2"/>
        <v>1096</v>
      </c>
      <c r="K46" s="4004">
        <f t="shared" si="3"/>
        <v>0</v>
      </c>
      <c r="L46" s="4005">
        <v>6.2</v>
      </c>
      <c r="M46" s="4006">
        <f t="shared" si="4"/>
        <v>188.58333333333334</v>
      </c>
      <c r="N46" s="4007">
        <v>0</v>
      </c>
      <c r="O46" s="4008">
        <v>43490</v>
      </c>
      <c r="P46" s="4009">
        <v>0.04</v>
      </c>
      <c r="Q46" s="4010">
        <f t="shared" si="12"/>
        <v>6.45</v>
      </c>
      <c r="R46" s="4011">
        <f t="shared" si="5"/>
        <v>196.1875</v>
      </c>
      <c r="S46" s="4008">
        <v>43855</v>
      </c>
      <c r="T46" s="4009">
        <v>0.04</v>
      </c>
      <c r="U46" s="4010">
        <f t="shared" si="6"/>
        <v>6.71</v>
      </c>
      <c r="V46" s="4011">
        <f t="shared" si="7"/>
        <v>204.09583333333333</v>
      </c>
      <c r="W46" s="4014" t="s">
        <v>4835</v>
      </c>
      <c r="X46" s="4015"/>
      <c r="Y46" s="4010">
        <f t="shared" si="8"/>
        <v>0</v>
      </c>
      <c r="Z46" s="4011">
        <f t="shared" si="9"/>
        <v>0</v>
      </c>
      <c r="AA46" s="4014" t="s">
        <v>4835</v>
      </c>
      <c r="AB46" s="4015"/>
      <c r="AC46" s="4010">
        <f t="shared" si="10"/>
        <v>0</v>
      </c>
      <c r="AD46" s="4011">
        <f t="shared" si="11"/>
        <v>0</v>
      </c>
    </row>
    <row r="47" spans="1:30" ht="16.5">
      <c r="A47" s="3994">
        <v>17</v>
      </c>
      <c r="B47" s="3995">
        <v>2</v>
      </c>
      <c r="C47" s="3996" t="s">
        <v>4857</v>
      </c>
      <c r="D47" s="4017" t="s">
        <v>4858</v>
      </c>
      <c r="E47" s="4018" t="s">
        <v>4859</v>
      </c>
      <c r="F47" s="4023" t="s">
        <v>2929</v>
      </c>
      <c r="G47" s="4020">
        <v>917.41</v>
      </c>
      <c r="H47" s="4008">
        <v>43236</v>
      </c>
      <c r="I47" s="4021">
        <v>43600</v>
      </c>
      <c r="J47" s="4022">
        <f t="shared" si="2"/>
        <v>365</v>
      </c>
      <c r="K47" s="4004">
        <f t="shared" si="3"/>
        <v>0</v>
      </c>
      <c r="L47" s="4005">
        <v>6.5</v>
      </c>
      <c r="M47" s="4006">
        <f t="shared" si="4"/>
        <v>197.70833333333334</v>
      </c>
      <c r="N47" s="4007">
        <v>0</v>
      </c>
      <c r="O47" s="4014" t="s">
        <v>4835</v>
      </c>
      <c r="P47" s="4009"/>
      <c r="Q47" s="4010">
        <f t="shared" si="12"/>
        <v>0</v>
      </c>
      <c r="R47" s="4011">
        <f t="shared" si="5"/>
        <v>0</v>
      </c>
      <c r="S47" s="4014" t="s">
        <v>4835</v>
      </c>
      <c r="T47" s="4015"/>
      <c r="U47" s="4010">
        <f t="shared" si="6"/>
        <v>0</v>
      </c>
      <c r="V47" s="4011">
        <f t="shared" si="7"/>
        <v>0</v>
      </c>
      <c r="W47" s="4014" t="s">
        <v>4835</v>
      </c>
      <c r="X47" s="4015"/>
      <c r="Y47" s="4010">
        <f t="shared" si="8"/>
        <v>0</v>
      </c>
      <c r="Z47" s="4011">
        <f t="shared" si="9"/>
        <v>0</v>
      </c>
      <c r="AA47" s="4014" t="s">
        <v>4835</v>
      </c>
      <c r="AB47" s="4015"/>
      <c r="AC47" s="4010">
        <f t="shared" si="10"/>
        <v>0</v>
      </c>
      <c r="AD47" s="4011">
        <f t="shared" si="11"/>
        <v>0</v>
      </c>
    </row>
    <row r="48" spans="1:30" ht="16.5">
      <c r="A48" s="4012">
        <v>18</v>
      </c>
      <c r="B48" s="3995">
        <v>2</v>
      </c>
      <c r="C48" s="4013" t="s">
        <v>4860</v>
      </c>
      <c r="D48" s="4017" t="s">
        <v>4861</v>
      </c>
      <c r="E48" s="4018" t="s">
        <v>4845</v>
      </c>
      <c r="F48" s="4023" t="s">
        <v>2929</v>
      </c>
      <c r="G48" s="4020">
        <v>75</v>
      </c>
      <c r="H48" s="4008">
        <v>43403</v>
      </c>
      <c r="I48" s="4021">
        <v>43767</v>
      </c>
      <c r="J48" s="4022">
        <f t="shared" si="2"/>
        <v>365</v>
      </c>
      <c r="K48" s="4004">
        <f t="shared" si="3"/>
        <v>0</v>
      </c>
      <c r="L48" s="4005">
        <v>7</v>
      </c>
      <c r="M48" s="4006">
        <f t="shared" si="4"/>
        <v>212.91666666666666</v>
      </c>
      <c r="N48" s="4007">
        <v>0</v>
      </c>
      <c r="O48" s="4014" t="s">
        <v>4835</v>
      </c>
      <c r="P48" s="4009"/>
      <c r="Q48" s="4010">
        <f t="shared" si="12"/>
        <v>0</v>
      </c>
      <c r="R48" s="4011">
        <f t="shared" si="5"/>
        <v>0</v>
      </c>
      <c r="S48" s="4014" t="s">
        <v>4835</v>
      </c>
      <c r="T48" s="4015"/>
      <c r="U48" s="4010">
        <f t="shared" si="6"/>
        <v>0</v>
      </c>
      <c r="V48" s="4011">
        <f t="shared" si="7"/>
        <v>0</v>
      </c>
      <c r="W48" s="4014" t="s">
        <v>4835</v>
      </c>
      <c r="X48" s="4015"/>
      <c r="Y48" s="4010">
        <f t="shared" si="8"/>
        <v>0</v>
      </c>
      <c r="Z48" s="4011">
        <f t="shared" si="9"/>
        <v>0</v>
      </c>
      <c r="AA48" s="4014" t="s">
        <v>4835</v>
      </c>
      <c r="AB48" s="4015"/>
      <c r="AC48" s="4010">
        <f t="shared" si="10"/>
        <v>0</v>
      </c>
      <c r="AD48" s="4011">
        <f t="shared" si="11"/>
        <v>0</v>
      </c>
    </row>
    <row r="49" spans="1:30" ht="16.5">
      <c r="A49" s="3994">
        <v>19</v>
      </c>
      <c r="B49" s="3995">
        <v>2</v>
      </c>
      <c r="C49" s="4013" t="s">
        <v>4862</v>
      </c>
      <c r="D49" s="4017" t="s">
        <v>4863</v>
      </c>
      <c r="E49" s="4018" t="s">
        <v>4845</v>
      </c>
      <c r="F49" s="4023" t="s">
        <v>2929</v>
      </c>
      <c r="G49" s="4020">
        <v>260.01</v>
      </c>
      <c r="H49" s="4008">
        <v>43413</v>
      </c>
      <c r="I49" s="4021">
        <v>43777</v>
      </c>
      <c r="J49" s="4022">
        <f t="shared" si="2"/>
        <v>365</v>
      </c>
      <c r="K49" s="4004">
        <f t="shared" si="3"/>
        <v>0</v>
      </c>
      <c r="L49" s="4005">
        <v>6.5</v>
      </c>
      <c r="M49" s="4006">
        <f t="shared" si="4"/>
        <v>197.70833333333334</v>
      </c>
      <c r="N49" s="4007">
        <v>0</v>
      </c>
      <c r="O49" s="4014" t="s">
        <v>4835</v>
      </c>
      <c r="P49" s="4009"/>
      <c r="Q49" s="4010"/>
      <c r="R49" s="4011"/>
      <c r="S49" s="4014" t="s">
        <v>4835</v>
      </c>
      <c r="T49" s="4009"/>
      <c r="U49" s="4010">
        <f t="shared" si="6"/>
        <v>0</v>
      </c>
      <c r="V49" s="4011">
        <f t="shared" si="7"/>
        <v>0</v>
      </c>
      <c r="W49" s="4014" t="s">
        <v>4835</v>
      </c>
      <c r="X49" s="4015"/>
      <c r="Y49" s="4010">
        <f t="shared" si="8"/>
        <v>0</v>
      </c>
      <c r="Z49" s="4011">
        <f t="shared" si="9"/>
        <v>0</v>
      </c>
      <c r="AA49" s="4014" t="s">
        <v>4835</v>
      </c>
      <c r="AB49" s="4015"/>
      <c r="AC49" s="4010">
        <f t="shared" si="10"/>
        <v>0</v>
      </c>
      <c r="AD49" s="4011">
        <f t="shared" si="11"/>
        <v>0</v>
      </c>
    </row>
    <row r="50" spans="1:30" ht="16.5">
      <c r="A50" s="4012">
        <v>20</v>
      </c>
      <c r="B50" s="3995">
        <v>2</v>
      </c>
      <c r="C50" s="3996" t="s">
        <v>4864</v>
      </c>
      <c r="D50" s="4017" t="s">
        <v>4865</v>
      </c>
      <c r="E50" s="4018" t="s">
        <v>4845</v>
      </c>
      <c r="F50" s="4023" t="s">
        <v>2929</v>
      </c>
      <c r="G50" s="4020">
        <v>101</v>
      </c>
      <c r="H50" s="4008">
        <v>43331</v>
      </c>
      <c r="I50" s="4021">
        <v>43695</v>
      </c>
      <c r="J50" s="4022">
        <f t="shared" si="2"/>
        <v>365</v>
      </c>
      <c r="K50" s="4004">
        <f t="shared" si="3"/>
        <v>0</v>
      </c>
      <c r="L50" s="4005">
        <v>6.5</v>
      </c>
      <c r="M50" s="4006">
        <f t="shared" si="4"/>
        <v>197.70833333333334</v>
      </c>
      <c r="N50" s="4007">
        <v>0</v>
      </c>
      <c r="O50" s="4014" t="s">
        <v>4835</v>
      </c>
      <c r="P50" s="4009"/>
      <c r="Q50" s="4010">
        <f t="shared" ref="Q50" si="13">IF(O50&lt;&gt;"N/A",ROUND(L50*(1+P50),2),0)</f>
        <v>0</v>
      </c>
      <c r="R50" s="4011">
        <f t="shared" ref="R50" si="14">Q50*365/12</f>
        <v>0</v>
      </c>
      <c r="S50" s="4014" t="s">
        <v>4835</v>
      </c>
      <c r="T50" s="4009"/>
      <c r="U50" s="4010">
        <f t="shared" si="6"/>
        <v>0</v>
      </c>
      <c r="V50" s="4011">
        <f t="shared" si="7"/>
        <v>0</v>
      </c>
      <c r="W50" s="4014" t="s">
        <v>4835</v>
      </c>
      <c r="X50" s="4015"/>
      <c r="Y50" s="4010">
        <f t="shared" si="8"/>
        <v>0</v>
      </c>
      <c r="Z50" s="4011">
        <f t="shared" si="9"/>
        <v>0</v>
      </c>
      <c r="AA50" s="4014" t="s">
        <v>4835</v>
      </c>
      <c r="AB50" s="4015"/>
      <c r="AC50" s="4010">
        <f t="shared" si="10"/>
        <v>0</v>
      </c>
      <c r="AD50" s="4011">
        <f t="shared" si="11"/>
        <v>0</v>
      </c>
    </row>
    <row r="52" spans="1:30">
      <c r="A52" s="4056">
        <v>2019</v>
      </c>
    </row>
    <row r="53" spans="1:30">
      <c r="A53" s="4750" t="s">
        <v>4802</v>
      </c>
      <c r="B53" s="4750"/>
      <c r="C53" s="4750"/>
      <c r="D53" s="4750"/>
      <c r="E53" s="4750"/>
      <c r="F53" s="4750"/>
      <c r="G53" s="4750"/>
      <c r="H53" s="4750" t="s">
        <v>4866</v>
      </c>
      <c r="I53" s="4750"/>
      <c r="J53" s="4750"/>
      <c r="K53" s="4026" t="s">
        <v>4867</v>
      </c>
      <c r="L53" s="4750" t="s">
        <v>4868</v>
      </c>
      <c r="M53" s="4750"/>
      <c r="N53" s="4750"/>
      <c r="O53" s="4750" t="s">
        <v>4869</v>
      </c>
      <c r="P53" s="4750"/>
      <c r="Q53" s="4750"/>
      <c r="R53" s="4750"/>
      <c r="S53" s="4750"/>
      <c r="T53" s="4750"/>
      <c r="U53" s="4750"/>
      <c r="V53" s="4750"/>
      <c r="W53" s="4750"/>
      <c r="X53" s="4750"/>
      <c r="Y53" s="4750"/>
      <c r="Z53" s="4750"/>
      <c r="AA53" s="4750"/>
      <c r="AB53" s="4750"/>
      <c r="AC53" s="4027"/>
      <c r="AD53" s="4027"/>
    </row>
    <row r="54" spans="1:30" ht="25.5">
      <c r="A54" s="4028" t="s">
        <v>4870</v>
      </c>
      <c r="B54" s="4028" t="s">
        <v>4871</v>
      </c>
      <c r="C54" s="4029" t="s">
        <v>4872</v>
      </c>
      <c r="D54" s="4028" t="s">
        <v>4873</v>
      </c>
      <c r="E54" s="4028" t="s">
        <v>4874</v>
      </c>
      <c r="F54" s="4028" t="s">
        <v>4875</v>
      </c>
      <c r="G54" s="4028" t="s">
        <v>4809</v>
      </c>
      <c r="H54" s="4030" t="s">
        <v>4876</v>
      </c>
      <c r="I54" s="4030" t="s">
        <v>4877</v>
      </c>
      <c r="J54" s="4028" t="s">
        <v>4878</v>
      </c>
      <c r="K54" s="4028" t="s">
        <v>4879</v>
      </c>
      <c r="L54" s="4028" t="s">
        <v>4813</v>
      </c>
      <c r="M54" s="4028" t="s">
        <v>4880</v>
      </c>
      <c r="N54" s="4028" t="s">
        <v>4881</v>
      </c>
      <c r="O54" s="4028" t="s">
        <v>4882</v>
      </c>
      <c r="P54" s="4031" t="s">
        <v>4817</v>
      </c>
      <c r="Q54" s="4028" t="s">
        <v>4883</v>
      </c>
      <c r="R54" s="4028" t="s">
        <v>4884</v>
      </c>
      <c r="S54" s="4028" t="s">
        <v>4885</v>
      </c>
      <c r="T54" s="4028" t="s">
        <v>4817</v>
      </c>
      <c r="U54" s="4028" t="s">
        <v>4883</v>
      </c>
      <c r="V54" s="4028" t="s">
        <v>4884</v>
      </c>
      <c r="W54" s="4028" t="s">
        <v>4886</v>
      </c>
      <c r="X54" s="4028" t="s">
        <v>4817</v>
      </c>
      <c r="Y54" s="4028" t="s">
        <v>4883</v>
      </c>
      <c r="Z54" s="4028" t="s">
        <v>4884</v>
      </c>
      <c r="AA54" s="4028" t="s">
        <v>4887</v>
      </c>
      <c r="AB54" s="4028" t="s">
        <v>4817</v>
      </c>
      <c r="AC54" s="4028" t="s">
        <v>4883</v>
      </c>
      <c r="AD54" s="4028" t="s">
        <v>4884</v>
      </c>
    </row>
    <row r="55" spans="1:30" ht="16.5">
      <c r="A55" s="4032">
        <v>1</v>
      </c>
      <c r="B55" s="4033">
        <v>1</v>
      </c>
      <c r="C55" s="4034" t="s">
        <v>4823</v>
      </c>
      <c r="D55" s="4035" t="s">
        <v>4888</v>
      </c>
      <c r="E55" s="4036" t="s">
        <v>4889</v>
      </c>
      <c r="F55" s="4037" t="s">
        <v>2930</v>
      </c>
      <c r="G55" s="4038">
        <v>205.88</v>
      </c>
      <c r="H55" s="4039">
        <v>43252</v>
      </c>
      <c r="I55" s="4039">
        <v>45077</v>
      </c>
      <c r="J55" s="4040">
        <f t="shared" ref="J55:J72" si="15">+I55-H55+1</f>
        <v>1826</v>
      </c>
      <c r="K55" s="4038">
        <f t="shared" ref="K55:K72" si="16">IF($D$3&lt;H55,0,IF($D$3&lt;O55,L55,IF($D$3&lt;S55,Q55,IF($D$3&lt;W55,U55,IF($D$3&lt;AA55,Y55,AC55)))))</f>
        <v>0</v>
      </c>
      <c r="L55" s="4041">
        <v>8.5</v>
      </c>
      <c r="M55" s="4041">
        <f t="shared" ref="M55:M72" si="17">L55*365/12</f>
        <v>258.54166666666669</v>
      </c>
      <c r="N55" s="4042">
        <v>0</v>
      </c>
      <c r="O55" s="4043">
        <v>43617</v>
      </c>
      <c r="P55" s="4044">
        <v>0.05</v>
      </c>
      <c r="Q55" s="4042">
        <f>IF(O55&lt;&gt;"N/A",ROUND(L55*(1+P55),2),0)</f>
        <v>8.93</v>
      </c>
      <c r="R55" s="4042">
        <f t="shared" ref="R55:R72" si="18">Q55*365/12</f>
        <v>271.62083333333334</v>
      </c>
      <c r="S55" s="4043">
        <v>43983</v>
      </c>
      <c r="T55" s="4044">
        <v>0.05</v>
      </c>
      <c r="U55" s="4042">
        <f t="shared" ref="U55:U72" si="19">IF(S55&lt;&gt;"N/A",ROUND(Q55*(1+T55),2),0)</f>
        <v>9.3800000000000008</v>
      </c>
      <c r="V55" s="4042">
        <f t="shared" ref="V55:V72" si="20">U55*365/12</f>
        <v>285.30833333333334</v>
      </c>
      <c r="W55" s="4043">
        <v>44348</v>
      </c>
      <c r="X55" s="4044">
        <v>0.05</v>
      </c>
      <c r="Y55" s="4042">
        <f t="shared" ref="Y55:Y72" si="21">IF(W55&lt;&gt;"N/A",ROUND(U55*(1+X55),2),0)</f>
        <v>9.85</v>
      </c>
      <c r="Z55" s="4042">
        <f t="shared" ref="Z55:Z72" si="22">Y55*365/12</f>
        <v>299.60416666666669</v>
      </c>
      <c r="AA55" s="4043">
        <v>44713</v>
      </c>
      <c r="AB55" s="4044">
        <v>0.05</v>
      </c>
      <c r="AC55" s="4042">
        <f t="shared" ref="AC55:AC72" si="23">IF(AA55&lt;&gt;"N/A",ROUND(Y55*(1+AB55),2),0)</f>
        <v>10.34</v>
      </c>
      <c r="AD55" s="4042">
        <f t="shared" ref="AD55:AD72" si="24">AC55*365/12</f>
        <v>314.50833333333333</v>
      </c>
    </row>
    <row r="56" spans="1:30" ht="16.5">
      <c r="A56" s="4032">
        <v>2</v>
      </c>
      <c r="B56" s="4033">
        <v>1</v>
      </c>
      <c r="C56" s="4034" t="s">
        <v>4826</v>
      </c>
      <c r="D56" s="4035" t="s">
        <v>4890</v>
      </c>
      <c r="E56" s="4036" t="s">
        <v>4889</v>
      </c>
      <c r="F56" s="4037" t="s">
        <v>2930</v>
      </c>
      <c r="G56" s="4038">
        <v>188.24</v>
      </c>
      <c r="H56" s="4039">
        <v>43078</v>
      </c>
      <c r="I56" s="4039">
        <v>44903</v>
      </c>
      <c r="J56" s="4040">
        <f t="shared" si="15"/>
        <v>1826</v>
      </c>
      <c r="K56" s="4038">
        <f t="shared" si="16"/>
        <v>0</v>
      </c>
      <c r="L56" s="4041">
        <v>8.5</v>
      </c>
      <c r="M56" s="4041">
        <f t="shared" si="17"/>
        <v>258.54166666666669</v>
      </c>
      <c r="N56" s="4042">
        <v>0</v>
      </c>
      <c r="O56" s="4043">
        <v>43443</v>
      </c>
      <c r="P56" s="4044">
        <v>0.05</v>
      </c>
      <c r="Q56" s="4042">
        <f>IF(O56&lt;&gt;"N/A",ROUND(L56*(1+P56),2),0)</f>
        <v>8.93</v>
      </c>
      <c r="R56" s="4042">
        <f t="shared" si="18"/>
        <v>271.62083333333334</v>
      </c>
      <c r="S56" s="4043">
        <v>43808</v>
      </c>
      <c r="T56" s="4044">
        <v>0.05</v>
      </c>
      <c r="U56" s="4042">
        <f t="shared" si="19"/>
        <v>9.3800000000000008</v>
      </c>
      <c r="V56" s="4042">
        <f t="shared" si="20"/>
        <v>285.30833333333334</v>
      </c>
      <c r="W56" s="4043">
        <v>44174</v>
      </c>
      <c r="X56" s="4044">
        <v>0.05</v>
      </c>
      <c r="Y56" s="4042">
        <f t="shared" si="21"/>
        <v>9.85</v>
      </c>
      <c r="Z56" s="4042">
        <f t="shared" si="22"/>
        <v>299.60416666666669</v>
      </c>
      <c r="AA56" s="4043">
        <v>44539</v>
      </c>
      <c r="AB56" s="4044">
        <v>0.05</v>
      </c>
      <c r="AC56" s="4042">
        <f t="shared" si="23"/>
        <v>10.34</v>
      </c>
      <c r="AD56" s="4042">
        <f t="shared" si="24"/>
        <v>314.50833333333333</v>
      </c>
    </row>
    <row r="57" spans="1:30" ht="16.5">
      <c r="A57" s="4032">
        <v>3</v>
      </c>
      <c r="B57" s="4033">
        <v>1</v>
      </c>
      <c r="C57" s="4034" t="s">
        <v>4828</v>
      </c>
      <c r="D57" s="4035" t="s">
        <v>4891</v>
      </c>
      <c r="E57" s="4036" t="s">
        <v>4889</v>
      </c>
      <c r="F57" s="4037" t="s">
        <v>2930</v>
      </c>
      <c r="G57" s="4038">
        <v>188.24</v>
      </c>
      <c r="H57" s="4039">
        <v>43101</v>
      </c>
      <c r="I57" s="4039">
        <v>44926</v>
      </c>
      <c r="J57" s="4040">
        <f t="shared" si="15"/>
        <v>1826</v>
      </c>
      <c r="K57" s="4038">
        <f t="shared" si="16"/>
        <v>0</v>
      </c>
      <c r="L57" s="4041">
        <v>8.5</v>
      </c>
      <c r="M57" s="4041">
        <f t="shared" si="17"/>
        <v>258.54166666666669</v>
      </c>
      <c r="N57" s="4042">
        <v>0</v>
      </c>
      <c r="O57" s="4043">
        <v>43466</v>
      </c>
      <c r="P57" s="4044">
        <v>0.05</v>
      </c>
      <c r="Q57" s="4042">
        <f>IF(O57&lt;&gt;"N/A",ROUND(L57*(1+P57),2),0)</f>
        <v>8.93</v>
      </c>
      <c r="R57" s="4042">
        <f t="shared" si="18"/>
        <v>271.62083333333334</v>
      </c>
      <c r="S57" s="4043">
        <v>43831</v>
      </c>
      <c r="T57" s="4044">
        <v>0.05</v>
      </c>
      <c r="U57" s="4042">
        <f t="shared" si="19"/>
        <v>9.3800000000000008</v>
      </c>
      <c r="V57" s="4042">
        <f t="shared" si="20"/>
        <v>285.30833333333334</v>
      </c>
      <c r="W57" s="4043">
        <v>44197</v>
      </c>
      <c r="X57" s="4044">
        <v>0.05</v>
      </c>
      <c r="Y57" s="4042">
        <f t="shared" si="21"/>
        <v>9.85</v>
      </c>
      <c r="Z57" s="4042">
        <f t="shared" si="22"/>
        <v>299.60416666666669</v>
      </c>
      <c r="AA57" s="4043">
        <v>44562</v>
      </c>
      <c r="AB57" s="4044">
        <v>0.05</v>
      </c>
      <c r="AC57" s="4042">
        <f t="shared" si="23"/>
        <v>10.34</v>
      </c>
      <c r="AD57" s="4042">
        <f t="shared" si="24"/>
        <v>314.50833333333333</v>
      </c>
    </row>
    <row r="58" spans="1:30" ht="16.5">
      <c r="A58" s="4032">
        <v>4</v>
      </c>
      <c r="B58" s="4033">
        <v>1</v>
      </c>
      <c r="C58" s="4034" t="s">
        <v>4830</v>
      </c>
      <c r="D58" s="4035" t="s">
        <v>4892</v>
      </c>
      <c r="E58" s="4036" t="s">
        <v>4889</v>
      </c>
      <c r="F58" s="4037" t="s">
        <v>2930</v>
      </c>
      <c r="G58" s="4038">
        <v>188.24</v>
      </c>
      <c r="H58" s="4039">
        <v>43101</v>
      </c>
      <c r="I58" s="4039">
        <v>44926</v>
      </c>
      <c r="J58" s="4040">
        <f t="shared" si="15"/>
        <v>1826</v>
      </c>
      <c r="K58" s="4038">
        <f t="shared" si="16"/>
        <v>0</v>
      </c>
      <c r="L58" s="4041">
        <v>8.5</v>
      </c>
      <c r="M58" s="4041">
        <f t="shared" si="17"/>
        <v>258.54166666666669</v>
      </c>
      <c r="N58" s="4042">
        <v>0</v>
      </c>
      <c r="O58" s="4043">
        <v>43466</v>
      </c>
      <c r="P58" s="4044">
        <v>0.05</v>
      </c>
      <c r="Q58" s="4042">
        <f>IF(O58&lt;&gt;"N/A",ROUND(L58*(1+P58),2),0)</f>
        <v>8.93</v>
      </c>
      <c r="R58" s="4042">
        <f t="shared" si="18"/>
        <v>271.62083333333334</v>
      </c>
      <c r="S58" s="4043">
        <v>43831</v>
      </c>
      <c r="T58" s="4044">
        <v>0.05</v>
      </c>
      <c r="U58" s="4042">
        <f t="shared" si="19"/>
        <v>9.3800000000000008</v>
      </c>
      <c r="V58" s="4042">
        <f t="shared" si="20"/>
        <v>285.30833333333334</v>
      </c>
      <c r="W58" s="4043">
        <v>44197</v>
      </c>
      <c r="X58" s="4044">
        <v>0.05</v>
      </c>
      <c r="Y58" s="4042">
        <f t="shared" si="21"/>
        <v>9.85</v>
      </c>
      <c r="Z58" s="4042">
        <f t="shared" si="22"/>
        <v>299.60416666666669</v>
      </c>
      <c r="AA58" s="4043">
        <v>44562</v>
      </c>
      <c r="AB58" s="4044">
        <v>0.05</v>
      </c>
      <c r="AC58" s="4042">
        <f t="shared" si="23"/>
        <v>10.34</v>
      </c>
      <c r="AD58" s="4042">
        <f t="shared" si="24"/>
        <v>314.50833333333333</v>
      </c>
    </row>
    <row r="59" spans="1:30" ht="27.75">
      <c r="A59" s="4032">
        <v>5</v>
      </c>
      <c r="B59" s="4033">
        <v>1</v>
      </c>
      <c r="C59" s="4045" t="s">
        <v>4893</v>
      </c>
      <c r="D59" s="4035" t="s">
        <v>4894</v>
      </c>
      <c r="E59" s="4036" t="s">
        <v>4889</v>
      </c>
      <c r="F59" s="4037" t="s">
        <v>2930</v>
      </c>
      <c r="G59" s="4038">
        <v>278.18</v>
      </c>
      <c r="H59" s="4039">
        <v>43087</v>
      </c>
      <c r="I59" s="4039">
        <v>44912</v>
      </c>
      <c r="J59" s="4040">
        <f t="shared" si="15"/>
        <v>1826</v>
      </c>
      <c r="K59" s="4038">
        <f t="shared" si="16"/>
        <v>0</v>
      </c>
      <c r="L59" s="4041">
        <v>8.5</v>
      </c>
      <c r="M59" s="4041">
        <f t="shared" si="17"/>
        <v>258.54166666666669</v>
      </c>
      <c r="N59" s="4042">
        <v>0</v>
      </c>
      <c r="O59" s="4043">
        <v>43452</v>
      </c>
      <c r="P59" s="4044">
        <v>0.05</v>
      </c>
      <c r="Q59" s="4042">
        <f>IF(O59&lt;&gt;"N/A",ROUND(L59*(1+P59),2),0)</f>
        <v>8.93</v>
      </c>
      <c r="R59" s="4042">
        <f t="shared" si="18"/>
        <v>271.62083333333334</v>
      </c>
      <c r="S59" s="4043">
        <v>43817</v>
      </c>
      <c r="T59" s="4044">
        <v>0.05</v>
      </c>
      <c r="U59" s="4042">
        <f t="shared" si="19"/>
        <v>9.3800000000000008</v>
      </c>
      <c r="V59" s="4042">
        <f t="shared" si="20"/>
        <v>285.30833333333334</v>
      </c>
      <c r="W59" s="4043">
        <v>44183</v>
      </c>
      <c r="X59" s="4044">
        <v>0.05</v>
      </c>
      <c r="Y59" s="4042">
        <f t="shared" si="21"/>
        <v>9.85</v>
      </c>
      <c r="Z59" s="4042">
        <f t="shared" si="22"/>
        <v>299.60416666666669</v>
      </c>
      <c r="AA59" s="4043">
        <v>44548</v>
      </c>
      <c r="AB59" s="4044">
        <v>0.05</v>
      </c>
      <c r="AC59" s="4042">
        <f t="shared" si="23"/>
        <v>10.34</v>
      </c>
      <c r="AD59" s="4042">
        <f t="shared" si="24"/>
        <v>314.50833333333333</v>
      </c>
    </row>
    <row r="60" spans="1:30" ht="27.75">
      <c r="A60" s="4032">
        <v>6</v>
      </c>
      <c r="B60" s="4033">
        <v>1</v>
      </c>
      <c r="C60" s="4045" t="s">
        <v>4895</v>
      </c>
      <c r="D60" s="4035" t="s">
        <v>4896</v>
      </c>
      <c r="E60" s="4036" t="s">
        <v>4889</v>
      </c>
      <c r="F60" s="4037" t="s">
        <v>2930</v>
      </c>
      <c r="G60" s="4038">
        <v>425.96</v>
      </c>
      <c r="H60" s="4039">
        <v>42314</v>
      </c>
      <c r="I60" s="4039">
        <v>44201</v>
      </c>
      <c r="J60" s="4040">
        <f t="shared" si="15"/>
        <v>1888</v>
      </c>
      <c r="K60" s="4038">
        <f t="shared" si="16"/>
        <v>0</v>
      </c>
      <c r="L60" s="4041">
        <v>4.8</v>
      </c>
      <c r="M60" s="4041">
        <f t="shared" si="17"/>
        <v>146</v>
      </c>
      <c r="N60" s="4042">
        <v>0</v>
      </c>
      <c r="O60" s="4043">
        <v>43045</v>
      </c>
      <c r="P60" s="4044">
        <v>0.04</v>
      </c>
      <c r="Q60" s="4042">
        <v>5</v>
      </c>
      <c r="R60" s="4042">
        <f t="shared" si="18"/>
        <v>152.08333333333334</v>
      </c>
      <c r="S60" s="4043">
        <v>43410</v>
      </c>
      <c r="T60" s="4044">
        <v>0.04</v>
      </c>
      <c r="U60" s="4042">
        <f t="shared" si="19"/>
        <v>5.2</v>
      </c>
      <c r="V60" s="4042">
        <f t="shared" si="20"/>
        <v>158.16666666666666</v>
      </c>
      <c r="W60" s="4043">
        <v>43775</v>
      </c>
      <c r="X60" s="4044">
        <v>0.02</v>
      </c>
      <c r="Y60" s="4042">
        <f t="shared" si="21"/>
        <v>5.3</v>
      </c>
      <c r="Z60" s="4042">
        <f t="shared" si="22"/>
        <v>161.20833333333334</v>
      </c>
      <c r="AA60" s="4046" t="s">
        <v>4835</v>
      </c>
      <c r="AB60" s="4047"/>
      <c r="AC60" s="4042">
        <f t="shared" si="23"/>
        <v>0</v>
      </c>
      <c r="AD60" s="4042">
        <f t="shared" si="24"/>
        <v>0</v>
      </c>
    </row>
    <row r="61" spans="1:30" ht="16.5">
      <c r="A61" s="4032">
        <v>7</v>
      </c>
      <c r="B61" s="4033">
        <v>1</v>
      </c>
      <c r="C61" s="4048" t="s">
        <v>4836</v>
      </c>
      <c r="D61" s="4049" t="s">
        <v>4897</v>
      </c>
      <c r="E61" s="4046" t="s">
        <v>4898</v>
      </c>
      <c r="F61" s="4050" t="s">
        <v>4899</v>
      </c>
      <c r="G61" s="4042">
        <v>1089.1099999999999</v>
      </c>
      <c r="H61" s="4043">
        <v>43252</v>
      </c>
      <c r="I61" s="4043">
        <v>44347</v>
      </c>
      <c r="J61" s="4033">
        <f t="shared" si="15"/>
        <v>1096</v>
      </c>
      <c r="K61" s="4038">
        <f t="shared" si="16"/>
        <v>0</v>
      </c>
      <c r="L61" s="4041">
        <v>6.2</v>
      </c>
      <c r="M61" s="4041">
        <f t="shared" si="17"/>
        <v>188.58333333333334</v>
      </c>
      <c r="N61" s="4042">
        <v>0</v>
      </c>
      <c r="O61" s="4043">
        <v>43617</v>
      </c>
      <c r="P61" s="4044">
        <v>0.05</v>
      </c>
      <c r="Q61" s="4042">
        <f t="shared" ref="Q61:Q72" si="25">IF(O61&lt;&gt;"N/A",ROUND(L61*(1+P61),2),0)</f>
        <v>6.51</v>
      </c>
      <c r="R61" s="4042">
        <f t="shared" si="18"/>
        <v>198.01250000000002</v>
      </c>
      <c r="S61" s="4043">
        <v>43983</v>
      </c>
      <c r="T61" s="4044">
        <v>0.05</v>
      </c>
      <c r="U61" s="4042">
        <f t="shared" si="19"/>
        <v>6.84</v>
      </c>
      <c r="V61" s="4042">
        <f t="shared" si="20"/>
        <v>208.04999999999998</v>
      </c>
      <c r="W61" s="4046" t="s">
        <v>4835</v>
      </c>
      <c r="X61" s="4047"/>
      <c r="Y61" s="4042">
        <f t="shared" si="21"/>
        <v>0</v>
      </c>
      <c r="Z61" s="4042">
        <f t="shared" si="22"/>
        <v>0</v>
      </c>
      <c r="AA61" s="4046" t="s">
        <v>4835</v>
      </c>
      <c r="AB61" s="4047"/>
      <c r="AC61" s="4042">
        <f t="shared" si="23"/>
        <v>0</v>
      </c>
      <c r="AD61" s="4042">
        <f t="shared" si="24"/>
        <v>0</v>
      </c>
    </row>
    <row r="62" spans="1:30" ht="16.5">
      <c r="A62" s="4032">
        <v>8</v>
      </c>
      <c r="B62" s="4033">
        <v>1</v>
      </c>
      <c r="C62" s="4034" t="s">
        <v>4839</v>
      </c>
      <c r="D62" s="4051" t="s">
        <v>4900</v>
      </c>
      <c r="E62" s="4046" t="s">
        <v>4898</v>
      </c>
      <c r="F62" s="4050" t="s">
        <v>2929</v>
      </c>
      <c r="G62" s="4042">
        <v>36.29</v>
      </c>
      <c r="H62" s="4043">
        <v>43282</v>
      </c>
      <c r="I62" s="4043">
        <v>44012</v>
      </c>
      <c r="J62" s="4033">
        <f t="shared" si="15"/>
        <v>731</v>
      </c>
      <c r="K62" s="4038">
        <f t="shared" si="16"/>
        <v>0</v>
      </c>
      <c r="L62" s="4041">
        <v>6.5</v>
      </c>
      <c r="M62" s="4041">
        <f t="shared" si="17"/>
        <v>197.70833333333334</v>
      </c>
      <c r="N62" s="4042">
        <v>0</v>
      </c>
      <c r="O62" s="4043">
        <v>43647</v>
      </c>
      <c r="P62" s="4044">
        <v>0.05</v>
      </c>
      <c r="Q62" s="4042">
        <f t="shared" si="25"/>
        <v>6.83</v>
      </c>
      <c r="R62" s="4042">
        <f t="shared" si="18"/>
        <v>207.74583333333331</v>
      </c>
      <c r="S62" s="4046" t="s">
        <v>4835</v>
      </c>
      <c r="T62" s="4047"/>
      <c r="U62" s="4042">
        <f t="shared" si="19"/>
        <v>0</v>
      </c>
      <c r="V62" s="4042">
        <f t="shared" si="20"/>
        <v>0</v>
      </c>
      <c r="W62" s="4046" t="s">
        <v>4835</v>
      </c>
      <c r="X62" s="4047"/>
      <c r="Y62" s="4042">
        <f t="shared" si="21"/>
        <v>0</v>
      </c>
      <c r="Z62" s="4042">
        <f t="shared" si="22"/>
        <v>0</v>
      </c>
      <c r="AA62" s="4046" t="s">
        <v>4835</v>
      </c>
      <c r="AB62" s="4047"/>
      <c r="AC62" s="4042">
        <f t="shared" si="23"/>
        <v>0</v>
      </c>
      <c r="AD62" s="4042">
        <f t="shared" si="24"/>
        <v>0</v>
      </c>
    </row>
    <row r="63" spans="1:30" ht="16.5">
      <c r="A63" s="4032">
        <v>9</v>
      </c>
      <c r="B63" s="4033">
        <v>1</v>
      </c>
      <c r="C63" s="4034" t="s">
        <v>4841</v>
      </c>
      <c r="D63" s="4052" t="s">
        <v>4901</v>
      </c>
      <c r="E63" s="4036" t="s">
        <v>4889</v>
      </c>
      <c r="F63" s="4037" t="s">
        <v>2930</v>
      </c>
      <c r="G63" s="4038">
        <v>80.150000000000006</v>
      </c>
      <c r="H63" s="4039">
        <v>43318</v>
      </c>
      <c r="I63" s="4039">
        <v>44413</v>
      </c>
      <c r="J63" s="4040">
        <f t="shared" si="15"/>
        <v>1096</v>
      </c>
      <c r="K63" s="4038">
        <f t="shared" si="16"/>
        <v>0</v>
      </c>
      <c r="L63" s="4041">
        <v>10</v>
      </c>
      <c r="M63" s="4041">
        <f t="shared" si="17"/>
        <v>304.16666666666669</v>
      </c>
      <c r="N63" s="4042">
        <v>0</v>
      </c>
      <c r="O63" s="4043">
        <v>43683</v>
      </c>
      <c r="P63" s="4044">
        <v>0.05</v>
      </c>
      <c r="Q63" s="4042">
        <f t="shared" si="25"/>
        <v>10.5</v>
      </c>
      <c r="R63" s="4042">
        <f t="shared" si="18"/>
        <v>319.375</v>
      </c>
      <c r="S63" s="4043">
        <v>44049</v>
      </c>
      <c r="T63" s="4044">
        <v>0.05</v>
      </c>
      <c r="U63" s="4042">
        <f t="shared" si="19"/>
        <v>11.03</v>
      </c>
      <c r="V63" s="4042">
        <f t="shared" si="20"/>
        <v>335.49583333333334</v>
      </c>
      <c r="W63" s="4046" t="s">
        <v>4835</v>
      </c>
      <c r="X63" s="4047"/>
      <c r="Y63" s="4042">
        <f t="shared" si="21"/>
        <v>0</v>
      </c>
      <c r="Z63" s="4042">
        <f t="shared" si="22"/>
        <v>0</v>
      </c>
      <c r="AA63" s="4046" t="s">
        <v>4835</v>
      </c>
      <c r="AB63" s="4047"/>
      <c r="AC63" s="4042">
        <f t="shared" si="23"/>
        <v>0</v>
      </c>
      <c r="AD63" s="4042">
        <f t="shared" si="24"/>
        <v>0</v>
      </c>
    </row>
    <row r="64" spans="1:30" ht="16.5">
      <c r="A64" s="4032">
        <v>10</v>
      </c>
      <c r="B64" s="4033">
        <v>2</v>
      </c>
      <c r="C64" s="4034" t="s">
        <v>4843</v>
      </c>
      <c r="D64" s="4049" t="s">
        <v>4902</v>
      </c>
      <c r="E64" s="4046" t="s">
        <v>4903</v>
      </c>
      <c r="F64" s="4050" t="s">
        <v>2929</v>
      </c>
      <c r="G64" s="4042">
        <v>213.01</v>
      </c>
      <c r="H64" s="4043">
        <v>43167</v>
      </c>
      <c r="I64" s="4043">
        <v>43897</v>
      </c>
      <c r="J64" s="4033">
        <f t="shared" si="15"/>
        <v>731</v>
      </c>
      <c r="K64" s="4038">
        <f t="shared" si="16"/>
        <v>0</v>
      </c>
      <c r="L64" s="4041">
        <v>6.3</v>
      </c>
      <c r="M64" s="4041">
        <f t="shared" si="17"/>
        <v>191.625</v>
      </c>
      <c r="N64" s="4042">
        <v>0</v>
      </c>
      <c r="O64" s="4043">
        <v>43532</v>
      </c>
      <c r="P64" s="4044">
        <v>0.05</v>
      </c>
      <c r="Q64" s="4042">
        <f t="shared" si="25"/>
        <v>6.62</v>
      </c>
      <c r="R64" s="4042">
        <f t="shared" si="18"/>
        <v>201.35833333333335</v>
      </c>
      <c r="S64" s="4046" t="s">
        <v>4835</v>
      </c>
      <c r="T64" s="4047"/>
      <c r="U64" s="4042">
        <f t="shared" si="19"/>
        <v>0</v>
      </c>
      <c r="V64" s="4042">
        <f t="shared" si="20"/>
        <v>0</v>
      </c>
      <c r="W64" s="4046" t="s">
        <v>4835</v>
      </c>
      <c r="X64" s="4047"/>
      <c r="Y64" s="4042">
        <f t="shared" si="21"/>
        <v>0</v>
      </c>
      <c r="Z64" s="4042">
        <f t="shared" si="22"/>
        <v>0</v>
      </c>
      <c r="AA64" s="4046" t="s">
        <v>4835</v>
      </c>
      <c r="AB64" s="4047"/>
      <c r="AC64" s="4042">
        <f t="shared" si="23"/>
        <v>0</v>
      </c>
      <c r="AD64" s="4042">
        <f t="shared" si="24"/>
        <v>0</v>
      </c>
    </row>
    <row r="65" spans="1:30" ht="27.75">
      <c r="A65" s="4032">
        <v>11</v>
      </c>
      <c r="B65" s="4033">
        <v>2</v>
      </c>
      <c r="C65" s="4045" t="s">
        <v>4904</v>
      </c>
      <c r="D65" s="4049" t="s">
        <v>4905</v>
      </c>
      <c r="E65" s="4046" t="s">
        <v>4903</v>
      </c>
      <c r="F65" s="4050" t="s">
        <v>2929</v>
      </c>
      <c r="G65" s="4042">
        <v>384.1</v>
      </c>
      <c r="H65" s="4043">
        <v>43085</v>
      </c>
      <c r="I65" s="4043">
        <v>44180</v>
      </c>
      <c r="J65" s="4033">
        <f t="shared" si="15"/>
        <v>1096</v>
      </c>
      <c r="K65" s="4038">
        <f t="shared" si="16"/>
        <v>0</v>
      </c>
      <c r="L65" s="4041">
        <v>6</v>
      </c>
      <c r="M65" s="4041">
        <f t="shared" si="17"/>
        <v>182.5</v>
      </c>
      <c r="N65" s="4042">
        <v>0</v>
      </c>
      <c r="O65" s="4043">
        <v>43450</v>
      </c>
      <c r="P65" s="4044">
        <v>4.1000000000000002E-2</v>
      </c>
      <c r="Q65" s="4042">
        <f t="shared" si="25"/>
        <v>6.25</v>
      </c>
      <c r="R65" s="4042">
        <f t="shared" si="18"/>
        <v>190.10416666666666</v>
      </c>
      <c r="S65" s="4043">
        <v>43815</v>
      </c>
      <c r="T65" s="4044">
        <v>0.04</v>
      </c>
      <c r="U65" s="4042">
        <f t="shared" si="19"/>
        <v>6.5</v>
      </c>
      <c r="V65" s="4042">
        <f t="shared" si="20"/>
        <v>197.70833333333334</v>
      </c>
      <c r="W65" s="4046" t="s">
        <v>4835</v>
      </c>
      <c r="X65" s="4047"/>
      <c r="Y65" s="4042">
        <f t="shared" si="21"/>
        <v>0</v>
      </c>
      <c r="Z65" s="4042">
        <f t="shared" si="22"/>
        <v>0</v>
      </c>
      <c r="AA65" s="4046" t="s">
        <v>4835</v>
      </c>
      <c r="AB65" s="4047"/>
      <c r="AC65" s="4042">
        <f t="shared" si="23"/>
        <v>0</v>
      </c>
      <c r="AD65" s="4042">
        <f t="shared" si="24"/>
        <v>0</v>
      </c>
    </row>
    <row r="66" spans="1:30" ht="16.5">
      <c r="A66" s="4032">
        <v>12</v>
      </c>
      <c r="B66" s="4033">
        <v>2</v>
      </c>
      <c r="C66" s="4034" t="s">
        <v>4848</v>
      </c>
      <c r="D66" s="4049" t="s">
        <v>4906</v>
      </c>
      <c r="E66" s="4046" t="s">
        <v>4903</v>
      </c>
      <c r="F66" s="4050" t="s">
        <v>2929</v>
      </c>
      <c r="G66" s="4042">
        <v>192.05</v>
      </c>
      <c r="H66" s="4043">
        <v>43175</v>
      </c>
      <c r="I66" s="4043">
        <v>44180</v>
      </c>
      <c r="J66" s="4033">
        <f t="shared" si="15"/>
        <v>1006</v>
      </c>
      <c r="K66" s="4038">
        <f t="shared" si="16"/>
        <v>0</v>
      </c>
      <c r="L66" s="4041">
        <v>6</v>
      </c>
      <c r="M66" s="4041">
        <f t="shared" si="17"/>
        <v>182.5</v>
      </c>
      <c r="N66" s="4042">
        <v>0</v>
      </c>
      <c r="O66" s="4043">
        <v>43450</v>
      </c>
      <c r="P66" s="4044">
        <v>4.1000000000000002E-2</v>
      </c>
      <c r="Q66" s="4042">
        <f t="shared" si="25"/>
        <v>6.25</v>
      </c>
      <c r="R66" s="4042">
        <f t="shared" si="18"/>
        <v>190.10416666666666</v>
      </c>
      <c r="S66" s="4043">
        <v>43815</v>
      </c>
      <c r="T66" s="4044">
        <v>0.04</v>
      </c>
      <c r="U66" s="4042">
        <f t="shared" si="19"/>
        <v>6.5</v>
      </c>
      <c r="V66" s="4042">
        <f t="shared" si="20"/>
        <v>197.70833333333334</v>
      </c>
      <c r="W66" s="4046" t="s">
        <v>4835</v>
      </c>
      <c r="X66" s="4047"/>
      <c r="Y66" s="4042">
        <f t="shared" si="21"/>
        <v>0</v>
      </c>
      <c r="Z66" s="4042">
        <f t="shared" si="22"/>
        <v>0</v>
      </c>
      <c r="AA66" s="4046" t="s">
        <v>4835</v>
      </c>
      <c r="AB66" s="4047"/>
      <c r="AC66" s="4042">
        <f t="shared" si="23"/>
        <v>0</v>
      </c>
      <c r="AD66" s="4042">
        <f t="shared" si="24"/>
        <v>0</v>
      </c>
    </row>
    <row r="67" spans="1:30" ht="16.5">
      <c r="A67" s="4032">
        <v>13</v>
      </c>
      <c r="B67" s="4033">
        <v>2</v>
      </c>
      <c r="C67" s="4034" t="s">
        <v>4850</v>
      </c>
      <c r="D67" s="4049" t="s">
        <v>4907</v>
      </c>
      <c r="E67" s="4046" t="s">
        <v>4908</v>
      </c>
      <c r="F67" s="4050" t="s">
        <v>2929</v>
      </c>
      <c r="G67" s="4042">
        <v>192.05</v>
      </c>
      <c r="H67" s="4043">
        <v>43293</v>
      </c>
      <c r="I67" s="4043">
        <v>44023</v>
      </c>
      <c r="J67" s="4033">
        <f t="shared" si="15"/>
        <v>731</v>
      </c>
      <c r="K67" s="4038">
        <f t="shared" si="16"/>
        <v>0</v>
      </c>
      <c r="L67" s="4041">
        <v>6.8</v>
      </c>
      <c r="M67" s="4041">
        <f t="shared" si="17"/>
        <v>206.83333333333334</v>
      </c>
      <c r="N67" s="4042">
        <v>0</v>
      </c>
      <c r="O67" s="4043">
        <v>43658</v>
      </c>
      <c r="P67" s="4044">
        <v>0.05</v>
      </c>
      <c r="Q67" s="4042">
        <f t="shared" si="25"/>
        <v>7.14</v>
      </c>
      <c r="R67" s="4042">
        <f t="shared" si="18"/>
        <v>217.17499999999998</v>
      </c>
      <c r="S67" s="4046" t="s">
        <v>4835</v>
      </c>
      <c r="T67" s="4044"/>
      <c r="U67" s="4042">
        <f t="shared" si="19"/>
        <v>0</v>
      </c>
      <c r="V67" s="4042">
        <f t="shared" si="20"/>
        <v>0</v>
      </c>
      <c r="W67" s="4046" t="s">
        <v>4835</v>
      </c>
      <c r="X67" s="4047"/>
      <c r="Y67" s="4042">
        <f t="shared" si="21"/>
        <v>0</v>
      </c>
      <c r="Z67" s="4042">
        <f t="shared" si="22"/>
        <v>0</v>
      </c>
      <c r="AA67" s="4046" t="s">
        <v>4835</v>
      </c>
      <c r="AB67" s="4047"/>
      <c r="AC67" s="4042">
        <f t="shared" si="23"/>
        <v>0</v>
      </c>
      <c r="AD67" s="4042">
        <f t="shared" si="24"/>
        <v>0</v>
      </c>
    </row>
    <row r="68" spans="1:30" ht="16.5">
      <c r="A68" s="4032">
        <v>14</v>
      </c>
      <c r="B68" s="4033">
        <v>2</v>
      </c>
      <c r="C68" s="4034" t="s">
        <v>4853</v>
      </c>
      <c r="D68" s="4049" t="s">
        <v>4909</v>
      </c>
      <c r="E68" s="4046" t="s">
        <v>4908</v>
      </c>
      <c r="F68" s="4050" t="s">
        <v>2929</v>
      </c>
      <c r="G68" s="4042">
        <v>192.05</v>
      </c>
      <c r="H68" s="4043">
        <v>43110</v>
      </c>
      <c r="I68" s="4043">
        <v>43839</v>
      </c>
      <c r="J68" s="4033">
        <f t="shared" si="15"/>
        <v>730</v>
      </c>
      <c r="K68" s="4038">
        <f t="shared" si="16"/>
        <v>0</v>
      </c>
      <c r="L68" s="4041">
        <v>6.2</v>
      </c>
      <c r="M68" s="4041">
        <f t="shared" si="17"/>
        <v>188.58333333333334</v>
      </c>
      <c r="N68" s="4042">
        <v>0</v>
      </c>
      <c r="O68" s="4043">
        <v>43475</v>
      </c>
      <c r="P68" s="4044">
        <v>0.04</v>
      </c>
      <c r="Q68" s="4042">
        <f t="shared" si="25"/>
        <v>6.45</v>
      </c>
      <c r="R68" s="4042">
        <f t="shared" si="18"/>
        <v>196.1875</v>
      </c>
      <c r="S68" s="4046" t="s">
        <v>4835</v>
      </c>
      <c r="T68" s="4044"/>
      <c r="U68" s="4042">
        <f t="shared" si="19"/>
        <v>0</v>
      </c>
      <c r="V68" s="4042">
        <f t="shared" si="20"/>
        <v>0</v>
      </c>
      <c r="W68" s="4046" t="s">
        <v>4835</v>
      </c>
      <c r="X68" s="4047"/>
      <c r="Y68" s="4042">
        <f t="shared" si="21"/>
        <v>0</v>
      </c>
      <c r="Z68" s="4042">
        <f t="shared" si="22"/>
        <v>0</v>
      </c>
      <c r="AA68" s="4046" t="s">
        <v>4835</v>
      </c>
      <c r="AB68" s="4047"/>
      <c r="AC68" s="4042">
        <f t="shared" si="23"/>
        <v>0</v>
      </c>
      <c r="AD68" s="4042">
        <f t="shared" si="24"/>
        <v>0</v>
      </c>
    </row>
    <row r="69" spans="1:30">
      <c r="A69" s="4032">
        <v>15</v>
      </c>
      <c r="B69" s="4033">
        <v>2</v>
      </c>
      <c r="C69" s="4034" t="s">
        <v>4857</v>
      </c>
      <c r="D69" s="4049" t="s">
        <v>4858</v>
      </c>
      <c r="E69" s="4046" t="s">
        <v>4859</v>
      </c>
      <c r="F69" s="4050" t="s">
        <v>2929</v>
      </c>
      <c r="G69" s="4042">
        <v>917.41</v>
      </c>
      <c r="H69" s="4043">
        <v>43693</v>
      </c>
      <c r="I69" s="4043">
        <v>44423</v>
      </c>
      <c r="J69" s="4033">
        <f t="shared" si="15"/>
        <v>731</v>
      </c>
      <c r="K69" s="4038">
        <f t="shared" si="16"/>
        <v>0</v>
      </c>
      <c r="L69" s="4041">
        <v>6.6</v>
      </c>
      <c r="M69" s="4041">
        <f t="shared" si="17"/>
        <v>200.75</v>
      </c>
      <c r="N69" s="4042">
        <v>0</v>
      </c>
      <c r="O69" s="4043">
        <v>44059</v>
      </c>
      <c r="P69" s="4044">
        <v>4.4999999999999998E-2</v>
      </c>
      <c r="Q69" s="4042">
        <f t="shared" si="25"/>
        <v>6.9</v>
      </c>
      <c r="R69" s="4042">
        <f t="shared" si="18"/>
        <v>209.875</v>
      </c>
      <c r="S69" s="4046" t="s">
        <v>4835</v>
      </c>
      <c r="T69" s="4044"/>
      <c r="U69" s="4042">
        <f t="shared" si="19"/>
        <v>0</v>
      </c>
      <c r="V69" s="4042">
        <f t="shared" si="20"/>
        <v>0</v>
      </c>
      <c r="W69" s="4046" t="s">
        <v>4835</v>
      </c>
      <c r="X69" s="4047"/>
      <c r="Y69" s="4042">
        <f t="shared" si="21"/>
        <v>0</v>
      </c>
      <c r="Z69" s="4042">
        <f t="shared" si="22"/>
        <v>0</v>
      </c>
      <c r="AA69" s="4046" t="s">
        <v>4835</v>
      </c>
      <c r="AB69" s="4047"/>
      <c r="AC69" s="4042">
        <f t="shared" si="23"/>
        <v>0</v>
      </c>
      <c r="AD69" s="4042">
        <f t="shared" si="24"/>
        <v>0</v>
      </c>
    </row>
    <row r="70" spans="1:30">
      <c r="A70" s="4032">
        <v>16</v>
      </c>
      <c r="B70" s="4033">
        <v>2</v>
      </c>
      <c r="C70" s="4045" t="s">
        <v>4910</v>
      </c>
      <c r="D70" s="4049" t="s">
        <v>4911</v>
      </c>
      <c r="E70" s="4046" t="s">
        <v>4903</v>
      </c>
      <c r="F70" s="4050" t="s">
        <v>2929</v>
      </c>
      <c r="G70" s="4042">
        <v>75</v>
      </c>
      <c r="H70" s="4043">
        <v>43768</v>
      </c>
      <c r="I70" s="4043">
        <v>44498</v>
      </c>
      <c r="J70" s="4033">
        <f t="shared" si="15"/>
        <v>731</v>
      </c>
      <c r="K70" s="4038">
        <f t="shared" si="16"/>
        <v>0</v>
      </c>
      <c r="L70" s="4041">
        <v>7.2</v>
      </c>
      <c r="M70" s="4041">
        <f t="shared" si="17"/>
        <v>219</v>
      </c>
      <c r="N70" s="4042">
        <v>0</v>
      </c>
      <c r="O70" s="4043">
        <v>44134</v>
      </c>
      <c r="P70" s="4044">
        <v>0.05</v>
      </c>
      <c r="Q70" s="4042">
        <f t="shared" si="25"/>
        <v>7.56</v>
      </c>
      <c r="R70" s="4042">
        <f t="shared" si="18"/>
        <v>229.94999999999996</v>
      </c>
      <c r="S70" s="4046" t="s">
        <v>4835</v>
      </c>
      <c r="T70" s="4047"/>
      <c r="U70" s="4042">
        <f t="shared" si="19"/>
        <v>0</v>
      </c>
      <c r="V70" s="4042">
        <f t="shared" si="20"/>
        <v>0</v>
      </c>
      <c r="W70" s="4046" t="s">
        <v>4835</v>
      </c>
      <c r="X70" s="4047"/>
      <c r="Y70" s="4042">
        <f t="shared" si="21"/>
        <v>0</v>
      </c>
      <c r="Z70" s="4042">
        <f t="shared" si="22"/>
        <v>0</v>
      </c>
      <c r="AA70" s="4046" t="s">
        <v>4835</v>
      </c>
      <c r="AB70" s="4047"/>
      <c r="AC70" s="4042">
        <f t="shared" si="23"/>
        <v>0</v>
      </c>
      <c r="AD70" s="4042">
        <f t="shared" si="24"/>
        <v>0</v>
      </c>
    </row>
    <row r="71" spans="1:30" ht="16.5">
      <c r="A71" s="4032">
        <v>17</v>
      </c>
      <c r="B71" s="4033">
        <v>2</v>
      </c>
      <c r="C71" s="4045" t="s">
        <v>4862</v>
      </c>
      <c r="D71" s="4049" t="s">
        <v>4912</v>
      </c>
      <c r="E71" s="4046" t="s">
        <v>4903</v>
      </c>
      <c r="F71" s="4050" t="s">
        <v>2929</v>
      </c>
      <c r="G71" s="4042">
        <v>260.01</v>
      </c>
      <c r="H71" s="4043">
        <v>43778</v>
      </c>
      <c r="I71" s="4043">
        <v>44508</v>
      </c>
      <c r="J71" s="4033">
        <f t="shared" si="15"/>
        <v>731</v>
      </c>
      <c r="K71" s="4038">
        <f t="shared" si="16"/>
        <v>0</v>
      </c>
      <c r="L71" s="4041">
        <v>6.8</v>
      </c>
      <c r="M71" s="4041">
        <f t="shared" si="17"/>
        <v>206.83333333333334</v>
      </c>
      <c r="N71" s="4042">
        <v>0</v>
      </c>
      <c r="O71" s="4043">
        <v>44144</v>
      </c>
      <c r="P71" s="4044">
        <v>0.05</v>
      </c>
      <c r="Q71" s="4042">
        <f t="shared" si="25"/>
        <v>7.14</v>
      </c>
      <c r="R71" s="4042">
        <f t="shared" si="18"/>
        <v>217.17499999999998</v>
      </c>
      <c r="S71" s="4046" t="s">
        <v>4835</v>
      </c>
      <c r="T71" s="4044"/>
      <c r="U71" s="4042">
        <f t="shared" si="19"/>
        <v>0</v>
      </c>
      <c r="V71" s="4042">
        <f t="shared" si="20"/>
        <v>0</v>
      </c>
      <c r="W71" s="4046" t="s">
        <v>4835</v>
      </c>
      <c r="X71" s="4047"/>
      <c r="Y71" s="4042">
        <f t="shared" si="21"/>
        <v>0</v>
      </c>
      <c r="Z71" s="4042">
        <f t="shared" si="22"/>
        <v>0</v>
      </c>
      <c r="AA71" s="4046" t="s">
        <v>4835</v>
      </c>
      <c r="AB71" s="4047"/>
      <c r="AC71" s="4042">
        <f t="shared" si="23"/>
        <v>0</v>
      </c>
      <c r="AD71" s="4042">
        <f t="shared" si="24"/>
        <v>0</v>
      </c>
    </row>
    <row r="72" spans="1:30" ht="16.5">
      <c r="A72" s="4032">
        <v>18</v>
      </c>
      <c r="B72" s="4033">
        <v>2</v>
      </c>
      <c r="C72" s="4034" t="s">
        <v>4864</v>
      </c>
      <c r="D72" s="4049" t="s">
        <v>4913</v>
      </c>
      <c r="E72" s="4046" t="s">
        <v>4903</v>
      </c>
      <c r="F72" s="4050" t="s">
        <v>2929</v>
      </c>
      <c r="G72" s="4042">
        <v>101</v>
      </c>
      <c r="H72" s="4043">
        <v>43696</v>
      </c>
      <c r="I72" s="4043">
        <v>44061</v>
      </c>
      <c r="J72" s="4033">
        <f t="shared" si="15"/>
        <v>366</v>
      </c>
      <c r="K72" s="4038">
        <f t="shared" si="16"/>
        <v>0</v>
      </c>
      <c r="L72" s="4041">
        <v>6.8</v>
      </c>
      <c r="M72" s="4041">
        <f t="shared" si="17"/>
        <v>206.83333333333334</v>
      </c>
      <c r="N72" s="4042">
        <v>0</v>
      </c>
      <c r="O72" s="4046" t="s">
        <v>4835</v>
      </c>
      <c r="P72" s="4044"/>
      <c r="Q72" s="4042">
        <f t="shared" si="25"/>
        <v>0</v>
      </c>
      <c r="R72" s="4042">
        <f t="shared" si="18"/>
        <v>0</v>
      </c>
      <c r="S72" s="4046" t="s">
        <v>4835</v>
      </c>
      <c r="T72" s="4044"/>
      <c r="U72" s="4042">
        <f t="shared" si="19"/>
        <v>0</v>
      </c>
      <c r="V72" s="4042">
        <f t="shared" si="20"/>
        <v>0</v>
      </c>
      <c r="W72" s="4046" t="s">
        <v>4835</v>
      </c>
      <c r="X72" s="4047"/>
      <c r="Y72" s="4042">
        <f t="shared" si="21"/>
        <v>0</v>
      </c>
      <c r="Z72" s="4042">
        <f t="shared" si="22"/>
        <v>0</v>
      </c>
      <c r="AA72" s="4046" t="s">
        <v>4835</v>
      </c>
      <c r="AB72" s="4047"/>
      <c r="AC72" s="4042">
        <f t="shared" si="23"/>
        <v>0</v>
      </c>
      <c r="AD72" s="4042">
        <f t="shared" si="24"/>
        <v>0</v>
      </c>
    </row>
    <row r="75" spans="1:30">
      <c r="A75" s="4076">
        <v>2020</v>
      </c>
    </row>
    <row r="77" spans="1:30">
      <c r="A77" s="4750" t="s">
        <v>4802</v>
      </c>
      <c r="B77" s="4750"/>
      <c r="C77" s="4750"/>
      <c r="D77" s="4750"/>
      <c r="E77" s="4750"/>
      <c r="F77" s="4750"/>
      <c r="G77" s="4750"/>
      <c r="H77" s="4750" t="s">
        <v>4866</v>
      </c>
      <c r="I77" s="4750"/>
      <c r="J77" s="4750"/>
      <c r="K77" s="4026" t="s">
        <v>4867</v>
      </c>
      <c r="L77" s="4750" t="s">
        <v>4868</v>
      </c>
      <c r="M77" s="4750"/>
      <c r="N77" s="4750"/>
      <c r="O77" s="4750" t="s">
        <v>4869</v>
      </c>
      <c r="P77" s="4750"/>
      <c r="Q77" s="4750"/>
      <c r="R77" s="4750"/>
      <c r="S77" s="4750"/>
      <c r="T77" s="4750"/>
      <c r="U77" s="4750"/>
      <c r="V77" s="4750"/>
      <c r="W77" s="4750"/>
      <c r="X77" s="4750"/>
      <c r="Y77" s="4750"/>
      <c r="Z77" s="4750"/>
      <c r="AA77" s="4750"/>
      <c r="AB77" s="4750"/>
      <c r="AC77" s="4027"/>
      <c r="AD77" s="4027"/>
    </row>
    <row r="78" spans="1:30" ht="33">
      <c r="A78" s="4057" t="s">
        <v>2745</v>
      </c>
      <c r="B78" s="4057" t="s">
        <v>4567</v>
      </c>
      <c r="C78" s="4057" t="s">
        <v>4806</v>
      </c>
      <c r="D78" s="4057" t="s">
        <v>4569</v>
      </c>
      <c r="E78" s="4057" t="s">
        <v>4807</v>
      </c>
      <c r="F78" s="4057" t="s">
        <v>4808</v>
      </c>
      <c r="G78" s="4057" t="s">
        <v>4914</v>
      </c>
      <c r="H78" s="4058" t="s">
        <v>4810</v>
      </c>
      <c r="I78" s="4058" t="s">
        <v>4503</v>
      </c>
      <c r="J78" s="4057" t="s">
        <v>4811</v>
      </c>
      <c r="K78" s="4057" t="s">
        <v>4812</v>
      </c>
      <c r="L78" s="4057" t="s">
        <v>4915</v>
      </c>
      <c r="M78" s="4057" t="s">
        <v>4814</v>
      </c>
      <c r="N78" s="4057" t="s">
        <v>4815</v>
      </c>
      <c r="O78" s="4057" t="s">
        <v>4816</v>
      </c>
      <c r="P78" s="4059" t="s">
        <v>4916</v>
      </c>
      <c r="Q78" s="4057" t="s">
        <v>4818</v>
      </c>
      <c r="R78" s="4057" t="s">
        <v>4819</v>
      </c>
      <c r="S78" s="4057" t="s">
        <v>4820</v>
      </c>
      <c r="T78" s="4057" t="s">
        <v>4916</v>
      </c>
      <c r="U78" s="4057" t="s">
        <v>4818</v>
      </c>
      <c r="V78" s="4057" t="s">
        <v>4819</v>
      </c>
      <c r="W78" s="4057" t="s">
        <v>4821</v>
      </c>
      <c r="X78" s="4057" t="s">
        <v>4916</v>
      </c>
      <c r="Y78" s="4057" t="s">
        <v>4818</v>
      </c>
      <c r="Z78" s="4057" t="s">
        <v>4819</v>
      </c>
      <c r="AA78" s="4057" t="s">
        <v>4822</v>
      </c>
      <c r="AB78" s="4057" t="s">
        <v>4916</v>
      </c>
      <c r="AC78" s="4057" t="s">
        <v>4818</v>
      </c>
      <c r="AD78" s="4057" t="s">
        <v>4819</v>
      </c>
    </row>
    <row r="79" spans="1:30" ht="18">
      <c r="A79" s="4060">
        <v>1</v>
      </c>
      <c r="B79" s="4061">
        <v>1</v>
      </c>
      <c r="C79" s="4062" t="s">
        <v>4823</v>
      </c>
      <c r="D79" s="4093" t="s">
        <v>4824</v>
      </c>
      <c r="E79" s="4063" t="s">
        <v>4825</v>
      </c>
      <c r="F79" s="4064" t="s">
        <v>2930</v>
      </c>
      <c r="G79" s="4065">
        <v>205.88</v>
      </c>
      <c r="H79" s="4066">
        <v>43252</v>
      </c>
      <c r="I79" s="4066">
        <v>45077</v>
      </c>
      <c r="J79" s="4067">
        <f t="shared" ref="J79:J91" si="26">+I79-H79+1</f>
        <v>1826</v>
      </c>
      <c r="K79" s="4065">
        <f t="shared" ref="K79:K91" si="27">IF($D$3&lt;H79,0,IF($D$3&lt;O79,L79,IF($D$3&lt;S79,Q79,IF($D$3&lt;W79,U79,IF($D$3&lt;AA79,Y79,AC79)))))</f>
        <v>0</v>
      </c>
      <c r="L79" s="4068">
        <v>8.5</v>
      </c>
      <c r="M79" s="4068">
        <f t="shared" ref="M79:M91" si="28">L79*365/12</f>
        <v>258.54166666666669</v>
      </c>
      <c r="N79" s="4069">
        <v>0</v>
      </c>
      <c r="O79" s="4070">
        <v>43617</v>
      </c>
      <c r="P79" s="4071">
        <v>0.05</v>
      </c>
      <c r="Q79" s="4069">
        <f>IF(O79&lt;&gt;"N/A",ROUND(L79*(1+P79),2),0)</f>
        <v>8.93</v>
      </c>
      <c r="R79" s="4069">
        <f t="shared" ref="R79:R91" si="29">Q79*365/12</f>
        <v>271.62083333333334</v>
      </c>
      <c r="S79" s="4070">
        <v>43983</v>
      </c>
      <c r="T79" s="4071">
        <v>0.05</v>
      </c>
      <c r="U79" s="4069">
        <f t="shared" ref="U79:U91" si="30">IF(S79&lt;&gt;"N/A",ROUND(Q79*(1+T79),2),0)</f>
        <v>9.3800000000000008</v>
      </c>
      <c r="V79" s="4069">
        <f t="shared" ref="V79:V91" si="31">U79*365/12</f>
        <v>285.30833333333334</v>
      </c>
      <c r="W79" s="4070">
        <v>44348</v>
      </c>
      <c r="X79" s="4071">
        <v>0.05</v>
      </c>
      <c r="Y79" s="4069">
        <f t="shared" ref="Y79:Y91" si="32">IF(W79&lt;&gt;"N/A",ROUND(U79*(1+X79),2),0)</f>
        <v>9.85</v>
      </c>
      <c r="Z79" s="4069">
        <f t="shared" ref="Z79:Z91" si="33">Y79*365/12</f>
        <v>299.60416666666669</v>
      </c>
      <c r="AA79" s="4070">
        <v>44713</v>
      </c>
      <c r="AB79" s="4071">
        <v>0.05</v>
      </c>
      <c r="AC79" s="4069">
        <f t="shared" ref="AC79:AC91" si="34">IF(AA79&lt;&gt;"N/A",ROUND(Y79*(1+AB79),2),0)</f>
        <v>10.34</v>
      </c>
      <c r="AD79" s="4069">
        <f t="shared" ref="AD79:AD91" si="35">AC79*365/12</f>
        <v>314.50833333333333</v>
      </c>
    </row>
    <row r="80" spans="1:30" ht="18">
      <c r="A80" s="4060">
        <v>2</v>
      </c>
      <c r="B80" s="4061">
        <v>1</v>
      </c>
      <c r="C80" s="4062" t="s">
        <v>4826</v>
      </c>
      <c r="D80" s="4093" t="s">
        <v>4827</v>
      </c>
      <c r="E80" s="4063" t="s">
        <v>4825</v>
      </c>
      <c r="F80" s="4064" t="s">
        <v>2930</v>
      </c>
      <c r="G80" s="4065">
        <v>188.24</v>
      </c>
      <c r="H80" s="4066">
        <v>43078</v>
      </c>
      <c r="I80" s="4066">
        <v>44903</v>
      </c>
      <c r="J80" s="4067">
        <f t="shared" si="26"/>
        <v>1826</v>
      </c>
      <c r="K80" s="4065">
        <f t="shared" si="27"/>
        <v>0</v>
      </c>
      <c r="L80" s="4068">
        <v>8.5</v>
      </c>
      <c r="M80" s="4068">
        <f t="shared" si="28"/>
        <v>258.54166666666669</v>
      </c>
      <c r="N80" s="4069">
        <v>0</v>
      </c>
      <c r="O80" s="4070">
        <v>43443</v>
      </c>
      <c r="P80" s="4071">
        <v>0.05</v>
      </c>
      <c r="Q80" s="4069">
        <f>IF(O80&lt;&gt;"N/A",ROUND(L80*(1+P80),2),0)</f>
        <v>8.93</v>
      </c>
      <c r="R80" s="4069">
        <f t="shared" si="29"/>
        <v>271.62083333333334</v>
      </c>
      <c r="S80" s="4070">
        <v>43808</v>
      </c>
      <c r="T80" s="4071">
        <v>0.05</v>
      </c>
      <c r="U80" s="4069">
        <f t="shared" si="30"/>
        <v>9.3800000000000008</v>
      </c>
      <c r="V80" s="4069">
        <f t="shared" si="31"/>
        <v>285.30833333333334</v>
      </c>
      <c r="W80" s="4070">
        <v>44174</v>
      </c>
      <c r="X80" s="4071">
        <v>0.05</v>
      </c>
      <c r="Y80" s="4069">
        <f t="shared" si="32"/>
        <v>9.85</v>
      </c>
      <c r="Z80" s="4069">
        <f t="shared" si="33"/>
        <v>299.60416666666669</v>
      </c>
      <c r="AA80" s="4070">
        <v>44539</v>
      </c>
      <c r="AB80" s="4071">
        <v>0.05</v>
      </c>
      <c r="AC80" s="4069">
        <f t="shared" si="34"/>
        <v>10.34</v>
      </c>
      <c r="AD80" s="4069">
        <f t="shared" si="35"/>
        <v>314.50833333333333</v>
      </c>
    </row>
    <row r="81" spans="1:30" ht="18">
      <c r="A81" s="4060">
        <v>3</v>
      </c>
      <c r="B81" s="4061">
        <v>1</v>
      </c>
      <c r="C81" s="4062" t="s">
        <v>4828</v>
      </c>
      <c r="D81" s="4093" t="s">
        <v>4829</v>
      </c>
      <c r="E81" s="4063" t="s">
        <v>4825</v>
      </c>
      <c r="F81" s="4064" t="s">
        <v>2930</v>
      </c>
      <c r="G81" s="4065">
        <v>188.24</v>
      </c>
      <c r="H81" s="4066">
        <v>43101</v>
      </c>
      <c r="I81" s="4066">
        <v>44926</v>
      </c>
      <c r="J81" s="4067">
        <f t="shared" si="26"/>
        <v>1826</v>
      </c>
      <c r="K81" s="4065">
        <f t="shared" si="27"/>
        <v>0</v>
      </c>
      <c r="L81" s="4068">
        <v>8.5</v>
      </c>
      <c r="M81" s="4068">
        <f t="shared" si="28"/>
        <v>258.54166666666669</v>
      </c>
      <c r="N81" s="4069">
        <v>0</v>
      </c>
      <c r="O81" s="4070">
        <v>43466</v>
      </c>
      <c r="P81" s="4071">
        <v>0.05</v>
      </c>
      <c r="Q81" s="4069">
        <f>IF(O81&lt;&gt;"N/A",ROUND(L81*(1+P81),2),0)</f>
        <v>8.93</v>
      </c>
      <c r="R81" s="4069">
        <f t="shared" si="29"/>
        <v>271.62083333333334</v>
      </c>
      <c r="S81" s="4070">
        <v>43831</v>
      </c>
      <c r="T81" s="4071">
        <v>0.05</v>
      </c>
      <c r="U81" s="4069">
        <f t="shared" si="30"/>
        <v>9.3800000000000008</v>
      </c>
      <c r="V81" s="4069">
        <f t="shared" si="31"/>
        <v>285.30833333333334</v>
      </c>
      <c r="W81" s="4070">
        <v>44197</v>
      </c>
      <c r="X81" s="4071">
        <v>0.05</v>
      </c>
      <c r="Y81" s="4069">
        <f t="shared" si="32"/>
        <v>9.85</v>
      </c>
      <c r="Z81" s="4069">
        <f t="shared" si="33"/>
        <v>299.60416666666669</v>
      </c>
      <c r="AA81" s="4070">
        <v>44562</v>
      </c>
      <c r="AB81" s="4071">
        <v>0.05</v>
      </c>
      <c r="AC81" s="4069">
        <f t="shared" si="34"/>
        <v>10.34</v>
      </c>
      <c r="AD81" s="4069">
        <f t="shared" si="35"/>
        <v>314.50833333333333</v>
      </c>
    </row>
    <row r="82" spans="1:30" ht="18">
      <c r="A82" s="4060">
        <v>4</v>
      </c>
      <c r="B82" s="4061">
        <v>1</v>
      </c>
      <c r="C82" s="4062" t="s">
        <v>4830</v>
      </c>
      <c r="D82" s="4093" t="s">
        <v>4831</v>
      </c>
      <c r="E82" s="4063" t="s">
        <v>4825</v>
      </c>
      <c r="F82" s="4064" t="s">
        <v>2930</v>
      </c>
      <c r="G82" s="4065">
        <v>188.24</v>
      </c>
      <c r="H82" s="4066">
        <v>43101</v>
      </c>
      <c r="I82" s="4066">
        <v>44926</v>
      </c>
      <c r="J82" s="4067">
        <f t="shared" si="26"/>
        <v>1826</v>
      </c>
      <c r="K82" s="4065">
        <f t="shared" si="27"/>
        <v>0</v>
      </c>
      <c r="L82" s="4068">
        <v>8.5</v>
      </c>
      <c r="M82" s="4068">
        <f t="shared" si="28"/>
        <v>258.54166666666669</v>
      </c>
      <c r="N82" s="4069">
        <v>0</v>
      </c>
      <c r="O82" s="4070">
        <v>43466</v>
      </c>
      <c r="P82" s="4071">
        <v>0.05</v>
      </c>
      <c r="Q82" s="4069">
        <f>IF(O82&lt;&gt;"N/A",ROUND(L82*(1+P82),2),0)</f>
        <v>8.93</v>
      </c>
      <c r="R82" s="4069">
        <f t="shared" si="29"/>
        <v>271.62083333333334</v>
      </c>
      <c r="S82" s="4070">
        <v>43831</v>
      </c>
      <c r="T82" s="4071">
        <v>0.05</v>
      </c>
      <c r="U82" s="4069">
        <f t="shared" si="30"/>
        <v>9.3800000000000008</v>
      </c>
      <c r="V82" s="4069">
        <f t="shared" si="31"/>
        <v>285.30833333333334</v>
      </c>
      <c r="W82" s="4070">
        <v>44197</v>
      </c>
      <c r="X82" s="4071">
        <v>0.05</v>
      </c>
      <c r="Y82" s="4069">
        <f t="shared" si="32"/>
        <v>9.85</v>
      </c>
      <c r="Z82" s="4069">
        <f t="shared" si="33"/>
        <v>299.60416666666669</v>
      </c>
      <c r="AA82" s="4070">
        <v>44562</v>
      </c>
      <c r="AB82" s="4071">
        <v>0.05</v>
      </c>
      <c r="AC82" s="4069">
        <f t="shared" si="34"/>
        <v>10.34</v>
      </c>
      <c r="AD82" s="4069">
        <f t="shared" si="35"/>
        <v>314.50833333333333</v>
      </c>
    </row>
    <row r="83" spans="1:30" ht="33">
      <c r="A83" s="4060">
        <v>5</v>
      </c>
      <c r="B83" s="4061">
        <v>1</v>
      </c>
      <c r="C83" s="4072" t="s">
        <v>4893</v>
      </c>
      <c r="D83" s="4093" t="s">
        <v>4614</v>
      </c>
      <c r="E83" s="4063" t="s">
        <v>4825</v>
      </c>
      <c r="F83" s="4064" t="s">
        <v>2930</v>
      </c>
      <c r="G83" s="4065">
        <v>278.18</v>
      </c>
      <c r="H83" s="4066">
        <v>43087</v>
      </c>
      <c r="I83" s="4066">
        <v>44912</v>
      </c>
      <c r="J83" s="4067">
        <f t="shared" si="26"/>
        <v>1826</v>
      </c>
      <c r="K83" s="4065">
        <f t="shared" si="27"/>
        <v>0</v>
      </c>
      <c r="L83" s="4068">
        <v>8.5</v>
      </c>
      <c r="M83" s="4068">
        <f t="shared" si="28"/>
        <v>258.54166666666669</v>
      </c>
      <c r="N83" s="4069">
        <v>0</v>
      </c>
      <c r="O83" s="4070">
        <v>43452</v>
      </c>
      <c r="P83" s="4071">
        <v>0.05</v>
      </c>
      <c r="Q83" s="4069">
        <f>IF(O83&lt;&gt;"N/A",ROUND(L83*(1+P83),2),0)</f>
        <v>8.93</v>
      </c>
      <c r="R83" s="4069">
        <f t="shared" si="29"/>
        <v>271.62083333333334</v>
      </c>
      <c r="S83" s="4070">
        <v>43817</v>
      </c>
      <c r="T83" s="4071">
        <v>0.05</v>
      </c>
      <c r="U83" s="4069">
        <f t="shared" si="30"/>
        <v>9.3800000000000008</v>
      </c>
      <c r="V83" s="4069">
        <f t="shared" si="31"/>
        <v>285.30833333333334</v>
      </c>
      <c r="W83" s="4070">
        <v>44183</v>
      </c>
      <c r="X83" s="4071">
        <v>0.05</v>
      </c>
      <c r="Y83" s="4069">
        <f t="shared" si="32"/>
        <v>9.85</v>
      </c>
      <c r="Z83" s="4069">
        <f t="shared" si="33"/>
        <v>299.60416666666669</v>
      </c>
      <c r="AA83" s="4070">
        <v>44548</v>
      </c>
      <c r="AB83" s="4071">
        <v>0.05</v>
      </c>
      <c r="AC83" s="4069">
        <f t="shared" si="34"/>
        <v>10.34</v>
      </c>
      <c r="AD83" s="4069">
        <f t="shared" si="35"/>
        <v>314.50833333333333</v>
      </c>
    </row>
    <row r="84" spans="1:30" ht="33">
      <c r="A84" s="4060">
        <v>6</v>
      </c>
      <c r="B84" s="4061">
        <v>1</v>
      </c>
      <c r="C84" s="4072" t="s">
        <v>4895</v>
      </c>
      <c r="D84" s="4093" t="s">
        <v>4834</v>
      </c>
      <c r="E84" s="4063" t="s">
        <v>4825</v>
      </c>
      <c r="F84" s="4064" t="s">
        <v>2930</v>
      </c>
      <c r="G84" s="4065">
        <v>425.96</v>
      </c>
      <c r="H84" s="4066">
        <v>42314</v>
      </c>
      <c r="I84" s="4066">
        <v>44201</v>
      </c>
      <c r="J84" s="4067">
        <f t="shared" si="26"/>
        <v>1888</v>
      </c>
      <c r="K84" s="4065">
        <f t="shared" si="27"/>
        <v>0</v>
      </c>
      <c r="L84" s="4068">
        <v>4.8</v>
      </c>
      <c r="M84" s="4068">
        <f t="shared" si="28"/>
        <v>146</v>
      </c>
      <c r="N84" s="4069">
        <v>0</v>
      </c>
      <c r="O84" s="4070">
        <v>43045</v>
      </c>
      <c r="P84" s="4071">
        <v>0.04</v>
      </c>
      <c r="Q84" s="4069">
        <v>5</v>
      </c>
      <c r="R84" s="4069">
        <f t="shared" si="29"/>
        <v>152.08333333333334</v>
      </c>
      <c r="S84" s="4070">
        <v>43410</v>
      </c>
      <c r="T84" s="4071">
        <v>0.04</v>
      </c>
      <c r="U84" s="4069">
        <f t="shared" si="30"/>
        <v>5.2</v>
      </c>
      <c r="V84" s="4069">
        <f t="shared" si="31"/>
        <v>158.16666666666666</v>
      </c>
      <c r="W84" s="4070">
        <v>43775</v>
      </c>
      <c r="X84" s="4071">
        <v>0.02</v>
      </c>
      <c r="Y84" s="4069">
        <f t="shared" si="32"/>
        <v>5.3</v>
      </c>
      <c r="Z84" s="4069">
        <f t="shared" si="33"/>
        <v>161.20833333333334</v>
      </c>
      <c r="AA84" s="4073" t="s">
        <v>4835</v>
      </c>
      <c r="AB84" s="4062"/>
      <c r="AC84" s="4069">
        <f t="shared" si="34"/>
        <v>0</v>
      </c>
      <c r="AD84" s="4069">
        <f t="shared" si="35"/>
        <v>0</v>
      </c>
    </row>
    <row r="85" spans="1:30" ht="18">
      <c r="A85" s="4060">
        <v>7</v>
      </c>
      <c r="B85" s="4061">
        <v>1</v>
      </c>
      <c r="C85" s="4074" t="s">
        <v>4836</v>
      </c>
      <c r="D85" s="4094" t="s">
        <v>4858</v>
      </c>
      <c r="E85" s="4075" t="s">
        <v>4859</v>
      </c>
      <c r="F85" s="4062" t="s">
        <v>2929</v>
      </c>
      <c r="G85" s="4069">
        <v>1089.1099999999999</v>
      </c>
      <c r="H85" s="4070">
        <v>44044</v>
      </c>
      <c r="I85" s="4070">
        <v>44773</v>
      </c>
      <c r="J85" s="4061">
        <f t="shared" si="26"/>
        <v>730</v>
      </c>
      <c r="K85" s="4065">
        <f t="shared" si="27"/>
        <v>0</v>
      </c>
      <c r="L85" s="4068">
        <v>6</v>
      </c>
      <c r="M85" s="4068">
        <f t="shared" si="28"/>
        <v>182.5</v>
      </c>
      <c r="N85" s="4069">
        <v>0</v>
      </c>
      <c r="O85" s="4073" t="s">
        <v>4835</v>
      </c>
      <c r="P85" s="4071">
        <v>0</v>
      </c>
      <c r="Q85" s="4069">
        <f t="shared" ref="Q85:Q91" si="36">IF(O85&lt;&gt;"N/A",ROUND(L85*(1+P85),2),0)</f>
        <v>0</v>
      </c>
      <c r="R85" s="4069">
        <f t="shared" si="29"/>
        <v>0</v>
      </c>
      <c r="S85" s="4073" t="s">
        <v>4835</v>
      </c>
      <c r="T85" s="4071">
        <v>0</v>
      </c>
      <c r="U85" s="4069">
        <f t="shared" si="30"/>
        <v>0</v>
      </c>
      <c r="V85" s="4069">
        <f t="shared" si="31"/>
        <v>0</v>
      </c>
      <c r="W85" s="4073" t="s">
        <v>4835</v>
      </c>
      <c r="X85" s="4062"/>
      <c r="Y85" s="4069">
        <f t="shared" si="32"/>
        <v>0</v>
      </c>
      <c r="Z85" s="4069">
        <f t="shared" si="33"/>
        <v>0</v>
      </c>
      <c r="AA85" s="4073" t="s">
        <v>4835</v>
      </c>
      <c r="AB85" s="4062"/>
      <c r="AC85" s="4069">
        <f t="shared" si="34"/>
        <v>0</v>
      </c>
      <c r="AD85" s="4069">
        <f t="shared" si="35"/>
        <v>0</v>
      </c>
    </row>
    <row r="86" spans="1:30" ht="18">
      <c r="A86" s="4060">
        <v>8</v>
      </c>
      <c r="B86" s="4061">
        <v>1</v>
      </c>
      <c r="C86" s="4062" t="s">
        <v>4839</v>
      </c>
      <c r="D86" s="4095" t="s">
        <v>4900</v>
      </c>
      <c r="E86" s="4075" t="s">
        <v>4845</v>
      </c>
      <c r="F86" s="4062" t="s">
        <v>2929</v>
      </c>
      <c r="G86" s="4069">
        <v>36.29</v>
      </c>
      <c r="H86" s="4070">
        <v>43282</v>
      </c>
      <c r="I86" s="4070">
        <v>44196</v>
      </c>
      <c r="J86" s="4061">
        <f t="shared" si="26"/>
        <v>915</v>
      </c>
      <c r="K86" s="4065">
        <f t="shared" si="27"/>
        <v>0</v>
      </c>
      <c r="L86" s="4068">
        <v>6.5</v>
      </c>
      <c r="M86" s="4068">
        <f t="shared" si="28"/>
        <v>197.70833333333334</v>
      </c>
      <c r="N86" s="4069">
        <v>0</v>
      </c>
      <c r="O86" s="4070">
        <v>43647</v>
      </c>
      <c r="P86" s="4071">
        <v>0.05</v>
      </c>
      <c r="Q86" s="4069">
        <f t="shared" si="36"/>
        <v>6.83</v>
      </c>
      <c r="R86" s="4069">
        <f t="shared" si="29"/>
        <v>207.74583333333331</v>
      </c>
      <c r="S86" s="4073" t="s">
        <v>4835</v>
      </c>
      <c r="T86" s="4062"/>
      <c r="U86" s="4069">
        <f t="shared" si="30"/>
        <v>0</v>
      </c>
      <c r="V86" s="4069">
        <f t="shared" si="31"/>
        <v>0</v>
      </c>
      <c r="W86" s="4073" t="s">
        <v>4835</v>
      </c>
      <c r="X86" s="4062"/>
      <c r="Y86" s="4069">
        <f t="shared" si="32"/>
        <v>0</v>
      </c>
      <c r="Z86" s="4069">
        <f t="shared" si="33"/>
        <v>0</v>
      </c>
      <c r="AA86" s="4073" t="s">
        <v>4835</v>
      </c>
      <c r="AB86" s="4062"/>
      <c r="AC86" s="4069">
        <f t="shared" si="34"/>
        <v>0</v>
      </c>
      <c r="AD86" s="4069">
        <f t="shared" si="35"/>
        <v>0</v>
      </c>
    </row>
    <row r="87" spans="1:30" ht="17.25">
      <c r="A87" s="4060">
        <v>9</v>
      </c>
      <c r="B87" s="4061">
        <v>1</v>
      </c>
      <c r="C87" s="4062" t="s">
        <v>4841</v>
      </c>
      <c r="D87" s="4096" t="s">
        <v>4842</v>
      </c>
      <c r="E87" s="4063" t="s">
        <v>4825</v>
      </c>
      <c r="F87" s="4064" t="s">
        <v>2930</v>
      </c>
      <c r="G87" s="4065">
        <v>80.150000000000006</v>
      </c>
      <c r="H87" s="4066">
        <v>43318</v>
      </c>
      <c r="I87" s="4066">
        <v>44413</v>
      </c>
      <c r="J87" s="4067">
        <f t="shared" si="26"/>
        <v>1096</v>
      </c>
      <c r="K87" s="4065">
        <f t="shared" si="27"/>
        <v>0</v>
      </c>
      <c r="L87" s="4068">
        <v>10</v>
      </c>
      <c r="M87" s="4068">
        <f t="shared" si="28"/>
        <v>304.16666666666669</v>
      </c>
      <c r="N87" s="4069">
        <v>0</v>
      </c>
      <c r="O87" s="4070">
        <v>43683</v>
      </c>
      <c r="P87" s="4071">
        <v>0.05</v>
      </c>
      <c r="Q87" s="4069">
        <f t="shared" si="36"/>
        <v>10.5</v>
      </c>
      <c r="R87" s="4069">
        <f t="shared" si="29"/>
        <v>319.375</v>
      </c>
      <c r="S87" s="4070">
        <v>44049</v>
      </c>
      <c r="T87" s="4071">
        <v>0.05</v>
      </c>
      <c r="U87" s="4069">
        <f t="shared" si="30"/>
        <v>11.03</v>
      </c>
      <c r="V87" s="4069">
        <f t="shared" si="31"/>
        <v>335.49583333333334</v>
      </c>
      <c r="W87" s="4073" t="s">
        <v>4835</v>
      </c>
      <c r="X87" s="4062"/>
      <c r="Y87" s="4069">
        <f t="shared" si="32"/>
        <v>0</v>
      </c>
      <c r="Z87" s="4069">
        <f t="shared" si="33"/>
        <v>0</v>
      </c>
      <c r="AA87" s="4073" t="s">
        <v>4835</v>
      </c>
      <c r="AB87" s="4062"/>
      <c r="AC87" s="4069">
        <f t="shared" si="34"/>
        <v>0</v>
      </c>
      <c r="AD87" s="4069">
        <f t="shared" si="35"/>
        <v>0</v>
      </c>
    </row>
    <row r="88" spans="1:30" ht="16.5">
      <c r="A88" s="4060">
        <v>10</v>
      </c>
      <c r="B88" s="4061">
        <v>2</v>
      </c>
      <c r="C88" s="4062" t="s">
        <v>4843</v>
      </c>
      <c r="D88" s="4075" t="s">
        <v>4858</v>
      </c>
      <c r="E88" s="4075" t="s">
        <v>4859</v>
      </c>
      <c r="F88" s="4062" t="s">
        <v>2929</v>
      </c>
      <c r="G88" s="4069">
        <v>1080.52</v>
      </c>
      <c r="H88" s="4070">
        <v>44136</v>
      </c>
      <c r="I88" s="4070">
        <v>44865</v>
      </c>
      <c r="J88" s="4061">
        <f t="shared" si="26"/>
        <v>730</v>
      </c>
      <c r="K88" s="4065">
        <f t="shared" si="27"/>
        <v>0</v>
      </c>
      <c r="L88" s="4068">
        <v>6.3</v>
      </c>
      <c r="M88" s="4068">
        <f t="shared" si="28"/>
        <v>191.625</v>
      </c>
      <c r="N88" s="4069">
        <v>0</v>
      </c>
      <c r="O88" s="4070">
        <v>44501</v>
      </c>
      <c r="P88" s="4071">
        <v>0.03</v>
      </c>
      <c r="Q88" s="4069">
        <f t="shared" si="36"/>
        <v>6.49</v>
      </c>
      <c r="R88" s="4069">
        <f t="shared" si="29"/>
        <v>197.40416666666667</v>
      </c>
      <c r="S88" s="4073" t="s">
        <v>4835</v>
      </c>
      <c r="T88" s="4071"/>
      <c r="U88" s="4069">
        <f t="shared" si="30"/>
        <v>0</v>
      </c>
      <c r="V88" s="4069">
        <f t="shared" si="31"/>
        <v>0</v>
      </c>
      <c r="W88" s="4073" t="s">
        <v>4835</v>
      </c>
      <c r="X88" s="4062"/>
      <c r="Y88" s="4069">
        <f t="shared" si="32"/>
        <v>0</v>
      </c>
      <c r="Z88" s="4069">
        <f t="shared" si="33"/>
        <v>0</v>
      </c>
      <c r="AA88" s="4073" t="s">
        <v>4835</v>
      </c>
      <c r="AB88" s="4062"/>
      <c r="AC88" s="4069">
        <f t="shared" si="34"/>
        <v>0</v>
      </c>
      <c r="AD88" s="4069">
        <f t="shared" si="35"/>
        <v>0</v>
      </c>
    </row>
    <row r="89" spans="1:30" ht="16.5">
      <c r="A89" s="4060">
        <v>11</v>
      </c>
      <c r="B89" s="4061">
        <v>2</v>
      </c>
      <c r="C89" s="4062" t="s">
        <v>4917</v>
      </c>
      <c r="D89" s="4075" t="s">
        <v>4858</v>
      </c>
      <c r="E89" s="4075" t="s">
        <v>4859</v>
      </c>
      <c r="F89" s="4062" t="s">
        <v>2929</v>
      </c>
      <c r="G89" s="4069">
        <v>768.2</v>
      </c>
      <c r="H89" s="4070">
        <v>44183</v>
      </c>
      <c r="I89" s="4070">
        <v>44865</v>
      </c>
      <c r="J89" s="4061">
        <f t="shared" si="26"/>
        <v>683</v>
      </c>
      <c r="K89" s="4065">
        <f t="shared" si="27"/>
        <v>0</v>
      </c>
      <c r="L89" s="4068">
        <v>6.3</v>
      </c>
      <c r="M89" s="4068">
        <f t="shared" si="28"/>
        <v>191.625</v>
      </c>
      <c r="N89" s="4069">
        <v>0</v>
      </c>
      <c r="O89" s="4070">
        <v>44548</v>
      </c>
      <c r="P89" s="4071">
        <v>0.03</v>
      </c>
      <c r="Q89" s="4069">
        <f t="shared" si="36"/>
        <v>6.49</v>
      </c>
      <c r="R89" s="4069">
        <f t="shared" si="29"/>
        <v>197.40416666666667</v>
      </c>
      <c r="S89" s="4073" t="s">
        <v>4835</v>
      </c>
      <c r="T89" s="4071"/>
      <c r="U89" s="4069">
        <f t="shared" si="30"/>
        <v>0</v>
      </c>
      <c r="V89" s="4069">
        <f t="shared" si="31"/>
        <v>0</v>
      </c>
      <c r="W89" s="4073" t="s">
        <v>4835</v>
      </c>
      <c r="X89" s="4062"/>
      <c r="Y89" s="4069">
        <f t="shared" si="32"/>
        <v>0</v>
      </c>
      <c r="Z89" s="4069">
        <f t="shared" si="33"/>
        <v>0</v>
      </c>
      <c r="AA89" s="4073" t="s">
        <v>4835</v>
      </c>
      <c r="AB89" s="4062"/>
      <c r="AC89" s="4069">
        <f t="shared" si="34"/>
        <v>0</v>
      </c>
      <c r="AD89" s="4069">
        <f t="shared" si="35"/>
        <v>0</v>
      </c>
    </row>
    <row r="90" spans="1:30" ht="16.5">
      <c r="A90" s="4060">
        <v>12</v>
      </c>
      <c r="B90" s="4061">
        <v>2</v>
      </c>
      <c r="C90" s="4062" t="s">
        <v>4857</v>
      </c>
      <c r="D90" s="4075" t="s">
        <v>4858</v>
      </c>
      <c r="E90" s="4075" t="s">
        <v>4859</v>
      </c>
      <c r="F90" s="4062" t="s">
        <v>2929</v>
      </c>
      <c r="G90" s="4069">
        <v>917.41</v>
      </c>
      <c r="H90" s="4070">
        <v>43693</v>
      </c>
      <c r="I90" s="4070">
        <v>44423</v>
      </c>
      <c r="J90" s="4061">
        <f t="shared" si="26"/>
        <v>731</v>
      </c>
      <c r="K90" s="4065">
        <f t="shared" si="27"/>
        <v>0</v>
      </c>
      <c r="L90" s="4068">
        <v>6.6</v>
      </c>
      <c r="M90" s="4068">
        <f t="shared" si="28"/>
        <v>200.75</v>
      </c>
      <c r="N90" s="4069">
        <v>0</v>
      </c>
      <c r="O90" s="4070">
        <v>44059</v>
      </c>
      <c r="P90" s="4071">
        <v>4.4999999999999998E-2</v>
      </c>
      <c r="Q90" s="4069">
        <f t="shared" si="36"/>
        <v>6.9</v>
      </c>
      <c r="R90" s="4069">
        <f t="shared" si="29"/>
        <v>209.875</v>
      </c>
      <c r="S90" s="4073" t="s">
        <v>4835</v>
      </c>
      <c r="T90" s="4071"/>
      <c r="U90" s="4069">
        <f t="shared" si="30"/>
        <v>0</v>
      </c>
      <c r="V90" s="4069">
        <f t="shared" si="31"/>
        <v>0</v>
      </c>
      <c r="W90" s="4073" t="s">
        <v>4835</v>
      </c>
      <c r="X90" s="4062"/>
      <c r="Y90" s="4069">
        <f t="shared" si="32"/>
        <v>0</v>
      </c>
      <c r="Z90" s="4069">
        <f t="shared" si="33"/>
        <v>0</v>
      </c>
      <c r="AA90" s="4073" t="s">
        <v>4835</v>
      </c>
      <c r="AB90" s="4062"/>
      <c r="AC90" s="4069">
        <f t="shared" si="34"/>
        <v>0</v>
      </c>
      <c r="AD90" s="4069">
        <f t="shared" si="35"/>
        <v>0</v>
      </c>
    </row>
    <row r="91" spans="1:30" ht="16.5">
      <c r="A91" s="4060">
        <v>13</v>
      </c>
      <c r="B91" s="4061">
        <v>2</v>
      </c>
      <c r="C91" s="4062" t="s">
        <v>4864</v>
      </c>
      <c r="D91" s="4075" t="s">
        <v>4865</v>
      </c>
      <c r="E91" s="4075" t="s">
        <v>4845</v>
      </c>
      <c r="F91" s="4062" t="s">
        <v>2929</v>
      </c>
      <c r="G91" s="4069">
        <v>101</v>
      </c>
      <c r="H91" s="4070">
        <v>44062</v>
      </c>
      <c r="I91" s="4070">
        <v>44426</v>
      </c>
      <c r="J91" s="4061">
        <f t="shared" si="26"/>
        <v>365</v>
      </c>
      <c r="K91" s="4065">
        <f t="shared" si="27"/>
        <v>0</v>
      </c>
      <c r="L91" s="4068">
        <v>6.8</v>
      </c>
      <c r="M91" s="4068">
        <f t="shared" si="28"/>
        <v>206.83333333333334</v>
      </c>
      <c r="N91" s="4069">
        <v>0</v>
      </c>
      <c r="O91" s="4073" t="s">
        <v>4835</v>
      </c>
      <c r="P91" s="4071"/>
      <c r="Q91" s="4069">
        <f t="shared" si="36"/>
        <v>0</v>
      </c>
      <c r="R91" s="4069">
        <f t="shared" si="29"/>
        <v>0</v>
      </c>
      <c r="S91" s="4073" t="s">
        <v>4835</v>
      </c>
      <c r="T91" s="4071"/>
      <c r="U91" s="4069">
        <f t="shared" si="30"/>
        <v>0</v>
      </c>
      <c r="V91" s="4069">
        <f t="shared" si="31"/>
        <v>0</v>
      </c>
      <c r="W91" s="4073" t="s">
        <v>4835</v>
      </c>
      <c r="X91" s="4062"/>
      <c r="Y91" s="4069">
        <f t="shared" si="32"/>
        <v>0</v>
      </c>
      <c r="Z91" s="4069">
        <f t="shared" si="33"/>
        <v>0</v>
      </c>
      <c r="AA91" s="4073" t="s">
        <v>4835</v>
      </c>
      <c r="AB91" s="4062"/>
      <c r="AC91" s="4069">
        <f t="shared" si="34"/>
        <v>0</v>
      </c>
      <c r="AD91" s="4069">
        <f t="shared" si="35"/>
        <v>0</v>
      </c>
    </row>
    <row r="93" spans="1:30">
      <c r="A93" s="4056">
        <v>2021</v>
      </c>
    </row>
    <row r="95" spans="1:30" ht="16.5">
      <c r="A95" s="4751" t="s">
        <v>4918</v>
      </c>
      <c r="B95" s="4751"/>
      <c r="C95" s="4751"/>
      <c r="D95" s="4751"/>
      <c r="E95" s="4751"/>
      <c r="F95" s="4751"/>
      <c r="G95" s="4751"/>
      <c r="H95" s="4751" t="s">
        <v>3104</v>
      </c>
      <c r="I95" s="4751"/>
      <c r="J95" s="4751"/>
      <c r="K95" s="4077" t="s">
        <v>4803</v>
      </c>
      <c r="L95" s="4751" t="s">
        <v>4804</v>
      </c>
      <c r="M95" s="4751"/>
      <c r="N95" s="4751"/>
      <c r="O95" s="4751" t="s">
        <v>4805</v>
      </c>
      <c r="P95" s="4751"/>
      <c r="Q95" s="4751"/>
      <c r="R95" s="4751"/>
      <c r="S95" s="4751"/>
      <c r="T95" s="4751"/>
      <c r="U95" s="4751"/>
      <c r="V95" s="4751"/>
      <c r="W95" s="4751"/>
      <c r="X95" s="4751"/>
      <c r="Y95" s="4751"/>
      <c r="Z95" s="4751"/>
      <c r="AA95" s="4751"/>
      <c r="AB95" s="4751"/>
      <c r="AC95" s="4078"/>
      <c r="AD95" s="4078"/>
    </row>
    <row r="96" spans="1:30" ht="33">
      <c r="A96" s="4079" t="s">
        <v>2745</v>
      </c>
      <c r="B96" s="4079" t="s">
        <v>4567</v>
      </c>
      <c r="C96" s="4079" t="s">
        <v>4806</v>
      </c>
      <c r="D96" s="4079" t="s">
        <v>4569</v>
      </c>
      <c r="E96" s="4079" t="s">
        <v>4807</v>
      </c>
      <c r="F96" s="4079" t="s">
        <v>4808</v>
      </c>
      <c r="G96" s="4079" t="s">
        <v>4914</v>
      </c>
      <c r="H96" s="4080" t="s">
        <v>4810</v>
      </c>
      <c r="I96" s="4080" t="s">
        <v>4503</v>
      </c>
      <c r="J96" s="4079" t="s">
        <v>4811</v>
      </c>
      <c r="K96" s="4079" t="s">
        <v>4812</v>
      </c>
      <c r="L96" s="4079" t="s">
        <v>4915</v>
      </c>
      <c r="M96" s="4079" t="s">
        <v>4814</v>
      </c>
      <c r="N96" s="4079" t="s">
        <v>4815</v>
      </c>
      <c r="O96" s="4079" t="s">
        <v>4816</v>
      </c>
      <c r="P96" s="4081" t="s">
        <v>4916</v>
      </c>
      <c r="Q96" s="4079" t="s">
        <v>4818</v>
      </c>
      <c r="R96" s="4079" t="s">
        <v>4819</v>
      </c>
      <c r="S96" s="4079" t="s">
        <v>4820</v>
      </c>
      <c r="T96" s="4079" t="s">
        <v>4916</v>
      </c>
      <c r="U96" s="4079" t="s">
        <v>4818</v>
      </c>
      <c r="V96" s="4079" t="s">
        <v>4819</v>
      </c>
      <c r="W96" s="4079" t="s">
        <v>4821</v>
      </c>
      <c r="X96" s="4079" t="s">
        <v>4916</v>
      </c>
      <c r="Y96" s="4079" t="s">
        <v>4818</v>
      </c>
      <c r="Z96" s="4079" t="s">
        <v>4819</v>
      </c>
      <c r="AA96" s="4079" t="s">
        <v>4822</v>
      </c>
      <c r="AB96" s="4079" t="s">
        <v>4916</v>
      </c>
      <c r="AC96" s="4079" t="s">
        <v>4818</v>
      </c>
      <c r="AD96" s="4079" t="s">
        <v>4819</v>
      </c>
    </row>
    <row r="97" spans="1:30" ht="16.5">
      <c r="A97" s="4060">
        <v>1</v>
      </c>
      <c r="B97" s="4061">
        <v>1</v>
      </c>
      <c r="C97" s="4062" t="s">
        <v>4823</v>
      </c>
      <c r="D97" s="4063" t="s">
        <v>4824</v>
      </c>
      <c r="E97" s="4063" t="s">
        <v>4825</v>
      </c>
      <c r="F97" s="4082" t="s">
        <v>2930</v>
      </c>
      <c r="G97" s="4065">
        <v>205.88</v>
      </c>
      <c r="H97" s="4066">
        <v>43252</v>
      </c>
      <c r="I97" s="4066">
        <v>45077</v>
      </c>
      <c r="J97" s="4067">
        <f t="shared" ref="J97:J105" si="37">+I97-H97+1</f>
        <v>1826</v>
      </c>
      <c r="K97" s="4065">
        <f t="shared" ref="K97:K105" si="38">IF($D$3&lt;H97,0,IF($D$3&lt;O97,L97,IF($D$3&lt;S97,Q97,IF($D$3&lt;W97,U97,IF($D$3&lt;AA97,Y97,AC97)))))</f>
        <v>0</v>
      </c>
      <c r="L97" s="4068">
        <v>8.5</v>
      </c>
      <c r="M97" s="4068">
        <f t="shared" ref="M97:M105" si="39">L97*365/12</f>
        <v>258.54166666666669</v>
      </c>
      <c r="N97" s="4069">
        <v>0</v>
      </c>
      <c r="O97" s="4070">
        <v>43617</v>
      </c>
      <c r="P97" s="4071">
        <v>0.05</v>
      </c>
      <c r="Q97" s="4069">
        <f>IF(O97&lt;&gt;"N/A",ROUND(L97*(1+P97),2),0)</f>
        <v>8.93</v>
      </c>
      <c r="R97" s="4069">
        <f t="shared" ref="R97:R105" si="40">Q97*365/12</f>
        <v>271.62083333333334</v>
      </c>
      <c r="S97" s="4070">
        <v>43983</v>
      </c>
      <c r="T97" s="4071">
        <v>0.05</v>
      </c>
      <c r="U97" s="4069">
        <f t="shared" ref="U97:U103" si="41">IF(S97&lt;&gt;"N/A",ROUND(Q97*(1+T97),2),0)</f>
        <v>9.3800000000000008</v>
      </c>
      <c r="V97" s="4069">
        <f t="shared" ref="V97:V103" si="42">U97*365/12</f>
        <v>285.30833333333334</v>
      </c>
      <c r="W97" s="4070">
        <v>44348</v>
      </c>
      <c r="X97" s="4071">
        <v>0.05</v>
      </c>
      <c r="Y97" s="4069">
        <f t="shared" ref="Y97:Y103" si="43">IF(W97&lt;&gt;"N/A",ROUND(U97*(1+X97),2),0)</f>
        <v>9.85</v>
      </c>
      <c r="Z97" s="4069">
        <f t="shared" ref="Z97:Z103" si="44">Y97*365/12</f>
        <v>299.60416666666669</v>
      </c>
      <c r="AA97" s="4070">
        <v>44713</v>
      </c>
      <c r="AB97" s="4071">
        <v>0.05</v>
      </c>
      <c r="AC97" s="4069">
        <f t="shared" ref="AC97:AC103" si="45">IF(AA97&lt;&gt;"N/A",ROUND(Y97*(1+AB97),2),0)</f>
        <v>10.34</v>
      </c>
      <c r="AD97" s="4069">
        <f t="shared" ref="AD97:AD105" si="46">AC97*365/12</f>
        <v>314.50833333333333</v>
      </c>
    </row>
    <row r="98" spans="1:30" ht="16.5">
      <c r="A98" s="4060">
        <v>2</v>
      </c>
      <c r="B98" s="4061">
        <v>1</v>
      </c>
      <c r="C98" s="4062" t="s">
        <v>4826</v>
      </c>
      <c r="D98" s="4063" t="s">
        <v>4827</v>
      </c>
      <c r="E98" s="4063" t="s">
        <v>4825</v>
      </c>
      <c r="F98" s="4082" t="s">
        <v>2930</v>
      </c>
      <c r="G98" s="4065">
        <v>188.24</v>
      </c>
      <c r="H98" s="4066">
        <v>43078</v>
      </c>
      <c r="I98" s="4066">
        <v>44903</v>
      </c>
      <c r="J98" s="4067">
        <f t="shared" si="37"/>
        <v>1826</v>
      </c>
      <c r="K98" s="4065">
        <f t="shared" si="38"/>
        <v>0</v>
      </c>
      <c r="L98" s="4068">
        <v>8.5</v>
      </c>
      <c r="M98" s="4068">
        <f t="shared" si="39"/>
        <v>258.54166666666669</v>
      </c>
      <c r="N98" s="4069">
        <v>0</v>
      </c>
      <c r="O98" s="4070">
        <v>43443</v>
      </c>
      <c r="P98" s="4071">
        <v>0.05</v>
      </c>
      <c r="Q98" s="4069">
        <f>IF(O98&lt;&gt;"N/A",ROUND(L98*(1+P98),2),0)</f>
        <v>8.93</v>
      </c>
      <c r="R98" s="4069">
        <f t="shared" si="40"/>
        <v>271.62083333333334</v>
      </c>
      <c r="S98" s="4070">
        <v>43808</v>
      </c>
      <c r="T98" s="4071">
        <v>0.05</v>
      </c>
      <c r="U98" s="4069">
        <f t="shared" si="41"/>
        <v>9.3800000000000008</v>
      </c>
      <c r="V98" s="4069">
        <f t="shared" si="42"/>
        <v>285.30833333333334</v>
      </c>
      <c r="W98" s="4070">
        <v>44174</v>
      </c>
      <c r="X98" s="4071">
        <v>0.05</v>
      </c>
      <c r="Y98" s="4069">
        <f t="shared" si="43"/>
        <v>9.85</v>
      </c>
      <c r="Z98" s="4069">
        <f t="shared" si="44"/>
        <v>299.60416666666669</v>
      </c>
      <c r="AA98" s="4070">
        <v>44539</v>
      </c>
      <c r="AB98" s="4071">
        <v>0.05</v>
      </c>
      <c r="AC98" s="4069">
        <f t="shared" si="45"/>
        <v>10.34</v>
      </c>
      <c r="AD98" s="4069">
        <f t="shared" si="46"/>
        <v>314.50833333333333</v>
      </c>
    </row>
    <row r="99" spans="1:30" ht="16.5">
      <c r="A99" s="4060">
        <v>3</v>
      </c>
      <c r="B99" s="4061">
        <v>1</v>
      </c>
      <c r="C99" s="4062" t="s">
        <v>4828</v>
      </c>
      <c r="D99" s="4063" t="s">
        <v>4829</v>
      </c>
      <c r="E99" s="4063" t="s">
        <v>4825</v>
      </c>
      <c r="F99" s="4082" t="s">
        <v>2930</v>
      </c>
      <c r="G99" s="4065">
        <v>188.24</v>
      </c>
      <c r="H99" s="4066">
        <v>43101</v>
      </c>
      <c r="I99" s="4066">
        <v>44926</v>
      </c>
      <c r="J99" s="4067">
        <f t="shared" si="37"/>
        <v>1826</v>
      </c>
      <c r="K99" s="4065">
        <f t="shared" si="38"/>
        <v>0</v>
      </c>
      <c r="L99" s="4068">
        <v>8.5</v>
      </c>
      <c r="M99" s="4068">
        <f t="shared" si="39"/>
        <v>258.54166666666669</v>
      </c>
      <c r="N99" s="4069">
        <v>0</v>
      </c>
      <c r="O99" s="4070">
        <v>43466</v>
      </c>
      <c r="P99" s="4071">
        <v>0.05</v>
      </c>
      <c r="Q99" s="4069">
        <f>IF(O99&lt;&gt;"N/A",ROUND(L99*(1+P99),2),0)</f>
        <v>8.93</v>
      </c>
      <c r="R99" s="4069">
        <f t="shared" si="40"/>
        <v>271.62083333333334</v>
      </c>
      <c r="S99" s="4070">
        <v>43831</v>
      </c>
      <c r="T99" s="4071">
        <v>0.05</v>
      </c>
      <c r="U99" s="4069">
        <f t="shared" si="41"/>
        <v>9.3800000000000008</v>
      </c>
      <c r="V99" s="4069">
        <f t="shared" si="42"/>
        <v>285.30833333333334</v>
      </c>
      <c r="W99" s="4070">
        <v>44197</v>
      </c>
      <c r="X99" s="4071">
        <v>0.05</v>
      </c>
      <c r="Y99" s="4069">
        <f t="shared" si="43"/>
        <v>9.85</v>
      </c>
      <c r="Z99" s="4069">
        <f t="shared" si="44"/>
        <v>299.60416666666669</v>
      </c>
      <c r="AA99" s="4070">
        <v>44562</v>
      </c>
      <c r="AB99" s="4071">
        <v>0.05</v>
      </c>
      <c r="AC99" s="4069">
        <f t="shared" si="45"/>
        <v>10.34</v>
      </c>
      <c r="AD99" s="4069">
        <f t="shared" si="46"/>
        <v>314.50833333333333</v>
      </c>
    </row>
    <row r="100" spans="1:30" ht="16.5">
      <c r="A100" s="4060">
        <v>4</v>
      </c>
      <c r="B100" s="4061">
        <v>1</v>
      </c>
      <c r="C100" s="4062" t="s">
        <v>4830</v>
      </c>
      <c r="D100" s="4063" t="s">
        <v>4831</v>
      </c>
      <c r="E100" s="4063" t="s">
        <v>4825</v>
      </c>
      <c r="F100" s="4082" t="s">
        <v>2930</v>
      </c>
      <c r="G100" s="4065">
        <v>188.24</v>
      </c>
      <c r="H100" s="4066">
        <v>43101</v>
      </c>
      <c r="I100" s="4066">
        <v>44926</v>
      </c>
      <c r="J100" s="4067">
        <f t="shared" si="37"/>
        <v>1826</v>
      </c>
      <c r="K100" s="4065">
        <f t="shared" si="38"/>
        <v>0</v>
      </c>
      <c r="L100" s="4068">
        <v>8.5</v>
      </c>
      <c r="M100" s="4068">
        <f t="shared" si="39"/>
        <v>258.54166666666669</v>
      </c>
      <c r="N100" s="4069">
        <v>0</v>
      </c>
      <c r="O100" s="4070">
        <v>43466</v>
      </c>
      <c r="P100" s="4071">
        <v>0.05</v>
      </c>
      <c r="Q100" s="4069">
        <f>IF(O100&lt;&gt;"N/A",ROUND(L100*(1+P100),2),0)</f>
        <v>8.93</v>
      </c>
      <c r="R100" s="4069">
        <f t="shared" si="40"/>
        <v>271.62083333333334</v>
      </c>
      <c r="S100" s="4070">
        <v>43831</v>
      </c>
      <c r="T100" s="4071">
        <v>0.05</v>
      </c>
      <c r="U100" s="4069">
        <f t="shared" si="41"/>
        <v>9.3800000000000008</v>
      </c>
      <c r="V100" s="4069">
        <f t="shared" si="42"/>
        <v>285.30833333333334</v>
      </c>
      <c r="W100" s="4070">
        <v>44197</v>
      </c>
      <c r="X100" s="4071">
        <v>0.05</v>
      </c>
      <c r="Y100" s="4069">
        <f t="shared" si="43"/>
        <v>9.85</v>
      </c>
      <c r="Z100" s="4069">
        <f t="shared" si="44"/>
        <v>299.60416666666669</v>
      </c>
      <c r="AA100" s="4070">
        <v>44562</v>
      </c>
      <c r="AB100" s="4071">
        <v>0.05</v>
      </c>
      <c r="AC100" s="4069">
        <f t="shared" si="45"/>
        <v>10.34</v>
      </c>
      <c r="AD100" s="4069">
        <f t="shared" si="46"/>
        <v>314.50833333333333</v>
      </c>
    </row>
    <row r="101" spans="1:30" ht="33">
      <c r="A101" s="4060">
        <v>5</v>
      </c>
      <c r="B101" s="4061">
        <v>1</v>
      </c>
      <c r="C101" s="4072" t="s">
        <v>4893</v>
      </c>
      <c r="D101" s="4063" t="s">
        <v>4614</v>
      </c>
      <c r="E101" s="4063" t="s">
        <v>4825</v>
      </c>
      <c r="F101" s="4082" t="s">
        <v>2930</v>
      </c>
      <c r="G101" s="4065">
        <v>278.18</v>
      </c>
      <c r="H101" s="4066">
        <v>43087</v>
      </c>
      <c r="I101" s="4066">
        <v>44912</v>
      </c>
      <c r="J101" s="4067">
        <f t="shared" si="37"/>
        <v>1826</v>
      </c>
      <c r="K101" s="4065">
        <f t="shared" si="38"/>
        <v>0</v>
      </c>
      <c r="L101" s="4068">
        <v>8.5</v>
      </c>
      <c r="M101" s="4068">
        <f t="shared" si="39"/>
        <v>258.54166666666669</v>
      </c>
      <c r="N101" s="4069">
        <v>0</v>
      </c>
      <c r="O101" s="4070">
        <v>43452</v>
      </c>
      <c r="P101" s="4071">
        <v>0.05</v>
      </c>
      <c r="Q101" s="4069">
        <f>IF(O101&lt;&gt;"N/A",ROUND(L101*(1+P101),2),0)</f>
        <v>8.93</v>
      </c>
      <c r="R101" s="4069">
        <f t="shared" si="40"/>
        <v>271.62083333333334</v>
      </c>
      <c r="S101" s="4070">
        <v>43817</v>
      </c>
      <c r="T101" s="4071">
        <v>0.05</v>
      </c>
      <c r="U101" s="4069">
        <f t="shared" si="41"/>
        <v>9.3800000000000008</v>
      </c>
      <c r="V101" s="4069">
        <f t="shared" si="42"/>
        <v>285.30833333333334</v>
      </c>
      <c r="W101" s="4070">
        <v>44183</v>
      </c>
      <c r="X101" s="4071">
        <v>0.05</v>
      </c>
      <c r="Y101" s="4069">
        <f t="shared" si="43"/>
        <v>9.85</v>
      </c>
      <c r="Z101" s="4069">
        <f t="shared" si="44"/>
        <v>299.60416666666669</v>
      </c>
      <c r="AA101" s="4070">
        <v>44548</v>
      </c>
      <c r="AB101" s="4071">
        <v>0.05</v>
      </c>
      <c r="AC101" s="4069">
        <f t="shared" si="45"/>
        <v>10.34</v>
      </c>
      <c r="AD101" s="4069">
        <f t="shared" si="46"/>
        <v>314.50833333333333</v>
      </c>
    </row>
    <row r="102" spans="1:30" ht="33">
      <c r="A102" s="4060">
        <v>6</v>
      </c>
      <c r="B102" s="4061">
        <v>1</v>
      </c>
      <c r="C102" s="4072" t="s">
        <v>4895</v>
      </c>
      <c r="D102" s="4063" t="s">
        <v>4834</v>
      </c>
      <c r="E102" s="4083" t="s">
        <v>4825</v>
      </c>
      <c r="F102" s="4082" t="s">
        <v>2930</v>
      </c>
      <c r="G102" s="4065">
        <v>425.96</v>
      </c>
      <c r="H102" s="4066">
        <v>44202</v>
      </c>
      <c r="I102" s="4066">
        <v>46027</v>
      </c>
      <c r="J102" s="4067">
        <f t="shared" si="37"/>
        <v>1826</v>
      </c>
      <c r="K102" s="4065">
        <f t="shared" si="38"/>
        <v>0</v>
      </c>
      <c r="L102" s="4068">
        <v>9.85</v>
      </c>
      <c r="M102" s="4068">
        <f t="shared" si="39"/>
        <v>299.60416666666669</v>
      </c>
      <c r="N102" s="4069">
        <v>0</v>
      </c>
      <c r="O102" s="4070">
        <v>44567</v>
      </c>
      <c r="P102" s="4071">
        <v>0.05</v>
      </c>
      <c r="Q102" s="4069">
        <f>L102*(1+P102)</f>
        <v>10.342499999999999</v>
      </c>
      <c r="R102" s="4069">
        <f t="shared" si="40"/>
        <v>314.58437499999997</v>
      </c>
      <c r="S102" s="4070">
        <v>44932</v>
      </c>
      <c r="T102" s="4071">
        <v>0.05</v>
      </c>
      <c r="U102" s="4069">
        <f t="shared" si="41"/>
        <v>10.86</v>
      </c>
      <c r="V102" s="4069">
        <f t="shared" si="42"/>
        <v>330.32499999999999</v>
      </c>
      <c r="W102" s="4070">
        <v>45297</v>
      </c>
      <c r="X102" s="4071">
        <v>0.05</v>
      </c>
      <c r="Y102" s="4069">
        <f t="shared" si="43"/>
        <v>11.4</v>
      </c>
      <c r="Z102" s="4069">
        <f t="shared" si="44"/>
        <v>346.75</v>
      </c>
      <c r="AA102" s="4070">
        <v>45663</v>
      </c>
      <c r="AB102" s="4071">
        <v>0.05</v>
      </c>
      <c r="AC102" s="4069">
        <f t="shared" si="45"/>
        <v>11.97</v>
      </c>
      <c r="AD102" s="4069">
        <f t="shared" si="46"/>
        <v>364.08750000000003</v>
      </c>
    </row>
    <row r="103" spans="1:30" ht="16.5">
      <c r="A103" s="4060">
        <v>7</v>
      </c>
      <c r="B103" s="4061">
        <v>1</v>
      </c>
      <c r="C103" s="4062" t="s">
        <v>4841</v>
      </c>
      <c r="D103" s="4063" t="s">
        <v>4919</v>
      </c>
      <c r="E103" s="4083" t="s">
        <v>4825</v>
      </c>
      <c r="F103" s="4082" t="s">
        <v>2930</v>
      </c>
      <c r="G103" s="4065">
        <v>80.150000000000006</v>
      </c>
      <c r="H103" s="4066">
        <v>44440</v>
      </c>
      <c r="I103" s="4084">
        <v>46265</v>
      </c>
      <c r="J103" s="4067">
        <f t="shared" si="37"/>
        <v>1826</v>
      </c>
      <c r="K103" s="4065">
        <f t="shared" si="38"/>
        <v>0</v>
      </c>
      <c r="L103" s="4068">
        <v>13</v>
      </c>
      <c r="M103" s="4068">
        <f t="shared" si="39"/>
        <v>395.41666666666669</v>
      </c>
      <c r="N103" s="4069">
        <v>0</v>
      </c>
      <c r="O103" s="4070">
        <v>44805</v>
      </c>
      <c r="P103" s="4071">
        <v>0.03</v>
      </c>
      <c r="Q103" s="4069">
        <f>IF(O103&lt;&gt;"N/A",ROUND(L103*(1+P103),2),0)</f>
        <v>13.39</v>
      </c>
      <c r="R103" s="4069">
        <f t="shared" si="40"/>
        <v>407.2791666666667</v>
      </c>
      <c r="S103" s="4070">
        <v>45170</v>
      </c>
      <c r="T103" s="4071">
        <v>0.03</v>
      </c>
      <c r="U103" s="4069">
        <f t="shared" si="41"/>
        <v>13.79</v>
      </c>
      <c r="V103" s="4069">
        <f t="shared" si="42"/>
        <v>419.44583333333327</v>
      </c>
      <c r="W103" s="4070">
        <v>45536</v>
      </c>
      <c r="X103" s="4071">
        <v>0.03</v>
      </c>
      <c r="Y103" s="4069">
        <f t="shared" si="43"/>
        <v>14.2</v>
      </c>
      <c r="Z103" s="4069">
        <f t="shared" si="44"/>
        <v>431.91666666666669</v>
      </c>
      <c r="AA103" s="4070">
        <v>45901</v>
      </c>
      <c r="AB103" s="4071">
        <v>0.03</v>
      </c>
      <c r="AC103" s="4069">
        <f t="shared" si="45"/>
        <v>14.63</v>
      </c>
      <c r="AD103" s="4069">
        <f t="shared" si="46"/>
        <v>444.99583333333339</v>
      </c>
    </row>
    <row r="104" spans="1:30" ht="16.5">
      <c r="A104" s="4060">
        <v>8</v>
      </c>
      <c r="B104" s="4061">
        <v>2</v>
      </c>
      <c r="C104" s="4085" t="s">
        <v>4920</v>
      </c>
      <c r="D104" s="4075" t="s">
        <v>4921</v>
      </c>
      <c r="E104" s="4086" t="s">
        <v>4838</v>
      </c>
      <c r="F104" s="4087" t="s">
        <v>2929</v>
      </c>
      <c r="G104" s="4069">
        <v>1513.71</v>
      </c>
      <c r="H104" s="4070">
        <v>44508</v>
      </c>
      <c r="I104" s="4088">
        <v>45237</v>
      </c>
      <c r="J104" s="4061">
        <f t="shared" si="37"/>
        <v>730</v>
      </c>
      <c r="K104" s="4065">
        <f t="shared" si="38"/>
        <v>0</v>
      </c>
      <c r="L104" s="4068">
        <v>7.6</v>
      </c>
      <c r="M104" s="4068">
        <f t="shared" si="39"/>
        <v>231.16666666666666</v>
      </c>
      <c r="N104" s="4069">
        <v>0</v>
      </c>
      <c r="O104" s="4070">
        <v>44873</v>
      </c>
      <c r="P104" s="4071">
        <v>0.05</v>
      </c>
      <c r="Q104" s="4069">
        <f>L104*(1+P104)</f>
        <v>7.9799999999999995</v>
      </c>
      <c r="R104" s="4069">
        <f t="shared" si="40"/>
        <v>242.72499999999999</v>
      </c>
      <c r="S104" s="4073" t="s">
        <v>4835</v>
      </c>
      <c r="T104" s="4071">
        <v>0</v>
      </c>
      <c r="U104" s="4069"/>
      <c r="V104" s="4069"/>
      <c r="W104" s="4073" t="s">
        <v>4835</v>
      </c>
      <c r="X104" s="4062"/>
      <c r="Y104" s="4069"/>
      <c r="Z104" s="4069"/>
      <c r="AA104" s="4073" t="s">
        <v>4835</v>
      </c>
      <c r="AB104" s="4062"/>
      <c r="AC104" s="4069"/>
      <c r="AD104" s="4069">
        <f t="shared" si="46"/>
        <v>0</v>
      </c>
    </row>
    <row r="105" spans="1:30" ht="16.5">
      <c r="A105" s="4060">
        <v>9</v>
      </c>
      <c r="B105" s="4061">
        <v>2</v>
      </c>
      <c r="C105" s="4085" t="s">
        <v>4922</v>
      </c>
      <c r="D105" s="4075" t="s">
        <v>4923</v>
      </c>
      <c r="E105" s="4086" t="s">
        <v>4838</v>
      </c>
      <c r="F105" s="4087" t="s">
        <v>2929</v>
      </c>
      <c r="G105" s="4069">
        <v>2747.27</v>
      </c>
      <c r="H105" s="4070">
        <v>44508</v>
      </c>
      <c r="I105" s="4088">
        <v>45237</v>
      </c>
      <c r="J105" s="4061">
        <f t="shared" si="37"/>
        <v>730</v>
      </c>
      <c r="K105" s="4065">
        <f t="shared" si="38"/>
        <v>0</v>
      </c>
      <c r="L105" s="4068">
        <v>7.6</v>
      </c>
      <c r="M105" s="4068">
        <f t="shared" si="39"/>
        <v>231.16666666666666</v>
      </c>
      <c r="N105" s="4069">
        <v>0</v>
      </c>
      <c r="O105" s="4070">
        <v>44873</v>
      </c>
      <c r="P105" s="4071">
        <v>0.05</v>
      </c>
      <c r="Q105" s="4069">
        <f>L105*(1+P105)</f>
        <v>7.9799999999999995</v>
      </c>
      <c r="R105" s="4069">
        <f t="shared" si="40"/>
        <v>242.72499999999999</v>
      </c>
      <c r="S105" s="4073" t="s">
        <v>4835</v>
      </c>
      <c r="T105" s="4071">
        <v>0</v>
      </c>
      <c r="U105" s="4069"/>
      <c r="V105" s="4069"/>
      <c r="W105" s="4073" t="s">
        <v>4835</v>
      </c>
      <c r="X105" s="4062"/>
      <c r="Y105" s="4069"/>
      <c r="Z105" s="4069"/>
      <c r="AA105" s="4073" t="s">
        <v>4835</v>
      </c>
      <c r="AB105" s="4062"/>
      <c r="AC105" s="4069"/>
      <c r="AD105" s="4069">
        <f t="shared" si="46"/>
        <v>0</v>
      </c>
    </row>
    <row r="107" spans="1:30">
      <c r="A107" s="4056">
        <v>2022</v>
      </c>
    </row>
    <row r="109" spans="1:30" ht="16.5">
      <c r="A109" s="4749" t="s">
        <v>4918</v>
      </c>
      <c r="B109" s="4749"/>
      <c r="C109" s="4749"/>
      <c r="D109" s="4749"/>
      <c r="E109" s="4749"/>
      <c r="F109" s="4749"/>
      <c r="G109" s="4749"/>
      <c r="H109" s="4749" t="s">
        <v>3104</v>
      </c>
      <c r="I109" s="4749"/>
      <c r="J109" s="4749"/>
      <c r="K109" s="4072" t="s">
        <v>4803</v>
      </c>
      <c r="L109" s="4749" t="s">
        <v>4804</v>
      </c>
      <c r="M109" s="4749"/>
      <c r="N109" s="4749"/>
      <c r="O109" s="4749" t="s">
        <v>4805</v>
      </c>
      <c r="P109" s="4749"/>
      <c r="Q109" s="4749"/>
      <c r="R109" s="4749"/>
      <c r="S109" s="4749"/>
      <c r="T109" s="4749"/>
      <c r="U109" s="4749"/>
      <c r="V109" s="4749"/>
      <c r="W109" s="4749"/>
      <c r="X109" s="4749"/>
      <c r="Y109" s="4749"/>
      <c r="Z109" s="4749"/>
      <c r="AA109" s="4749"/>
      <c r="AB109" s="4749"/>
      <c r="AC109" s="4073"/>
      <c r="AD109" s="4073"/>
    </row>
    <row r="110" spans="1:30" ht="33">
      <c r="A110" s="4057" t="s">
        <v>2745</v>
      </c>
      <c r="B110" s="4057" t="s">
        <v>4567</v>
      </c>
      <c r="C110" s="4057" t="s">
        <v>4806</v>
      </c>
      <c r="D110" s="4057" t="s">
        <v>4569</v>
      </c>
      <c r="E110" s="4057" t="s">
        <v>4807</v>
      </c>
      <c r="F110" s="4057" t="s">
        <v>4808</v>
      </c>
      <c r="G110" s="4057" t="s">
        <v>4914</v>
      </c>
      <c r="H110" s="4058" t="s">
        <v>4810</v>
      </c>
      <c r="I110" s="4058" t="s">
        <v>4503</v>
      </c>
      <c r="J110" s="4057" t="s">
        <v>4811</v>
      </c>
      <c r="K110" s="4057" t="s">
        <v>4812</v>
      </c>
      <c r="L110" s="4057" t="s">
        <v>4915</v>
      </c>
      <c r="M110" s="4057" t="s">
        <v>4814</v>
      </c>
      <c r="N110" s="4057" t="s">
        <v>4815</v>
      </c>
      <c r="O110" s="4057" t="s">
        <v>4816</v>
      </c>
      <c r="P110" s="4059" t="s">
        <v>4916</v>
      </c>
      <c r="Q110" s="4057" t="s">
        <v>4818</v>
      </c>
      <c r="R110" s="4057" t="s">
        <v>4819</v>
      </c>
      <c r="S110" s="4057" t="s">
        <v>4820</v>
      </c>
      <c r="T110" s="4057" t="s">
        <v>4916</v>
      </c>
      <c r="U110" s="4057" t="s">
        <v>4818</v>
      </c>
      <c r="V110" s="4057" t="s">
        <v>4819</v>
      </c>
      <c r="W110" s="4057" t="s">
        <v>4821</v>
      </c>
      <c r="X110" s="4057" t="s">
        <v>4916</v>
      </c>
      <c r="Y110" s="4057" t="s">
        <v>4818</v>
      </c>
      <c r="Z110" s="4057" t="s">
        <v>4819</v>
      </c>
      <c r="AA110" s="4057" t="s">
        <v>4822</v>
      </c>
      <c r="AB110" s="4057" t="s">
        <v>4916</v>
      </c>
      <c r="AC110" s="4057" t="s">
        <v>4818</v>
      </c>
      <c r="AD110" s="4057" t="s">
        <v>4819</v>
      </c>
    </row>
    <row r="111" spans="1:30" ht="18">
      <c r="A111" s="4089" t="s">
        <v>4924</v>
      </c>
      <c r="B111" s="4090"/>
      <c r="C111" s="4057"/>
      <c r="D111" s="4057"/>
      <c r="E111" s="4057"/>
      <c r="F111" s="4057"/>
      <c r="G111" s="4057"/>
      <c r="H111" s="4058"/>
      <c r="I111" s="4058"/>
      <c r="J111" s="4057"/>
      <c r="K111" s="4069"/>
      <c r="L111" s="4057"/>
      <c r="M111" s="4057"/>
      <c r="N111" s="4057"/>
      <c r="O111" s="4057"/>
      <c r="P111" s="4059"/>
      <c r="Q111" s="4057"/>
      <c r="R111" s="4057"/>
      <c r="S111" s="4057"/>
      <c r="T111" s="4057"/>
      <c r="U111" s="4057"/>
      <c r="V111" s="4057"/>
      <c r="W111" s="4057"/>
      <c r="X111" s="4057"/>
      <c r="Y111" s="4057"/>
      <c r="Z111" s="4057"/>
      <c r="AA111" s="4057"/>
      <c r="AB111" s="4057"/>
      <c r="AC111" s="4057"/>
      <c r="AD111" s="4057"/>
    </row>
    <row r="112" spans="1:30" ht="16.5">
      <c r="A112" s="4060">
        <v>1</v>
      </c>
      <c r="B112" s="4061">
        <v>1</v>
      </c>
      <c r="C112" s="4062" t="s">
        <v>4823</v>
      </c>
      <c r="D112" s="4063" t="s">
        <v>4824</v>
      </c>
      <c r="E112" s="4063" t="s">
        <v>4825</v>
      </c>
      <c r="F112" s="4082" t="s">
        <v>2930</v>
      </c>
      <c r="G112" s="4065">
        <v>205.88</v>
      </c>
      <c r="H112" s="4066">
        <v>43252</v>
      </c>
      <c r="I112" s="4066">
        <v>45077</v>
      </c>
      <c r="J112" s="4067">
        <f t="shared" ref="J112:J119" si="47">+I112-H112+1</f>
        <v>1826</v>
      </c>
      <c r="K112" s="4065">
        <f t="shared" ref="K112:K119" si="48">IF($D$3&lt;H112,0,IF($D$3&lt;O112,L112,IF($D$3&lt;S112,Q112,IF($D$3&lt;W112,U112,IF($D$3&lt;AA112,Y112,AC112)))))</f>
        <v>0</v>
      </c>
      <c r="L112" s="4068">
        <v>8.5</v>
      </c>
      <c r="M112" s="4068">
        <f t="shared" ref="M112:M119" si="49">L112*365/12</f>
        <v>258.54166666666669</v>
      </c>
      <c r="N112" s="4069">
        <v>0</v>
      </c>
      <c r="O112" s="4070">
        <v>43617</v>
      </c>
      <c r="P112" s="4071">
        <v>0.05</v>
      </c>
      <c r="Q112" s="4069">
        <f t="shared" ref="Q112:Q115" si="50">IF(O112&lt;&gt;"N/A",ROUND(L112*(1+P112),2),0)</f>
        <v>8.93</v>
      </c>
      <c r="R112" s="4069">
        <f t="shared" ref="R112:R119" si="51">Q112*365/12</f>
        <v>271.62083333333334</v>
      </c>
      <c r="S112" s="4070">
        <v>43983</v>
      </c>
      <c r="T112" s="4071">
        <v>0.05</v>
      </c>
      <c r="U112" s="4069">
        <f t="shared" ref="U112:U117" si="52">IF(S112&lt;&gt;"N/A",ROUND(Q112*(1+T112),2),0)</f>
        <v>9.3800000000000008</v>
      </c>
      <c r="V112" s="4069">
        <f t="shared" ref="V112:V117" si="53">U112*365/12</f>
        <v>285.30833333333334</v>
      </c>
      <c r="W112" s="4070">
        <v>44348</v>
      </c>
      <c r="X112" s="4071">
        <v>0.05</v>
      </c>
      <c r="Y112" s="4069">
        <f t="shared" ref="Y112:Y117" si="54">IF(W112&lt;&gt;"N/A",ROUND(U112*(1+X112),2),0)</f>
        <v>9.85</v>
      </c>
      <c r="Z112" s="4069">
        <f t="shared" ref="Z112:Z117" si="55">Y112*365/12</f>
        <v>299.60416666666669</v>
      </c>
      <c r="AA112" s="4070">
        <v>44713</v>
      </c>
      <c r="AB112" s="4071">
        <v>0.05</v>
      </c>
      <c r="AC112" s="4069">
        <f t="shared" ref="AC112:AC117" si="56">IF(AA112&lt;&gt;"N/A",ROUND(Y112*(1+AB112),2),0)</f>
        <v>10.34</v>
      </c>
      <c r="AD112" s="4069">
        <f t="shared" ref="AD112:AD119" si="57">AC112*365/12</f>
        <v>314.50833333333333</v>
      </c>
    </row>
    <row r="113" spans="1:30" ht="16.5">
      <c r="A113" s="4060">
        <v>2</v>
      </c>
      <c r="B113" s="4061">
        <v>1</v>
      </c>
      <c r="C113" s="4062" t="s">
        <v>4826</v>
      </c>
      <c r="D113" s="4063" t="s">
        <v>4827</v>
      </c>
      <c r="E113" s="4063" t="s">
        <v>4825</v>
      </c>
      <c r="F113" s="4082" t="s">
        <v>2930</v>
      </c>
      <c r="G113" s="4065">
        <v>188.24</v>
      </c>
      <c r="H113" s="4066">
        <v>44904</v>
      </c>
      <c r="I113" s="4066">
        <v>46729</v>
      </c>
      <c r="J113" s="4067">
        <f t="shared" si="47"/>
        <v>1826</v>
      </c>
      <c r="K113" s="4065">
        <f t="shared" si="48"/>
        <v>0</v>
      </c>
      <c r="L113" s="4068">
        <v>10</v>
      </c>
      <c r="M113" s="4068">
        <f t="shared" si="49"/>
        <v>304.16666666666669</v>
      </c>
      <c r="N113" s="4069">
        <v>0</v>
      </c>
      <c r="O113" s="4070">
        <v>45635</v>
      </c>
      <c r="P113" s="4071">
        <v>0.05</v>
      </c>
      <c r="Q113" s="4069">
        <f t="shared" si="50"/>
        <v>10.5</v>
      </c>
      <c r="R113" s="4069">
        <f t="shared" si="51"/>
        <v>319.375</v>
      </c>
      <c r="S113" s="4070">
        <v>46365</v>
      </c>
      <c r="T113" s="4071">
        <v>0.05</v>
      </c>
      <c r="U113" s="4069">
        <f t="shared" si="52"/>
        <v>11.03</v>
      </c>
      <c r="V113" s="4069">
        <f t="shared" si="53"/>
        <v>335.49583333333334</v>
      </c>
      <c r="W113" s="4073" t="s">
        <v>4835</v>
      </c>
      <c r="X113" s="4071">
        <v>0</v>
      </c>
      <c r="Y113" s="4069">
        <f t="shared" si="54"/>
        <v>0</v>
      </c>
      <c r="Z113" s="4069">
        <f t="shared" si="55"/>
        <v>0</v>
      </c>
      <c r="AA113" s="4073" t="s">
        <v>4835</v>
      </c>
      <c r="AB113" s="4071">
        <v>0</v>
      </c>
      <c r="AC113" s="4069">
        <f t="shared" si="56"/>
        <v>0</v>
      </c>
      <c r="AD113" s="4069">
        <f t="shared" si="57"/>
        <v>0</v>
      </c>
    </row>
    <row r="114" spans="1:30" ht="16.5">
      <c r="A114" s="4060">
        <v>3</v>
      </c>
      <c r="B114" s="4061">
        <v>1</v>
      </c>
      <c r="C114" s="4062" t="s">
        <v>4830</v>
      </c>
      <c r="D114" s="4091" t="s">
        <v>4925</v>
      </c>
      <c r="E114" s="4063" t="s">
        <v>4825</v>
      </c>
      <c r="F114" s="4082" t="s">
        <v>2930</v>
      </c>
      <c r="G114" s="4065">
        <v>188.24</v>
      </c>
      <c r="H114" s="4066">
        <v>44958</v>
      </c>
      <c r="I114" s="4066">
        <v>46783</v>
      </c>
      <c r="J114" s="4067">
        <f t="shared" si="47"/>
        <v>1826</v>
      </c>
      <c r="K114" s="4065">
        <v>10</v>
      </c>
      <c r="L114" s="4068">
        <v>10</v>
      </c>
      <c r="M114" s="4068">
        <f t="shared" si="49"/>
        <v>304.16666666666669</v>
      </c>
      <c r="N114" s="4069">
        <v>0</v>
      </c>
      <c r="O114" s="4070">
        <v>45689</v>
      </c>
      <c r="P114" s="4071">
        <v>0.06</v>
      </c>
      <c r="Q114" s="4069">
        <f t="shared" si="50"/>
        <v>10.6</v>
      </c>
      <c r="R114" s="4069">
        <f t="shared" si="51"/>
        <v>322.41666666666669</v>
      </c>
      <c r="S114" s="4070">
        <v>46419</v>
      </c>
      <c r="T114" s="4071">
        <v>0.06</v>
      </c>
      <c r="U114" s="4069">
        <f t="shared" si="52"/>
        <v>11.24</v>
      </c>
      <c r="V114" s="4069">
        <f t="shared" si="53"/>
        <v>341.88333333333338</v>
      </c>
      <c r="W114" s="4073" t="s">
        <v>4835</v>
      </c>
      <c r="X114" s="4071"/>
      <c r="Y114" s="4069">
        <f t="shared" si="54"/>
        <v>0</v>
      </c>
      <c r="Z114" s="4069">
        <f t="shared" si="55"/>
        <v>0</v>
      </c>
      <c r="AA114" s="4073" t="s">
        <v>4835</v>
      </c>
      <c r="AB114" s="4071"/>
      <c r="AC114" s="4069">
        <f t="shared" si="56"/>
        <v>0</v>
      </c>
      <c r="AD114" s="4069">
        <f t="shared" si="57"/>
        <v>0</v>
      </c>
    </row>
    <row r="115" spans="1:30" ht="17.25">
      <c r="A115" s="4060">
        <v>4</v>
      </c>
      <c r="B115" s="4061"/>
      <c r="C115" s="4062" t="s">
        <v>4926</v>
      </c>
      <c r="D115" s="4063" t="s">
        <v>4927</v>
      </c>
      <c r="E115" s="4063" t="s">
        <v>4825</v>
      </c>
      <c r="F115" s="4082" t="s">
        <v>2930</v>
      </c>
      <c r="G115" s="4065">
        <v>278.18</v>
      </c>
      <c r="H115" s="4066">
        <v>44835</v>
      </c>
      <c r="I115" s="4066">
        <v>46660</v>
      </c>
      <c r="J115" s="4067">
        <f t="shared" si="47"/>
        <v>1826</v>
      </c>
      <c r="K115" s="4065">
        <f t="shared" si="48"/>
        <v>0</v>
      </c>
      <c r="L115" s="4068">
        <v>10.8</v>
      </c>
      <c r="M115" s="4068">
        <f t="shared" si="49"/>
        <v>328.50000000000006</v>
      </c>
      <c r="N115" s="4069">
        <v>0</v>
      </c>
      <c r="O115" s="4070">
        <v>45566</v>
      </c>
      <c r="P115" s="4071">
        <v>0.06</v>
      </c>
      <c r="Q115" s="4069">
        <f t="shared" si="50"/>
        <v>11.45</v>
      </c>
      <c r="R115" s="4069">
        <f t="shared" si="51"/>
        <v>348.27083333333331</v>
      </c>
      <c r="S115" s="4070">
        <v>46296</v>
      </c>
      <c r="T115" s="4071">
        <v>0.06</v>
      </c>
      <c r="U115" s="4069">
        <f t="shared" si="52"/>
        <v>12.14</v>
      </c>
      <c r="V115" s="4069">
        <f t="shared" si="53"/>
        <v>369.25833333333338</v>
      </c>
      <c r="W115" s="4073" t="s">
        <v>4835</v>
      </c>
      <c r="X115" s="4071"/>
      <c r="Y115" s="4069">
        <f t="shared" si="54"/>
        <v>0</v>
      </c>
      <c r="Z115" s="4069">
        <f t="shared" si="55"/>
        <v>0</v>
      </c>
      <c r="AA115" s="4073" t="s">
        <v>4835</v>
      </c>
      <c r="AB115" s="4071"/>
      <c r="AC115" s="4069">
        <f t="shared" si="56"/>
        <v>0</v>
      </c>
      <c r="AD115" s="4069">
        <f t="shared" si="57"/>
        <v>0</v>
      </c>
    </row>
    <row r="116" spans="1:30" ht="33">
      <c r="A116" s="4060">
        <v>5</v>
      </c>
      <c r="B116" s="4061">
        <v>1</v>
      </c>
      <c r="C116" s="4072" t="s">
        <v>4895</v>
      </c>
      <c r="D116" s="4063" t="s">
        <v>4834</v>
      </c>
      <c r="E116" s="4063" t="s">
        <v>4825</v>
      </c>
      <c r="F116" s="4082" t="s">
        <v>2930</v>
      </c>
      <c r="G116" s="4065">
        <v>425.96</v>
      </c>
      <c r="H116" s="4066">
        <v>44202</v>
      </c>
      <c r="I116" s="4066">
        <v>46027</v>
      </c>
      <c r="J116" s="4067">
        <f t="shared" si="47"/>
        <v>1826</v>
      </c>
      <c r="K116" s="4065">
        <f t="shared" si="48"/>
        <v>0</v>
      </c>
      <c r="L116" s="4068">
        <v>9.85</v>
      </c>
      <c r="M116" s="4068">
        <f t="shared" si="49"/>
        <v>299.60416666666669</v>
      </c>
      <c r="N116" s="4069">
        <v>0</v>
      </c>
      <c r="O116" s="4070">
        <v>44567</v>
      </c>
      <c r="P116" s="4071">
        <v>0.05</v>
      </c>
      <c r="Q116" s="4069">
        <f>L116*(1+P116)</f>
        <v>10.342499999999999</v>
      </c>
      <c r="R116" s="4069">
        <f t="shared" si="51"/>
        <v>314.58437499999997</v>
      </c>
      <c r="S116" s="4070">
        <v>44932</v>
      </c>
      <c r="T116" s="4071">
        <v>0.05</v>
      </c>
      <c r="U116" s="4069">
        <f t="shared" si="52"/>
        <v>10.86</v>
      </c>
      <c r="V116" s="4069">
        <f t="shared" si="53"/>
        <v>330.32499999999999</v>
      </c>
      <c r="W116" s="4070">
        <v>45297</v>
      </c>
      <c r="X116" s="4071">
        <v>0.05</v>
      </c>
      <c r="Y116" s="4069">
        <f t="shared" si="54"/>
        <v>11.4</v>
      </c>
      <c r="Z116" s="4069">
        <f t="shared" si="55"/>
        <v>346.75</v>
      </c>
      <c r="AA116" s="4070">
        <v>45663</v>
      </c>
      <c r="AB116" s="4071">
        <v>0.05</v>
      </c>
      <c r="AC116" s="4069">
        <f t="shared" si="56"/>
        <v>11.97</v>
      </c>
      <c r="AD116" s="4069">
        <f t="shared" si="57"/>
        <v>364.08750000000003</v>
      </c>
    </row>
    <row r="117" spans="1:30" ht="16.5">
      <c r="A117" s="4060">
        <v>6</v>
      </c>
      <c r="B117" s="4061">
        <v>1</v>
      </c>
      <c r="C117" s="4062" t="s">
        <v>4841</v>
      </c>
      <c r="D117" s="4063" t="s">
        <v>4919</v>
      </c>
      <c r="E117" s="4063" t="s">
        <v>4825</v>
      </c>
      <c r="F117" s="4082" t="s">
        <v>2930</v>
      </c>
      <c r="G117" s="4065">
        <v>80.150000000000006</v>
      </c>
      <c r="H117" s="4066">
        <v>44440</v>
      </c>
      <c r="I117" s="4084">
        <v>46265</v>
      </c>
      <c r="J117" s="4067">
        <f t="shared" si="47"/>
        <v>1826</v>
      </c>
      <c r="K117" s="4065">
        <f t="shared" si="48"/>
        <v>0</v>
      </c>
      <c r="L117" s="4068">
        <v>13</v>
      </c>
      <c r="M117" s="4068">
        <f t="shared" si="49"/>
        <v>395.41666666666669</v>
      </c>
      <c r="N117" s="4069">
        <v>0</v>
      </c>
      <c r="O117" s="4070">
        <v>44805</v>
      </c>
      <c r="P117" s="4071">
        <v>0.03</v>
      </c>
      <c r="Q117" s="4069">
        <f>IF(O117&lt;&gt;"N/A",ROUND(L117*(1+P117),2),0)</f>
        <v>13.39</v>
      </c>
      <c r="R117" s="4069">
        <f t="shared" si="51"/>
        <v>407.2791666666667</v>
      </c>
      <c r="S117" s="4070">
        <v>45170</v>
      </c>
      <c r="T117" s="4071">
        <v>0.03</v>
      </c>
      <c r="U117" s="4069">
        <f t="shared" si="52"/>
        <v>13.79</v>
      </c>
      <c r="V117" s="4069">
        <f t="shared" si="53"/>
        <v>419.44583333333327</v>
      </c>
      <c r="W117" s="4070">
        <v>45536</v>
      </c>
      <c r="X117" s="4071">
        <v>0.03</v>
      </c>
      <c r="Y117" s="4069">
        <f t="shared" si="54"/>
        <v>14.2</v>
      </c>
      <c r="Z117" s="4069">
        <f t="shared" si="55"/>
        <v>431.91666666666669</v>
      </c>
      <c r="AA117" s="4070">
        <v>45901</v>
      </c>
      <c r="AB117" s="4071">
        <v>0.03</v>
      </c>
      <c r="AC117" s="4069">
        <f t="shared" si="56"/>
        <v>14.63</v>
      </c>
      <c r="AD117" s="4069">
        <f t="shared" si="57"/>
        <v>444.99583333333339</v>
      </c>
    </row>
    <row r="118" spans="1:30" ht="16.5">
      <c r="A118" s="4060">
        <v>7</v>
      </c>
      <c r="B118" s="4061">
        <v>2</v>
      </c>
      <c r="C118" s="4085" t="s">
        <v>4920</v>
      </c>
      <c r="D118" s="4075" t="s">
        <v>4921</v>
      </c>
      <c r="E118" s="4092" t="s">
        <v>4838</v>
      </c>
      <c r="F118" s="4087" t="s">
        <v>2929</v>
      </c>
      <c r="G118" s="4069">
        <v>1513.71</v>
      </c>
      <c r="H118" s="4070">
        <v>44508</v>
      </c>
      <c r="I118" s="4088">
        <v>45237</v>
      </c>
      <c r="J118" s="4061">
        <f t="shared" si="47"/>
        <v>730</v>
      </c>
      <c r="K118" s="4065">
        <f t="shared" si="48"/>
        <v>0</v>
      </c>
      <c r="L118" s="4068">
        <v>7.6</v>
      </c>
      <c r="M118" s="4068">
        <f t="shared" si="49"/>
        <v>231.16666666666666</v>
      </c>
      <c r="N118" s="4069">
        <v>0</v>
      </c>
      <c r="O118" s="4070">
        <v>44873</v>
      </c>
      <c r="P118" s="4071">
        <v>0.05</v>
      </c>
      <c r="Q118" s="4069">
        <f t="shared" ref="Q118:Q119" si="58">L118*(1+P118)</f>
        <v>7.9799999999999995</v>
      </c>
      <c r="R118" s="4069">
        <f t="shared" si="51"/>
        <v>242.72499999999999</v>
      </c>
      <c r="S118" s="4073" t="s">
        <v>4835</v>
      </c>
      <c r="T118" s="4071">
        <v>0</v>
      </c>
      <c r="U118" s="4069"/>
      <c r="V118" s="4069"/>
      <c r="W118" s="4073" t="s">
        <v>4835</v>
      </c>
      <c r="X118" s="4062"/>
      <c r="Y118" s="4069"/>
      <c r="Z118" s="4069"/>
      <c r="AA118" s="4073" t="s">
        <v>4835</v>
      </c>
      <c r="AB118" s="4062"/>
      <c r="AC118" s="4069"/>
      <c r="AD118" s="4069">
        <f t="shared" si="57"/>
        <v>0</v>
      </c>
    </row>
    <row r="119" spans="1:30" ht="16.5">
      <c r="A119" s="4060">
        <v>8</v>
      </c>
      <c r="B119" s="4061">
        <v>2</v>
      </c>
      <c r="C119" s="4085" t="s">
        <v>4922</v>
      </c>
      <c r="D119" s="4075" t="s">
        <v>4923</v>
      </c>
      <c r="E119" s="4092" t="s">
        <v>4838</v>
      </c>
      <c r="F119" s="4087" t="s">
        <v>2929</v>
      </c>
      <c r="G119" s="4069">
        <v>2747.27</v>
      </c>
      <c r="H119" s="4070">
        <v>44508</v>
      </c>
      <c r="I119" s="4088">
        <v>45237</v>
      </c>
      <c r="J119" s="4061">
        <f t="shared" si="47"/>
        <v>730</v>
      </c>
      <c r="K119" s="4065">
        <f t="shared" si="48"/>
        <v>0</v>
      </c>
      <c r="L119" s="4068">
        <v>7.6</v>
      </c>
      <c r="M119" s="4068">
        <f t="shared" si="49"/>
        <v>231.16666666666666</v>
      </c>
      <c r="N119" s="4069">
        <v>0</v>
      </c>
      <c r="O119" s="4070">
        <v>44873</v>
      </c>
      <c r="P119" s="4071">
        <v>0.05</v>
      </c>
      <c r="Q119" s="4069">
        <f t="shared" si="58"/>
        <v>7.9799999999999995</v>
      </c>
      <c r="R119" s="4069">
        <f t="shared" si="51"/>
        <v>242.72499999999999</v>
      </c>
      <c r="S119" s="4073" t="s">
        <v>4835</v>
      </c>
      <c r="T119" s="4071">
        <v>0</v>
      </c>
      <c r="U119" s="4069"/>
      <c r="V119" s="4069"/>
      <c r="W119" s="4073" t="s">
        <v>4835</v>
      </c>
      <c r="X119" s="4062"/>
      <c r="Y119" s="4069"/>
      <c r="Z119" s="4069"/>
      <c r="AA119" s="4073" t="s">
        <v>4835</v>
      </c>
      <c r="AB119" s="4062"/>
      <c r="AC119" s="4069"/>
      <c r="AD119" s="4069">
        <f t="shared" si="57"/>
        <v>0</v>
      </c>
    </row>
  </sheetData>
  <mergeCells count="36">
    <mergeCell ref="A9:A12"/>
    <mergeCell ref="B9:B12"/>
    <mergeCell ref="C9:C12"/>
    <mergeCell ref="D9:D12"/>
    <mergeCell ref="A15:A17"/>
    <mergeCell ref="B15:B17"/>
    <mergeCell ref="C15:C17"/>
    <mergeCell ref="D15:D17"/>
    <mergeCell ref="A19:A21"/>
    <mergeCell ref="B19:B21"/>
    <mergeCell ref="C19:C21"/>
    <mergeCell ref="D19:D21"/>
    <mergeCell ref="A23:A25"/>
    <mergeCell ref="B23:B25"/>
    <mergeCell ref="C23:C25"/>
    <mergeCell ref="D23:D25"/>
    <mergeCell ref="A30:G30"/>
    <mergeCell ref="H30:J30"/>
    <mergeCell ref="L30:N30"/>
    <mergeCell ref="O30:AB30"/>
    <mergeCell ref="A53:G53"/>
    <mergeCell ref="H53:J53"/>
    <mergeCell ref="L53:N53"/>
    <mergeCell ref="O53:AB53"/>
    <mergeCell ref="A109:G109"/>
    <mergeCell ref="H109:J109"/>
    <mergeCell ref="L109:N109"/>
    <mergeCell ref="O109:AB109"/>
    <mergeCell ref="A77:G77"/>
    <mergeCell ref="H77:J77"/>
    <mergeCell ref="L77:N77"/>
    <mergeCell ref="O77:AB77"/>
    <mergeCell ref="A95:G95"/>
    <mergeCell ref="H95:J95"/>
    <mergeCell ref="L95:N95"/>
    <mergeCell ref="O95:AB95"/>
  </mergeCells>
  <phoneticPr fontId="147" type="noConversion"/>
  <dataValidations disablePrompts="1" count="3">
    <dataValidation type="list" allowBlank="1" showInputMessage="1" showErrorMessage="1" sqref="F32:F50" xr:uid="{00000000-0002-0000-2300-000000000000}">
      <formula1>#REF!</formula1>
    </dataValidation>
    <dataValidation type="list" allowBlank="1" showInputMessage="1" showErrorMessage="1" sqref="E32:E50 E112:F119 E97:F105 F79:F91 E55:F72" xr:uid="{00000000-0002-0000-2300-000001000000}">
      <formula1>#REF!</formula1>
    </dataValidation>
    <dataValidation type="list" allowBlank="1" showInputMessage="1" showErrorMessage="1" sqref="E79:E91" xr:uid="{00000000-0002-0000-2300-000002000000}">
      <formula1>$F$1:$F$1</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55"/>
  <sheetViews>
    <sheetView topLeftCell="A31" workbookViewId="0">
      <selection activeCell="D49" sqref="D49"/>
    </sheetView>
  </sheetViews>
  <sheetFormatPr defaultColWidth="9" defaultRowHeight="14.25"/>
  <cols>
    <col min="1" max="1" width="9" style="903"/>
    <col min="2" max="2" width="24.625" style="903" customWidth="1"/>
    <col min="3" max="3" width="9" style="903"/>
    <col min="4" max="4" width="31.875" style="903" customWidth="1"/>
    <col min="5" max="5" width="17.875" style="903" customWidth="1"/>
    <col min="6" max="16384" width="9" style="903"/>
  </cols>
  <sheetData>
    <row r="1" spans="1:7" ht="15" thickBot="1">
      <c r="A1" s="3864" t="s">
        <v>2745</v>
      </c>
      <c r="B1" s="3865" t="s">
        <v>4249</v>
      </c>
      <c r="C1" s="3866" t="s">
        <v>4250</v>
      </c>
      <c r="D1" s="3865" t="s">
        <v>3248</v>
      </c>
      <c r="E1" s="3866" t="s">
        <v>4251</v>
      </c>
      <c r="F1" s="3866" t="s">
        <v>4252</v>
      </c>
      <c r="G1" s="3866" t="s">
        <v>4253</v>
      </c>
    </row>
    <row r="2" spans="1:7" ht="15" thickBot="1">
      <c r="A2" s="3867">
        <v>1</v>
      </c>
      <c r="B2" s="3868" t="s">
        <v>4254</v>
      </c>
      <c r="C2" s="3869">
        <v>240</v>
      </c>
      <c r="D2" s="3868" t="s">
        <v>4255</v>
      </c>
      <c r="E2" s="3869">
        <v>0</v>
      </c>
      <c r="F2" s="3869">
        <v>6.15</v>
      </c>
      <c r="G2" s="3869">
        <v>0</v>
      </c>
    </row>
    <row r="3" spans="1:7" ht="15" thickBot="1">
      <c r="A3" s="4191">
        <v>2</v>
      </c>
      <c r="B3" s="4192" t="s">
        <v>4256</v>
      </c>
      <c r="C3" s="4193">
        <v>370</v>
      </c>
      <c r="D3" s="4192" t="s">
        <v>4257</v>
      </c>
      <c r="E3" s="4193">
        <v>5.86</v>
      </c>
      <c r="F3" s="4193"/>
      <c r="G3" s="4193">
        <v>0</v>
      </c>
    </row>
    <row r="4" spans="1:7" ht="15" thickBot="1">
      <c r="A4" s="3867">
        <v>3</v>
      </c>
      <c r="B4" s="3868" t="s">
        <v>4256</v>
      </c>
      <c r="C4" s="3869">
        <v>270</v>
      </c>
      <c r="D4" s="3868" t="s">
        <v>4258</v>
      </c>
      <c r="E4" s="3869">
        <v>5.86</v>
      </c>
      <c r="F4" s="3869"/>
      <c r="G4" s="3869">
        <v>0</v>
      </c>
    </row>
    <row r="5" spans="1:7" ht="15" thickBot="1">
      <c r="A5" s="3867">
        <v>4</v>
      </c>
      <c r="B5" s="3868" t="s">
        <v>4256</v>
      </c>
      <c r="C5" s="3869">
        <v>110</v>
      </c>
      <c r="D5" s="3868" t="s">
        <v>4259</v>
      </c>
      <c r="E5" s="3869">
        <v>6.5</v>
      </c>
      <c r="F5" s="3869"/>
      <c r="G5" s="3869">
        <v>0</v>
      </c>
    </row>
    <row r="6" spans="1:7" ht="15" thickBot="1">
      <c r="A6" s="4188">
        <v>5</v>
      </c>
      <c r="B6" s="4189" t="s">
        <v>4260</v>
      </c>
      <c r="C6" s="4190">
        <v>670</v>
      </c>
      <c r="D6" s="4189" t="s">
        <v>4261</v>
      </c>
      <c r="E6" s="4190">
        <v>5.86</v>
      </c>
      <c r="F6" s="4190"/>
      <c r="G6" s="4190">
        <v>0</v>
      </c>
    </row>
    <row r="7" spans="1:7" ht="15" thickBot="1">
      <c r="A7" s="3867">
        <v>6</v>
      </c>
      <c r="B7" s="3868" t="s">
        <v>4262</v>
      </c>
      <c r="C7" s="3869">
        <v>380</v>
      </c>
      <c r="D7" s="3868" t="s">
        <v>4263</v>
      </c>
      <c r="E7" s="3869">
        <v>6.5</v>
      </c>
      <c r="F7" s="3869">
        <v>6.83</v>
      </c>
      <c r="G7" s="3869">
        <v>30</v>
      </c>
    </row>
    <row r="8" spans="1:7" ht="15" thickBot="1">
      <c r="A8" s="4188">
        <v>7</v>
      </c>
      <c r="B8" s="4189" t="s">
        <v>4264</v>
      </c>
      <c r="C8" s="4190">
        <v>978</v>
      </c>
      <c r="D8" s="4189" t="s">
        <v>4265</v>
      </c>
      <c r="E8" s="4190">
        <v>6.6959999999999997</v>
      </c>
      <c r="F8" s="4190">
        <v>6.8970000000000002</v>
      </c>
      <c r="G8" s="4190">
        <v>30</v>
      </c>
    </row>
    <row r="9" spans="1:7" ht="15" thickBot="1">
      <c r="A9" s="4188">
        <v>8</v>
      </c>
      <c r="B9" s="4189" t="s">
        <v>4266</v>
      </c>
      <c r="C9" s="4190">
        <v>656</v>
      </c>
      <c r="D9" s="4189" t="s">
        <v>4267</v>
      </c>
      <c r="E9" s="4190">
        <v>6.13</v>
      </c>
      <c r="F9" s="4190"/>
      <c r="G9" s="4190">
        <v>30</v>
      </c>
    </row>
    <row r="10" spans="1:7" ht="15" thickBot="1">
      <c r="A10" s="3867">
        <v>9</v>
      </c>
      <c r="B10" s="3868" t="s">
        <v>4266</v>
      </c>
      <c r="C10" s="3869">
        <v>650</v>
      </c>
      <c r="D10" s="3868" t="s">
        <v>4268</v>
      </c>
      <c r="E10" s="3869">
        <v>6.5</v>
      </c>
      <c r="F10" s="3869">
        <v>6.6959999999999997</v>
      </c>
      <c r="G10" s="3869">
        <v>30</v>
      </c>
    </row>
    <row r="11" spans="1:7" ht="15" thickBot="1">
      <c r="A11" s="3867">
        <v>10</v>
      </c>
      <c r="B11" s="3868" t="s">
        <v>4269</v>
      </c>
      <c r="C11" s="3869">
        <v>680</v>
      </c>
      <c r="D11" s="3868" t="s">
        <v>4268</v>
      </c>
      <c r="E11" s="3869">
        <v>6.5</v>
      </c>
      <c r="F11" s="3869">
        <v>6.76</v>
      </c>
      <c r="G11" s="3869">
        <v>30</v>
      </c>
    </row>
    <row r="12" spans="1:7" ht="15" thickBot="1">
      <c r="A12" s="3867">
        <v>11</v>
      </c>
      <c r="B12" s="3868" t="s">
        <v>4270</v>
      </c>
      <c r="C12" s="3869">
        <v>100</v>
      </c>
      <c r="D12" s="3868" t="s">
        <v>4268</v>
      </c>
      <c r="E12" s="3869">
        <v>6.5</v>
      </c>
      <c r="F12" s="3869">
        <v>6.6959999999999997</v>
      </c>
      <c r="G12" s="3869">
        <v>30</v>
      </c>
    </row>
    <row r="13" spans="1:7" ht="15" thickBot="1">
      <c r="A13" s="3867">
        <v>12</v>
      </c>
      <c r="B13" s="3868" t="s">
        <v>4271</v>
      </c>
      <c r="C13" s="3869">
        <v>743</v>
      </c>
      <c r="D13" s="3868" t="s">
        <v>4268</v>
      </c>
      <c r="E13" s="3869">
        <v>6.5</v>
      </c>
      <c r="F13" s="3869">
        <v>6.6959999999999997</v>
      </c>
      <c r="G13" s="3869">
        <v>30</v>
      </c>
    </row>
    <row r="14" spans="1:7" ht="15" thickBot="1">
      <c r="A14" s="3867">
        <v>13</v>
      </c>
      <c r="B14" s="3868" t="s">
        <v>4272</v>
      </c>
      <c r="C14" s="3869">
        <v>550</v>
      </c>
      <c r="D14" s="3868" t="s">
        <v>4273</v>
      </c>
      <c r="E14" s="3869">
        <v>6.5</v>
      </c>
      <c r="F14" s="3869"/>
      <c r="G14" s="3869">
        <v>30</v>
      </c>
    </row>
    <row r="15" spans="1:7" ht="15" thickBot="1">
      <c r="A15" s="3867">
        <v>14</v>
      </c>
      <c r="B15" s="3868" t="s">
        <v>4272</v>
      </c>
      <c r="C15" s="3869">
        <v>150</v>
      </c>
      <c r="D15" s="3868" t="s">
        <v>4274</v>
      </c>
      <c r="E15" s="3869">
        <v>6.5</v>
      </c>
      <c r="F15" s="3869"/>
      <c r="G15" s="3869">
        <v>15</v>
      </c>
    </row>
    <row r="16" spans="1:7" ht="15" thickBot="1">
      <c r="A16" s="3867">
        <v>15</v>
      </c>
      <c r="B16" s="3868" t="s">
        <v>4275</v>
      </c>
      <c r="C16" s="3869">
        <v>90</v>
      </c>
      <c r="D16" s="3868" t="s">
        <v>4276</v>
      </c>
      <c r="E16" s="3869">
        <v>6.5</v>
      </c>
      <c r="F16" s="3869">
        <v>6.76</v>
      </c>
      <c r="G16" s="3869">
        <v>30</v>
      </c>
    </row>
    <row r="17" spans="1:7" ht="15" thickBot="1">
      <c r="A17" s="3867">
        <v>16</v>
      </c>
      <c r="B17" s="3868" t="s">
        <v>4277</v>
      </c>
      <c r="C17" s="3869">
        <v>278</v>
      </c>
      <c r="D17" s="3868" t="s">
        <v>4278</v>
      </c>
      <c r="E17" s="3869"/>
      <c r="F17" s="3869">
        <v>5.84</v>
      </c>
      <c r="G17" s="3869">
        <v>0</v>
      </c>
    </row>
    <row r="18" spans="1:7" ht="15" thickBot="1">
      <c r="A18" s="3867">
        <v>17</v>
      </c>
      <c r="B18" s="3868" t="s">
        <v>4279</v>
      </c>
      <c r="C18" s="3870">
        <v>67.819999999999993</v>
      </c>
      <c r="D18" s="3868" t="s">
        <v>4278</v>
      </c>
      <c r="E18" s="3869"/>
      <c r="F18" s="3869">
        <v>5.84</v>
      </c>
      <c r="G18" s="3869">
        <v>0</v>
      </c>
    </row>
    <row r="19" spans="1:7" ht="15" thickBot="1">
      <c r="A19" s="3867">
        <v>18</v>
      </c>
      <c r="B19" s="3868" t="s">
        <v>4280</v>
      </c>
      <c r="C19" s="3869">
        <v>5069.5200000000004</v>
      </c>
      <c r="D19" s="3868" t="s">
        <v>4278</v>
      </c>
      <c r="E19" s="3869"/>
      <c r="F19" s="3869">
        <v>6.15</v>
      </c>
      <c r="G19" s="3869">
        <v>0</v>
      </c>
    </row>
    <row r="20" spans="1:7" ht="15" thickBot="1">
      <c r="A20" s="3867">
        <v>19</v>
      </c>
      <c r="B20" s="3868" t="s">
        <v>4281</v>
      </c>
      <c r="C20" s="3869">
        <v>6770.67</v>
      </c>
      <c r="D20" s="3868" t="s">
        <v>4278</v>
      </c>
      <c r="E20" s="3869"/>
      <c r="F20" s="3869">
        <v>6.15</v>
      </c>
      <c r="G20" s="3869">
        <v>0</v>
      </c>
    </row>
    <row r="21" spans="1:7" ht="15" thickBot="1">
      <c r="A21" s="3867">
        <v>20</v>
      </c>
      <c r="B21" s="3868" t="s">
        <v>4282</v>
      </c>
      <c r="C21" s="3869">
        <v>448.76</v>
      </c>
      <c r="D21" s="3868" t="s">
        <v>4278</v>
      </c>
      <c r="E21" s="3869"/>
      <c r="F21" s="3869">
        <v>6.15</v>
      </c>
      <c r="G21" s="3869">
        <v>0</v>
      </c>
    </row>
    <row r="22" spans="1:7" ht="15" thickBot="1">
      <c r="A22" s="3867">
        <v>21</v>
      </c>
      <c r="B22" s="3868" t="s">
        <v>4283</v>
      </c>
      <c r="C22" s="3869">
        <v>180</v>
      </c>
      <c r="D22" s="3868" t="s">
        <v>4278</v>
      </c>
      <c r="E22" s="3869"/>
      <c r="F22" s="3869">
        <v>6.15</v>
      </c>
      <c r="G22" s="3869">
        <v>0</v>
      </c>
    </row>
    <row r="23" spans="1:7" ht="15" thickBot="1">
      <c r="A23" s="3867">
        <v>22</v>
      </c>
      <c r="B23" s="3868" t="s">
        <v>4284</v>
      </c>
      <c r="C23" s="3869">
        <v>40.700000000000003</v>
      </c>
      <c r="D23" s="3868" t="s">
        <v>4278</v>
      </c>
      <c r="E23" s="3869"/>
      <c r="F23" s="3869">
        <v>6.15</v>
      </c>
      <c r="G23" s="3869">
        <v>0</v>
      </c>
    </row>
    <row r="24" spans="1:7" ht="15" thickBot="1">
      <c r="A24" s="3867">
        <v>23</v>
      </c>
      <c r="B24" s="3868" t="s">
        <v>4285</v>
      </c>
      <c r="C24" s="3869">
        <v>398</v>
      </c>
      <c r="D24" s="3868" t="s">
        <v>4278</v>
      </c>
      <c r="E24" s="3869"/>
      <c r="F24" s="3869">
        <v>6.15</v>
      </c>
      <c r="G24" s="3869">
        <v>0</v>
      </c>
    </row>
    <row r="25" spans="1:7" ht="15" thickBot="1">
      <c r="A25" s="3867">
        <v>24</v>
      </c>
      <c r="B25" s="3868" t="s">
        <v>4286</v>
      </c>
      <c r="C25" s="3869">
        <v>864</v>
      </c>
      <c r="D25" s="3868" t="s">
        <v>4278</v>
      </c>
      <c r="E25" s="3869"/>
      <c r="F25" s="3869">
        <v>6.15</v>
      </c>
      <c r="G25" s="3869">
        <v>0</v>
      </c>
    </row>
    <row r="26" spans="1:7" ht="15" thickBot="1">
      <c r="A26" s="3867">
        <v>25</v>
      </c>
      <c r="B26" s="3868" t="s">
        <v>4287</v>
      </c>
      <c r="C26" s="3869">
        <v>16.73</v>
      </c>
      <c r="D26" s="3868" t="s">
        <v>4288</v>
      </c>
      <c r="E26" s="3869">
        <v>5.86</v>
      </c>
      <c r="F26" s="3869"/>
      <c r="G26" s="3869">
        <v>0</v>
      </c>
    </row>
    <row r="27" spans="1:7" ht="15" thickBot="1">
      <c r="A27" s="3867">
        <v>26</v>
      </c>
      <c r="B27" s="3868" t="s">
        <v>4289</v>
      </c>
      <c r="C27" s="3869">
        <v>65.709999999999994</v>
      </c>
      <c r="D27" s="3868" t="s">
        <v>4288</v>
      </c>
      <c r="E27" s="3869">
        <v>5.86</v>
      </c>
      <c r="F27" s="3869"/>
      <c r="G27" s="3869">
        <v>0</v>
      </c>
    </row>
    <row r="28" spans="1:7" ht="15" thickBot="1">
      <c r="A28" s="3867">
        <v>27</v>
      </c>
      <c r="B28" s="3868" t="s">
        <v>4290</v>
      </c>
      <c r="C28" s="3869">
        <v>246.13</v>
      </c>
      <c r="D28" s="3868" t="s">
        <v>4288</v>
      </c>
      <c r="E28" s="3869">
        <v>5.86</v>
      </c>
      <c r="F28" s="3869"/>
      <c r="G28" s="3869">
        <v>0</v>
      </c>
    </row>
    <row r="29" spans="1:7" ht="15" thickBot="1">
      <c r="A29" s="3867">
        <v>28</v>
      </c>
      <c r="B29" s="3868" t="s">
        <v>4291</v>
      </c>
      <c r="C29" s="3869">
        <v>326.3</v>
      </c>
      <c r="D29" s="3868" t="s">
        <v>4292</v>
      </c>
      <c r="E29" s="3869">
        <v>6.5</v>
      </c>
      <c r="F29" s="3869">
        <v>6.69</v>
      </c>
      <c r="G29" s="3869">
        <v>30</v>
      </c>
    </row>
    <row r="30" spans="1:7" ht="15" thickBot="1">
      <c r="A30" s="3867">
        <v>29</v>
      </c>
      <c r="B30" s="3868" t="s">
        <v>4293</v>
      </c>
      <c r="C30" s="3869">
        <v>36</v>
      </c>
      <c r="D30" s="3868" t="s">
        <v>4278</v>
      </c>
      <c r="E30" s="3869"/>
      <c r="F30" s="3869">
        <v>6.15</v>
      </c>
      <c r="G30" s="3869">
        <v>0</v>
      </c>
    </row>
    <row r="31" spans="1:7" ht="15" thickBot="1">
      <c r="A31" s="3867">
        <v>30</v>
      </c>
      <c r="B31" s="3868" t="s">
        <v>4294</v>
      </c>
      <c r="C31" s="3869">
        <v>41.3</v>
      </c>
      <c r="D31" s="3868" t="s">
        <v>4278</v>
      </c>
      <c r="E31" s="3869"/>
      <c r="F31" s="3869">
        <v>5.84</v>
      </c>
      <c r="G31" s="3869">
        <v>0</v>
      </c>
    </row>
    <row r="32" spans="1:7" ht="15" thickBot="1">
      <c r="A32" s="3867">
        <v>31</v>
      </c>
      <c r="B32" s="3868" t="s">
        <v>4295</v>
      </c>
      <c r="C32" s="3869">
        <v>41.3</v>
      </c>
      <c r="D32" s="3868" t="s">
        <v>4278</v>
      </c>
      <c r="E32" s="3869"/>
      <c r="F32" s="3869">
        <v>5.84</v>
      </c>
      <c r="G32" s="3869">
        <v>0</v>
      </c>
    </row>
    <row r="33" spans="1:8" ht="15" thickBot="1">
      <c r="A33" s="3867">
        <v>32</v>
      </c>
      <c r="B33" s="3868" t="s">
        <v>4296</v>
      </c>
      <c r="C33" s="3869">
        <v>88</v>
      </c>
      <c r="D33" s="3868" t="s">
        <v>4278</v>
      </c>
      <c r="E33" s="3869"/>
      <c r="F33" s="3869">
        <v>5.84</v>
      </c>
      <c r="G33" s="3869">
        <v>0</v>
      </c>
    </row>
    <row r="34" spans="1:8" ht="15" thickBot="1">
      <c r="A34" s="3867">
        <v>33</v>
      </c>
      <c r="B34" s="3868" t="s">
        <v>4297</v>
      </c>
      <c r="C34" s="3869">
        <v>1707</v>
      </c>
      <c r="D34" s="3868" t="s">
        <v>4278</v>
      </c>
      <c r="E34" s="3869"/>
      <c r="F34" s="3869">
        <v>5.84</v>
      </c>
      <c r="G34" s="3869">
        <v>0</v>
      </c>
    </row>
    <row r="35" spans="1:8" ht="15" thickBot="1">
      <c r="A35" s="3867">
        <v>34</v>
      </c>
      <c r="B35" s="3868" t="s">
        <v>4298</v>
      </c>
      <c r="C35" s="3869">
        <v>1707</v>
      </c>
      <c r="D35" s="3868" t="s">
        <v>4278</v>
      </c>
      <c r="E35" s="3869"/>
      <c r="F35" s="3869">
        <v>6.15</v>
      </c>
      <c r="G35" s="3869">
        <v>0</v>
      </c>
    </row>
    <row r="36" spans="1:8" ht="15" thickBot="1">
      <c r="A36" s="3867">
        <v>35</v>
      </c>
      <c r="B36" s="3868" t="s">
        <v>4299</v>
      </c>
      <c r="C36" s="3869">
        <v>491</v>
      </c>
      <c r="D36" s="3868" t="s">
        <v>4278</v>
      </c>
      <c r="E36" s="3869"/>
      <c r="F36" s="3869">
        <v>6.15</v>
      </c>
      <c r="G36" s="3869">
        <v>0</v>
      </c>
    </row>
    <row r="37" spans="1:8" ht="15" thickBot="1">
      <c r="A37" s="4188">
        <v>36</v>
      </c>
      <c r="B37" s="4189" t="s">
        <v>4300</v>
      </c>
      <c r="C37" s="4190">
        <v>500</v>
      </c>
      <c r="D37" s="4189" t="s">
        <v>4301</v>
      </c>
      <c r="E37" s="4190">
        <v>6.12</v>
      </c>
      <c r="F37" s="4190">
        <v>6.24</v>
      </c>
      <c r="G37" s="4190">
        <v>0</v>
      </c>
    </row>
    <row r="38" spans="1:8" ht="15" thickBot="1">
      <c r="A38" s="3867">
        <v>37</v>
      </c>
      <c r="B38" s="3868" t="s">
        <v>4302</v>
      </c>
      <c r="C38" s="3869">
        <v>90</v>
      </c>
      <c r="D38" s="3868" t="s">
        <v>4303</v>
      </c>
      <c r="E38" s="3869">
        <v>7</v>
      </c>
      <c r="F38" s="3869"/>
      <c r="G38" s="3869">
        <v>15</v>
      </c>
    </row>
    <row r="39" spans="1:8" ht="15" thickBot="1">
      <c r="A39" s="3867">
        <v>38</v>
      </c>
      <c r="B39" s="3868" t="s">
        <v>4304</v>
      </c>
      <c r="C39" s="3869">
        <v>364.27</v>
      </c>
      <c r="D39" s="3868" t="s">
        <v>4278</v>
      </c>
      <c r="E39" s="3869"/>
      <c r="F39" s="3869">
        <v>6.15</v>
      </c>
      <c r="G39" s="3869">
        <v>0</v>
      </c>
    </row>
    <row r="40" spans="1:8" ht="15" thickBot="1">
      <c r="A40" s="3867">
        <v>39</v>
      </c>
      <c r="B40" s="3868" t="s">
        <v>4305</v>
      </c>
      <c r="C40" s="3869">
        <v>2003.73</v>
      </c>
      <c r="D40" s="3868" t="s">
        <v>4278</v>
      </c>
      <c r="E40" s="3869"/>
      <c r="F40" s="3869">
        <v>6.15</v>
      </c>
      <c r="G40" s="3869">
        <v>0</v>
      </c>
    </row>
    <row r="41" spans="1:8" ht="15" thickBot="1">
      <c r="A41" s="3867">
        <v>40</v>
      </c>
      <c r="B41" s="3868" t="s">
        <v>4306</v>
      </c>
      <c r="C41" s="3869">
        <v>85</v>
      </c>
      <c r="D41" s="3868" t="s">
        <v>4278</v>
      </c>
      <c r="E41" s="3869"/>
      <c r="F41" s="3869">
        <v>6.15</v>
      </c>
      <c r="G41" s="3869">
        <v>0</v>
      </c>
    </row>
    <row r="42" spans="1:8" ht="15" thickBot="1">
      <c r="A42" s="3867">
        <v>41</v>
      </c>
      <c r="B42" s="3868" t="s">
        <v>4307</v>
      </c>
      <c r="C42" s="3869">
        <v>590</v>
      </c>
      <c r="D42" s="3868" t="s">
        <v>4268</v>
      </c>
      <c r="E42" s="3869">
        <v>6.5</v>
      </c>
      <c r="F42" s="3869">
        <v>6.83</v>
      </c>
      <c r="G42" s="3869">
        <v>30</v>
      </c>
    </row>
    <row r="43" spans="1:8" ht="15" thickBot="1">
      <c r="A43" s="4188">
        <v>42</v>
      </c>
      <c r="B43" s="4189" t="s">
        <v>4308</v>
      </c>
      <c r="C43" s="4190">
        <v>1525</v>
      </c>
      <c r="D43" s="4189" t="s">
        <v>4309</v>
      </c>
      <c r="E43" s="4190">
        <v>6.12</v>
      </c>
      <c r="F43" s="4190"/>
      <c r="G43" s="4190">
        <v>30</v>
      </c>
    </row>
    <row r="44" spans="1:8" ht="15" thickBot="1">
      <c r="A44" s="3867">
        <v>43</v>
      </c>
      <c r="B44" s="3868" t="s">
        <v>4308</v>
      </c>
      <c r="C44" s="3869">
        <v>1200</v>
      </c>
      <c r="D44" s="3868" t="s">
        <v>4310</v>
      </c>
      <c r="E44" s="3869">
        <v>6.5</v>
      </c>
      <c r="F44" s="3869">
        <v>6.69</v>
      </c>
      <c r="G44" s="3869">
        <v>30</v>
      </c>
    </row>
    <row r="45" spans="1:8" ht="15" thickBot="1">
      <c r="A45" s="3867">
        <v>44</v>
      </c>
      <c r="B45" s="3868" t="s">
        <v>4311</v>
      </c>
      <c r="C45" s="3869">
        <v>270</v>
      </c>
      <c r="D45" s="3868" t="s">
        <v>4312</v>
      </c>
      <c r="E45" s="3869">
        <v>6.5</v>
      </c>
      <c r="F45" s="3869">
        <v>6.83</v>
      </c>
      <c r="G45" s="3869">
        <v>30</v>
      </c>
    </row>
    <row r="46" spans="1:8" ht="15" thickBot="1">
      <c r="A46" s="4191">
        <v>45</v>
      </c>
      <c r="B46" s="4192" t="s">
        <v>4313</v>
      </c>
      <c r="C46" s="4193">
        <v>1566</v>
      </c>
      <c r="D46" s="4192" t="s">
        <v>4314</v>
      </c>
      <c r="E46" s="4193">
        <v>6.76</v>
      </c>
      <c r="F46" s="4193">
        <v>7.03</v>
      </c>
      <c r="G46" s="4193">
        <v>40</v>
      </c>
      <c r="H46" s="4194">
        <f>E46-1.2</f>
        <v>5.56</v>
      </c>
    </row>
    <row r="47" spans="1:8" ht="15" thickBot="1">
      <c r="A47" s="3867">
        <v>46</v>
      </c>
      <c r="B47" s="3868" t="s">
        <v>4315</v>
      </c>
      <c r="C47" s="3869">
        <v>150</v>
      </c>
      <c r="D47" s="3868" t="s">
        <v>4316</v>
      </c>
      <c r="E47" s="3869">
        <v>6.76</v>
      </c>
      <c r="F47" s="3869">
        <v>7.03</v>
      </c>
      <c r="G47" s="3869">
        <v>15</v>
      </c>
    </row>
    <row r="48" spans="1:8" ht="15" thickBot="1">
      <c r="A48" s="4188">
        <v>47</v>
      </c>
      <c r="B48" s="4189" t="s">
        <v>4317</v>
      </c>
      <c r="C48" s="4190">
        <v>90</v>
      </c>
      <c r="D48" s="4189" t="s">
        <v>4318</v>
      </c>
      <c r="E48" s="4190">
        <v>6.76</v>
      </c>
      <c r="F48" s="4190">
        <v>7.03</v>
      </c>
      <c r="G48" s="4190">
        <v>15</v>
      </c>
    </row>
    <row r="49" spans="1:7" ht="15" thickBot="1">
      <c r="A49" s="4188">
        <v>48</v>
      </c>
      <c r="B49" s="4189" t="s">
        <v>4319</v>
      </c>
      <c r="C49" s="4190">
        <v>909</v>
      </c>
      <c r="D49" s="4189" t="s">
        <v>4320</v>
      </c>
      <c r="E49" s="4190">
        <v>5.94</v>
      </c>
      <c r="F49" s="4190">
        <v>6.05</v>
      </c>
      <c r="G49" s="4190">
        <v>15</v>
      </c>
    </row>
    <row r="50" spans="1:7" ht="15" thickBot="1">
      <c r="A50" s="4188">
        <v>49</v>
      </c>
      <c r="B50" s="4189" t="s">
        <v>4321</v>
      </c>
      <c r="C50" s="4190">
        <v>76</v>
      </c>
      <c r="D50" s="4189" t="s">
        <v>4322</v>
      </c>
      <c r="E50" s="4190">
        <v>5.94</v>
      </c>
      <c r="F50" s="4190">
        <v>6.05</v>
      </c>
      <c r="G50" s="4190">
        <v>30</v>
      </c>
    </row>
    <row r="51" spans="1:7" ht="15" thickBot="1">
      <c r="A51" s="3867">
        <v>50</v>
      </c>
      <c r="B51" s="3868" t="s">
        <v>4323</v>
      </c>
      <c r="C51" s="3869">
        <v>800</v>
      </c>
      <c r="D51" s="3868" t="s">
        <v>4324</v>
      </c>
      <c r="E51" s="3869">
        <v>6.5</v>
      </c>
      <c r="F51" s="3869">
        <v>6.83</v>
      </c>
      <c r="G51" s="3869">
        <v>30</v>
      </c>
    </row>
    <row r="52" spans="1:7" ht="15" thickBot="1">
      <c r="A52" s="3867">
        <v>51</v>
      </c>
      <c r="B52" s="3868" t="s">
        <v>4325</v>
      </c>
      <c r="C52" s="3869">
        <v>3533</v>
      </c>
      <c r="D52" s="3868" t="s">
        <v>4268</v>
      </c>
      <c r="E52" s="3869">
        <v>6.5</v>
      </c>
      <c r="F52" s="3869">
        <v>6.69</v>
      </c>
      <c r="G52" s="3869">
        <v>30</v>
      </c>
    </row>
    <row r="53" spans="1:7" ht="15" thickBot="1">
      <c r="A53" s="3867">
        <v>52</v>
      </c>
      <c r="B53" s="3868" t="s">
        <v>4325</v>
      </c>
      <c r="C53" s="3869">
        <v>1650</v>
      </c>
      <c r="D53" s="3868" t="s">
        <v>4268</v>
      </c>
      <c r="E53" s="3869">
        <v>6.5</v>
      </c>
      <c r="F53" s="3869">
        <v>6.69</v>
      </c>
      <c r="G53" s="3869">
        <v>30</v>
      </c>
    </row>
    <row r="54" spans="1:7" ht="15" thickBot="1">
      <c r="A54" s="3867">
        <v>53</v>
      </c>
      <c r="B54" s="3868" t="s">
        <v>4326</v>
      </c>
      <c r="C54" s="3869">
        <v>1015</v>
      </c>
      <c r="D54" s="3868" t="s">
        <v>4327</v>
      </c>
      <c r="E54" s="3869">
        <v>6.5</v>
      </c>
      <c r="F54" s="3869">
        <v>6.69</v>
      </c>
      <c r="G54" s="3869">
        <v>0</v>
      </c>
    </row>
    <row r="55" spans="1:7" ht="15" thickBot="1">
      <c r="A55" s="3867"/>
      <c r="B55" s="3868"/>
      <c r="C55" s="3869">
        <v>41937.94</v>
      </c>
      <c r="D55" s="3868"/>
      <c r="E55" s="3869"/>
      <c r="F55" s="3869"/>
      <c r="G55" s="3869"/>
    </row>
  </sheetData>
  <phoneticPr fontId="147" type="noConversion"/>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12"/>
  <sheetViews>
    <sheetView topLeftCell="C16" workbookViewId="0">
      <selection activeCell="C4" sqref="C4"/>
    </sheetView>
  </sheetViews>
  <sheetFormatPr defaultColWidth="9" defaultRowHeight="14.25"/>
  <cols>
    <col min="1" max="1" width="9" style="3862"/>
    <col min="2" max="2" width="12.875" style="3856" customWidth="1"/>
    <col min="3" max="3" width="28.125" style="3856" customWidth="1"/>
    <col min="4" max="4" width="30" style="3856" customWidth="1"/>
    <col min="5" max="5" width="9" style="3856"/>
    <col min="6" max="6" width="13" style="3856" customWidth="1"/>
    <col min="7" max="8" width="9" style="3856"/>
    <col min="9" max="10" width="10.5" style="3856" bestFit="1" customWidth="1"/>
    <col min="11" max="11" width="9" style="3856"/>
    <col min="12" max="12" width="10.625" style="3856" customWidth="1"/>
    <col min="13" max="16384" width="9" style="3856"/>
  </cols>
  <sheetData>
    <row r="1" spans="1:14" ht="21.75" customHeight="1">
      <c r="C1" s="3856" t="s">
        <v>4241</v>
      </c>
      <c r="D1" s="3856" t="s">
        <v>4240</v>
      </c>
      <c r="E1" s="3856" t="s">
        <v>4239</v>
      </c>
      <c r="F1" s="3856" t="s">
        <v>4238</v>
      </c>
      <c r="G1" s="3856" t="s">
        <v>4237</v>
      </c>
      <c r="H1" s="3856" t="s">
        <v>4236</v>
      </c>
      <c r="I1" s="4767" t="s">
        <v>4235</v>
      </c>
      <c r="J1" s="4767"/>
      <c r="K1" s="3856" t="s">
        <v>4234</v>
      </c>
      <c r="L1" s="3856" t="s">
        <v>4233</v>
      </c>
    </row>
    <row r="2" spans="1:14" ht="21.75" customHeight="1">
      <c r="A2" s="3863" t="s">
        <v>4248</v>
      </c>
      <c r="B2" s="4767" t="s">
        <v>4232</v>
      </c>
      <c r="C2" s="4767" t="s">
        <v>4231</v>
      </c>
      <c r="D2" s="3856" t="s">
        <v>4230</v>
      </c>
      <c r="E2" s="3856">
        <v>194.74</v>
      </c>
      <c r="G2" s="3856" t="s">
        <v>4218</v>
      </c>
      <c r="H2" s="3856" t="s">
        <v>4208</v>
      </c>
      <c r="I2" s="3857">
        <v>44762</v>
      </c>
      <c r="J2" s="3857">
        <v>45126</v>
      </c>
      <c r="K2" s="3856">
        <v>17000</v>
      </c>
      <c r="L2" s="3856">
        <f>ROUND(K2/E2/30,2)</f>
        <v>2.91</v>
      </c>
      <c r="M2" s="3856" t="s">
        <v>4228</v>
      </c>
    </row>
    <row r="3" spans="1:14" ht="17.25" customHeight="1">
      <c r="A3" s="3863" t="s">
        <v>4248</v>
      </c>
      <c r="B3" s="4767"/>
      <c r="C3" s="4767"/>
      <c r="D3" s="3856" t="s">
        <v>4229</v>
      </c>
      <c r="E3" s="3856">
        <v>194.25</v>
      </c>
      <c r="G3" s="3856" t="s">
        <v>4218</v>
      </c>
      <c r="H3" s="3856" t="s">
        <v>4208</v>
      </c>
      <c r="I3" s="3857">
        <v>44680</v>
      </c>
      <c r="J3" s="3857">
        <v>45424</v>
      </c>
      <c r="K3" s="3856">
        <v>16500</v>
      </c>
      <c r="L3" s="3856">
        <f>ROUND(K3/E3/30,2)</f>
        <v>2.83</v>
      </c>
      <c r="M3" s="3856" t="s">
        <v>4228</v>
      </c>
    </row>
    <row r="4" spans="1:14" ht="18" customHeight="1">
      <c r="B4" s="3856" t="s">
        <v>4227</v>
      </c>
      <c r="C4" s="3858" t="s">
        <v>4226</v>
      </c>
      <c r="D4" s="3856" t="s">
        <v>4225</v>
      </c>
      <c r="F4" s="3858" t="s">
        <v>4210</v>
      </c>
      <c r="G4" s="3861" t="s">
        <v>4224</v>
      </c>
      <c r="H4" s="3856" t="s">
        <v>4208</v>
      </c>
      <c r="I4" s="3857">
        <v>42800</v>
      </c>
      <c r="J4" s="3857">
        <v>44469</v>
      </c>
      <c r="L4" s="3856">
        <v>6.5</v>
      </c>
      <c r="N4" s="3856" t="s">
        <v>4223</v>
      </c>
    </row>
    <row r="5" spans="1:14" ht="18" customHeight="1">
      <c r="B5" s="3856" t="s">
        <v>4222</v>
      </c>
      <c r="C5" s="3856" t="s">
        <v>4221</v>
      </c>
      <c r="D5" s="3856" t="s">
        <v>4220</v>
      </c>
      <c r="F5" s="3856" t="s">
        <v>4219</v>
      </c>
      <c r="G5" s="3856" t="s">
        <v>4218</v>
      </c>
      <c r="H5" s="3856" t="s">
        <v>4208</v>
      </c>
      <c r="I5" s="3856">
        <v>2022</v>
      </c>
      <c r="J5" s="3856">
        <v>2023</v>
      </c>
      <c r="L5" s="3856" t="s">
        <v>4217</v>
      </c>
    </row>
    <row r="6" spans="1:14" ht="18" customHeight="1">
      <c r="B6" s="3856" t="s">
        <v>4213</v>
      </c>
      <c r="C6" s="3856" t="s">
        <v>4216</v>
      </c>
      <c r="D6" s="3856" t="s">
        <v>4215</v>
      </c>
      <c r="F6" s="3856" t="s">
        <v>4210</v>
      </c>
      <c r="G6" s="3856" t="s">
        <v>4214</v>
      </c>
      <c r="H6" s="3856" t="s">
        <v>4208</v>
      </c>
    </row>
    <row r="7" spans="1:14" ht="18" customHeight="1">
      <c r="B7" s="3856" t="s">
        <v>4213</v>
      </c>
      <c r="C7" s="3856" t="s">
        <v>4212</v>
      </c>
      <c r="D7" s="3856" t="s">
        <v>4211</v>
      </c>
      <c r="F7" s="3856" t="s">
        <v>4210</v>
      </c>
      <c r="G7" s="3856" t="s">
        <v>4209</v>
      </c>
      <c r="H7" s="3856" t="s">
        <v>4208</v>
      </c>
    </row>
    <row r="8" spans="1:14" hidden="1">
      <c r="C8" s="3856" t="s">
        <v>4207</v>
      </c>
    </row>
    <row r="9" spans="1:14" hidden="1">
      <c r="C9" s="3856" t="s">
        <v>4206</v>
      </c>
    </row>
    <row r="10" spans="1:14" hidden="1">
      <c r="C10" s="3856" t="s">
        <v>4205</v>
      </c>
    </row>
    <row r="11" spans="1:14" hidden="1">
      <c r="C11" s="3856" t="s">
        <v>4204</v>
      </c>
    </row>
    <row r="12" spans="1:14" hidden="1">
      <c r="C12" s="3856" t="s">
        <v>4203</v>
      </c>
    </row>
  </sheetData>
  <mergeCells count="3">
    <mergeCell ref="I1:J1"/>
    <mergeCell ref="B2:B3"/>
    <mergeCell ref="C2:C3"/>
  </mergeCells>
  <phoneticPr fontId="147" type="noConversion"/>
  <pageMargins left="0.7" right="0.7" top="0.75" bottom="0.75" header="0.3" footer="0.3"/>
  <pageSetup paperSize="9" orientation="portrait" verticalDpi="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C00000"/>
  </sheetPr>
  <dimension ref="A1:P38"/>
  <sheetViews>
    <sheetView view="pageBreakPreview" zoomScaleSheetLayoutView="100" workbookViewId="0">
      <selection activeCell="E25" sqref="E25:F25"/>
    </sheetView>
  </sheetViews>
  <sheetFormatPr defaultColWidth="8.875" defaultRowHeight="14.25"/>
  <cols>
    <col min="1" max="1" width="6.375" style="3169" customWidth="1"/>
    <col min="2" max="2" width="23.375" style="3219" customWidth="1"/>
    <col min="3" max="3" width="9.375" style="3169" customWidth="1"/>
    <col min="4" max="4" width="8.5" style="3169" customWidth="1"/>
    <col min="5" max="5" width="9.625" style="3169" customWidth="1"/>
    <col min="6" max="6" width="8.375" style="3169" customWidth="1"/>
    <col min="7" max="7" width="19.375" style="3749" customWidth="1"/>
    <col min="8" max="8" width="17.125" style="3169" customWidth="1"/>
    <col min="9" max="9" width="8.625" style="3169" customWidth="1"/>
    <col min="10" max="10" width="10.5" style="3171" customWidth="1"/>
    <col min="11" max="11" width="4.875" style="3171" customWidth="1"/>
    <col min="12" max="12" width="16.375" style="3171" customWidth="1"/>
    <col min="13" max="16" width="8.125" style="3169" customWidth="1"/>
    <col min="17" max="256" width="8.875" style="3169"/>
    <col min="257" max="257" width="6.375" style="3169" customWidth="1"/>
    <col min="258" max="258" width="19.375" style="3169" customWidth="1"/>
    <col min="259" max="259" width="6.125" style="3169" customWidth="1"/>
    <col min="260" max="260" width="6.375" style="3169" customWidth="1"/>
    <col min="261" max="261" width="7.375" style="3169" customWidth="1"/>
    <col min="262" max="262" width="3.5" style="3169" customWidth="1"/>
    <col min="263" max="263" width="19.375" style="3169" customWidth="1"/>
    <col min="264" max="264" width="19.5" style="3169" customWidth="1"/>
    <col min="265" max="265" width="8.625" style="3169" customWidth="1"/>
    <col min="266" max="266" width="10.5" style="3169" customWidth="1"/>
    <col min="267" max="267" width="4.875" style="3169" customWidth="1"/>
    <col min="268" max="268" width="16.375" style="3169" customWidth="1"/>
    <col min="269" max="272" width="8.125" style="3169" customWidth="1"/>
    <col min="273" max="512" width="8.875" style="3169"/>
    <col min="513" max="513" width="6.375" style="3169" customWidth="1"/>
    <col min="514" max="514" width="19.375" style="3169" customWidth="1"/>
    <col min="515" max="515" width="6.125" style="3169" customWidth="1"/>
    <col min="516" max="516" width="6.375" style="3169" customWidth="1"/>
    <col min="517" max="517" width="7.375" style="3169" customWidth="1"/>
    <col min="518" max="518" width="3.5" style="3169" customWidth="1"/>
    <col min="519" max="519" width="19.375" style="3169" customWidth="1"/>
    <col min="520" max="520" width="19.5" style="3169" customWidth="1"/>
    <col min="521" max="521" width="8.625" style="3169" customWidth="1"/>
    <col min="522" max="522" width="10.5" style="3169" customWidth="1"/>
    <col min="523" max="523" width="4.875" style="3169" customWidth="1"/>
    <col min="524" max="524" width="16.375" style="3169" customWidth="1"/>
    <col min="525" max="528" width="8.125" style="3169" customWidth="1"/>
    <col min="529" max="768" width="8.875" style="3169"/>
    <col min="769" max="769" width="6.375" style="3169" customWidth="1"/>
    <col min="770" max="770" width="19.375" style="3169" customWidth="1"/>
    <col min="771" max="771" width="6.125" style="3169" customWidth="1"/>
    <col min="772" max="772" width="6.375" style="3169" customWidth="1"/>
    <col min="773" max="773" width="7.375" style="3169" customWidth="1"/>
    <col min="774" max="774" width="3.5" style="3169" customWidth="1"/>
    <col min="775" max="775" width="19.375" style="3169" customWidth="1"/>
    <col min="776" max="776" width="19.5" style="3169" customWidth="1"/>
    <col min="777" max="777" width="8.625" style="3169" customWidth="1"/>
    <col min="778" max="778" width="10.5" style="3169" customWidth="1"/>
    <col min="779" max="779" width="4.875" style="3169" customWidth="1"/>
    <col min="780" max="780" width="16.375" style="3169" customWidth="1"/>
    <col min="781" max="784" width="8.125" style="3169" customWidth="1"/>
    <col min="785" max="1024" width="8.875" style="3169"/>
    <col min="1025" max="1025" width="6.375" style="3169" customWidth="1"/>
    <col min="1026" max="1026" width="19.375" style="3169" customWidth="1"/>
    <col min="1027" max="1027" width="6.125" style="3169" customWidth="1"/>
    <col min="1028" max="1028" width="6.375" style="3169" customWidth="1"/>
    <col min="1029" max="1029" width="7.375" style="3169" customWidth="1"/>
    <col min="1030" max="1030" width="3.5" style="3169" customWidth="1"/>
    <col min="1031" max="1031" width="19.375" style="3169" customWidth="1"/>
    <col min="1032" max="1032" width="19.5" style="3169" customWidth="1"/>
    <col min="1033" max="1033" width="8.625" style="3169" customWidth="1"/>
    <col min="1034" max="1034" width="10.5" style="3169" customWidth="1"/>
    <col min="1035" max="1035" width="4.875" style="3169" customWidth="1"/>
    <col min="1036" max="1036" width="16.375" style="3169" customWidth="1"/>
    <col min="1037" max="1040" width="8.125" style="3169" customWidth="1"/>
    <col min="1041" max="1280" width="8.875" style="3169"/>
    <col min="1281" max="1281" width="6.375" style="3169" customWidth="1"/>
    <col min="1282" max="1282" width="19.375" style="3169" customWidth="1"/>
    <col min="1283" max="1283" width="6.125" style="3169" customWidth="1"/>
    <col min="1284" max="1284" width="6.375" style="3169" customWidth="1"/>
    <col min="1285" max="1285" width="7.375" style="3169" customWidth="1"/>
    <col min="1286" max="1286" width="3.5" style="3169" customWidth="1"/>
    <col min="1287" max="1287" width="19.375" style="3169" customWidth="1"/>
    <col min="1288" max="1288" width="19.5" style="3169" customWidth="1"/>
    <col min="1289" max="1289" width="8.625" style="3169" customWidth="1"/>
    <col min="1290" max="1290" width="10.5" style="3169" customWidth="1"/>
    <col min="1291" max="1291" width="4.875" style="3169" customWidth="1"/>
    <col min="1292" max="1292" width="16.375" style="3169" customWidth="1"/>
    <col min="1293" max="1296" width="8.125" style="3169" customWidth="1"/>
    <col min="1297" max="1536" width="8.875" style="3169"/>
    <col min="1537" max="1537" width="6.375" style="3169" customWidth="1"/>
    <col min="1538" max="1538" width="19.375" style="3169" customWidth="1"/>
    <col min="1539" max="1539" width="6.125" style="3169" customWidth="1"/>
    <col min="1540" max="1540" width="6.375" style="3169" customWidth="1"/>
    <col min="1541" max="1541" width="7.375" style="3169" customWidth="1"/>
    <col min="1542" max="1542" width="3.5" style="3169" customWidth="1"/>
    <col min="1543" max="1543" width="19.375" style="3169" customWidth="1"/>
    <col min="1544" max="1544" width="19.5" style="3169" customWidth="1"/>
    <col min="1545" max="1545" width="8.625" style="3169" customWidth="1"/>
    <col min="1546" max="1546" width="10.5" style="3169" customWidth="1"/>
    <col min="1547" max="1547" width="4.875" style="3169" customWidth="1"/>
    <col min="1548" max="1548" width="16.375" style="3169" customWidth="1"/>
    <col min="1549" max="1552" width="8.125" style="3169" customWidth="1"/>
    <col min="1553" max="1792" width="8.875" style="3169"/>
    <col min="1793" max="1793" width="6.375" style="3169" customWidth="1"/>
    <col min="1794" max="1794" width="19.375" style="3169" customWidth="1"/>
    <col min="1795" max="1795" width="6.125" style="3169" customWidth="1"/>
    <col min="1796" max="1796" width="6.375" style="3169" customWidth="1"/>
    <col min="1797" max="1797" width="7.375" style="3169" customWidth="1"/>
    <col min="1798" max="1798" width="3.5" style="3169" customWidth="1"/>
    <col min="1799" max="1799" width="19.375" style="3169" customWidth="1"/>
    <col min="1800" max="1800" width="19.5" style="3169" customWidth="1"/>
    <col min="1801" max="1801" width="8.625" style="3169" customWidth="1"/>
    <col min="1802" max="1802" width="10.5" style="3169" customWidth="1"/>
    <col min="1803" max="1803" width="4.875" style="3169" customWidth="1"/>
    <col min="1804" max="1804" width="16.375" style="3169" customWidth="1"/>
    <col min="1805" max="1808" width="8.125" style="3169" customWidth="1"/>
    <col min="1809" max="2048" width="8.875" style="3169"/>
    <col min="2049" max="2049" width="6.375" style="3169" customWidth="1"/>
    <col min="2050" max="2050" width="19.375" style="3169" customWidth="1"/>
    <col min="2051" max="2051" width="6.125" style="3169" customWidth="1"/>
    <col min="2052" max="2052" width="6.375" style="3169" customWidth="1"/>
    <col min="2053" max="2053" width="7.375" style="3169" customWidth="1"/>
    <col min="2054" max="2054" width="3.5" style="3169" customWidth="1"/>
    <col min="2055" max="2055" width="19.375" style="3169" customWidth="1"/>
    <col min="2056" max="2056" width="19.5" style="3169" customWidth="1"/>
    <col min="2057" max="2057" width="8.625" style="3169" customWidth="1"/>
    <col min="2058" max="2058" width="10.5" style="3169" customWidth="1"/>
    <col min="2059" max="2059" width="4.875" style="3169" customWidth="1"/>
    <col min="2060" max="2060" width="16.375" style="3169" customWidth="1"/>
    <col min="2061" max="2064" width="8.125" style="3169" customWidth="1"/>
    <col min="2065" max="2304" width="8.875" style="3169"/>
    <col min="2305" max="2305" width="6.375" style="3169" customWidth="1"/>
    <col min="2306" max="2306" width="19.375" style="3169" customWidth="1"/>
    <col min="2307" max="2307" width="6.125" style="3169" customWidth="1"/>
    <col min="2308" max="2308" width="6.375" style="3169" customWidth="1"/>
    <col min="2309" max="2309" width="7.375" style="3169" customWidth="1"/>
    <col min="2310" max="2310" width="3.5" style="3169" customWidth="1"/>
    <col min="2311" max="2311" width="19.375" style="3169" customWidth="1"/>
    <col min="2312" max="2312" width="19.5" style="3169" customWidth="1"/>
    <col min="2313" max="2313" width="8.625" style="3169" customWidth="1"/>
    <col min="2314" max="2314" width="10.5" style="3169" customWidth="1"/>
    <col min="2315" max="2315" width="4.875" style="3169" customWidth="1"/>
    <col min="2316" max="2316" width="16.375" style="3169" customWidth="1"/>
    <col min="2317" max="2320" width="8.125" style="3169" customWidth="1"/>
    <col min="2321" max="2560" width="8.875" style="3169"/>
    <col min="2561" max="2561" width="6.375" style="3169" customWidth="1"/>
    <col min="2562" max="2562" width="19.375" style="3169" customWidth="1"/>
    <col min="2563" max="2563" width="6.125" style="3169" customWidth="1"/>
    <col min="2564" max="2564" width="6.375" style="3169" customWidth="1"/>
    <col min="2565" max="2565" width="7.375" style="3169" customWidth="1"/>
    <col min="2566" max="2566" width="3.5" style="3169" customWidth="1"/>
    <col min="2567" max="2567" width="19.375" style="3169" customWidth="1"/>
    <col min="2568" max="2568" width="19.5" style="3169" customWidth="1"/>
    <col min="2569" max="2569" width="8.625" style="3169" customWidth="1"/>
    <col min="2570" max="2570" width="10.5" style="3169" customWidth="1"/>
    <col min="2571" max="2571" width="4.875" style="3169" customWidth="1"/>
    <col min="2572" max="2572" width="16.375" style="3169" customWidth="1"/>
    <col min="2573" max="2576" width="8.125" style="3169" customWidth="1"/>
    <col min="2577" max="2816" width="8.875" style="3169"/>
    <col min="2817" max="2817" width="6.375" style="3169" customWidth="1"/>
    <col min="2818" max="2818" width="19.375" style="3169" customWidth="1"/>
    <col min="2819" max="2819" width="6.125" style="3169" customWidth="1"/>
    <col min="2820" max="2820" width="6.375" style="3169" customWidth="1"/>
    <col min="2821" max="2821" width="7.375" style="3169" customWidth="1"/>
    <col min="2822" max="2822" width="3.5" style="3169" customWidth="1"/>
    <col min="2823" max="2823" width="19.375" style="3169" customWidth="1"/>
    <col min="2824" max="2824" width="19.5" style="3169" customWidth="1"/>
    <col min="2825" max="2825" width="8.625" style="3169" customWidth="1"/>
    <col min="2826" max="2826" width="10.5" style="3169" customWidth="1"/>
    <col min="2827" max="2827" width="4.875" style="3169" customWidth="1"/>
    <col min="2828" max="2828" width="16.375" style="3169" customWidth="1"/>
    <col min="2829" max="2832" width="8.125" style="3169" customWidth="1"/>
    <col min="2833" max="3072" width="8.875" style="3169"/>
    <col min="3073" max="3073" width="6.375" style="3169" customWidth="1"/>
    <col min="3074" max="3074" width="19.375" style="3169" customWidth="1"/>
    <col min="3075" max="3075" width="6.125" style="3169" customWidth="1"/>
    <col min="3076" max="3076" width="6.375" style="3169" customWidth="1"/>
    <col min="3077" max="3077" width="7.375" style="3169" customWidth="1"/>
    <col min="3078" max="3078" width="3.5" style="3169" customWidth="1"/>
    <col min="3079" max="3079" width="19.375" style="3169" customWidth="1"/>
    <col min="3080" max="3080" width="19.5" style="3169" customWidth="1"/>
    <col min="3081" max="3081" width="8.625" style="3169" customWidth="1"/>
    <col min="3082" max="3082" width="10.5" style="3169" customWidth="1"/>
    <col min="3083" max="3083" width="4.875" style="3169" customWidth="1"/>
    <col min="3084" max="3084" width="16.375" style="3169" customWidth="1"/>
    <col min="3085" max="3088" width="8.125" style="3169" customWidth="1"/>
    <col min="3089" max="3328" width="8.875" style="3169"/>
    <col min="3329" max="3329" width="6.375" style="3169" customWidth="1"/>
    <col min="3330" max="3330" width="19.375" style="3169" customWidth="1"/>
    <col min="3331" max="3331" width="6.125" style="3169" customWidth="1"/>
    <col min="3332" max="3332" width="6.375" style="3169" customWidth="1"/>
    <col min="3333" max="3333" width="7.375" style="3169" customWidth="1"/>
    <col min="3334" max="3334" width="3.5" style="3169" customWidth="1"/>
    <col min="3335" max="3335" width="19.375" style="3169" customWidth="1"/>
    <col min="3336" max="3336" width="19.5" style="3169" customWidth="1"/>
    <col min="3337" max="3337" width="8.625" style="3169" customWidth="1"/>
    <col min="3338" max="3338" width="10.5" style="3169" customWidth="1"/>
    <col min="3339" max="3339" width="4.875" style="3169" customWidth="1"/>
    <col min="3340" max="3340" width="16.375" style="3169" customWidth="1"/>
    <col min="3341" max="3344" width="8.125" style="3169" customWidth="1"/>
    <col min="3345" max="3584" width="8.875" style="3169"/>
    <col min="3585" max="3585" width="6.375" style="3169" customWidth="1"/>
    <col min="3586" max="3586" width="19.375" style="3169" customWidth="1"/>
    <col min="3587" max="3587" width="6.125" style="3169" customWidth="1"/>
    <col min="3588" max="3588" width="6.375" style="3169" customWidth="1"/>
    <col min="3589" max="3589" width="7.375" style="3169" customWidth="1"/>
    <col min="3590" max="3590" width="3.5" style="3169" customWidth="1"/>
    <col min="3591" max="3591" width="19.375" style="3169" customWidth="1"/>
    <col min="3592" max="3592" width="19.5" style="3169" customWidth="1"/>
    <col min="3593" max="3593" width="8.625" style="3169" customWidth="1"/>
    <col min="3594" max="3594" width="10.5" style="3169" customWidth="1"/>
    <col min="3595" max="3595" width="4.875" style="3169" customWidth="1"/>
    <col min="3596" max="3596" width="16.375" style="3169" customWidth="1"/>
    <col min="3597" max="3600" width="8.125" style="3169" customWidth="1"/>
    <col min="3601" max="3840" width="8.875" style="3169"/>
    <col min="3841" max="3841" width="6.375" style="3169" customWidth="1"/>
    <col min="3842" max="3842" width="19.375" style="3169" customWidth="1"/>
    <col min="3843" max="3843" width="6.125" style="3169" customWidth="1"/>
    <col min="3844" max="3844" width="6.375" style="3169" customWidth="1"/>
    <col min="3845" max="3845" width="7.375" style="3169" customWidth="1"/>
    <col min="3846" max="3846" width="3.5" style="3169" customWidth="1"/>
    <col min="3847" max="3847" width="19.375" style="3169" customWidth="1"/>
    <col min="3848" max="3848" width="19.5" style="3169" customWidth="1"/>
    <col min="3849" max="3849" width="8.625" style="3169" customWidth="1"/>
    <col min="3850" max="3850" width="10.5" style="3169" customWidth="1"/>
    <col min="3851" max="3851" width="4.875" style="3169" customWidth="1"/>
    <col min="3852" max="3852" width="16.375" style="3169" customWidth="1"/>
    <col min="3853" max="3856" width="8.125" style="3169" customWidth="1"/>
    <col min="3857" max="4096" width="8.875" style="3169"/>
    <col min="4097" max="4097" width="6.375" style="3169" customWidth="1"/>
    <col min="4098" max="4098" width="19.375" style="3169" customWidth="1"/>
    <col min="4099" max="4099" width="6.125" style="3169" customWidth="1"/>
    <col min="4100" max="4100" width="6.375" style="3169" customWidth="1"/>
    <col min="4101" max="4101" width="7.375" style="3169" customWidth="1"/>
    <col min="4102" max="4102" width="3.5" style="3169" customWidth="1"/>
    <col min="4103" max="4103" width="19.375" style="3169" customWidth="1"/>
    <col min="4104" max="4104" width="19.5" style="3169" customWidth="1"/>
    <col min="4105" max="4105" width="8.625" style="3169" customWidth="1"/>
    <col min="4106" max="4106" width="10.5" style="3169" customWidth="1"/>
    <col min="4107" max="4107" width="4.875" style="3169" customWidth="1"/>
    <col min="4108" max="4108" width="16.375" style="3169" customWidth="1"/>
    <col min="4109" max="4112" width="8.125" style="3169" customWidth="1"/>
    <col min="4113" max="4352" width="8.875" style="3169"/>
    <col min="4353" max="4353" width="6.375" style="3169" customWidth="1"/>
    <col min="4354" max="4354" width="19.375" style="3169" customWidth="1"/>
    <col min="4355" max="4355" width="6.125" style="3169" customWidth="1"/>
    <col min="4356" max="4356" width="6.375" style="3169" customWidth="1"/>
    <col min="4357" max="4357" width="7.375" style="3169" customWidth="1"/>
    <col min="4358" max="4358" width="3.5" style="3169" customWidth="1"/>
    <col min="4359" max="4359" width="19.375" style="3169" customWidth="1"/>
    <col min="4360" max="4360" width="19.5" style="3169" customWidth="1"/>
    <col min="4361" max="4361" width="8.625" style="3169" customWidth="1"/>
    <col min="4362" max="4362" width="10.5" style="3169" customWidth="1"/>
    <col min="4363" max="4363" width="4.875" style="3169" customWidth="1"/>
    <col min="4364" max="4364" width="16.375" style="3169" customWidth="1"/>
    <col min="4365" max="4368" width="8.125" style="3169" customWidth="1"/>
    <col min="4369" max="4608" width="8.875" style="3169"/>
    <col min="4609" max="4609" width="6.375" style="3169" customWidth="1"/>
    <col min="4610" max="4610" width="19.375" style="3169" customWidth="1"/>
    <col min="4611" max="4611" width="6.125" style="3169" customWidth="1"/>
    <col min="4612" max="4612" width="6.375" style="3169" customWidth="1"/>
    <col min="4613" max="4613" width="7.375" style="3169" customWidth="1"/>
    <col min="4614" max="4614" width="3.5" style="3169" customWidth="1"/>
    <col min="4615" max="4615" width="19.375" style="3169" customWidth="1"/>
    <col min="4616" max="4616" width="19.5" style="3169" customWidth="1"/>
    <col min="4617" max="4617" width="8.625" style="3169" customWidth="1"/>
    <col min="4618" max="4618" width="10.5" style="3169" customWidth="1"/>
    <col min="4619" max="4619" width="4.875" style="3169" customWidth="1"/>
    <col min="4620" max="4620" width="16.375" style="3169" customWidth="1"/>
    <col min="4621" max="4624" width="8.125" style="3169" customWidth="1"/>
    <col min="4625" max="4864" width="8.875" style="3169"/>
    <col min="4865" max="4865" width="6.375" style="3169" customWidth="1"/>
    <col min="4866" max="4866" width="19.375" style="3169" customWidth="1"/>
    <col min="4867" max="4867" width="6.125" style="3169" customWidth="1"/>
    <col min="4868" max="4868" width="6.375" style="3169" customWidth="1"/>
    <col min="4869" max="4869" width="7.375" style="3169" customWidth="1"/>
    <col min="4870" max="4870" width="3.5" style="3169" customWidth="1"/>
    <col min="4871" max="4871" width="19.375" style="3169" customWidth="1"/>
    <col min="4872" max="4872" width="19.5" style="3169" customWidth="1"/>
    <col min="4873" max="4873" width="8.625" style="3169" customWidth="1"/>
    <col min="4874" max="4874" width="10.5" style="3169" customWidth="1"/>
    <col min="4875" max="4875" width="4.875" style="3169" customWidth="1"/>
    <col min="4876" max="4876" width="16.375" style="3169" customWidth="1"/>
    <col min="4877" max="4880" width="8.125" style="3169" customWidth="1"/>
    <col min="4881" max="5120" width="8.875" style="3169"/>
    <col min="5121" max="5121" width="6.375" style="3169" customWidth="1"/>
    <col min="5122" max="5122" width="19.375" style="3169" customWidth="1"/>
    <col min="5123" max="5123" width="6.125" style="3169" customWidth="1"/>
    <col min="5124" max="5124" width="6.375" style="3169" customWidth="1"/>
    <col min="5125" max="5125" width="7.375" style="3169" customWidth="1"/>
    <col min="5126" max="5126" width="3.5" style="3169" customWidth="1"/>
    <col min="5127" max="5127" width="19.375" style="3169" customWidth="1"/>
    <col min="5128" max="5128" width="19.5" style="3169" customWidth="1"/>
    <col min="5129" max="5129" width="8.625" style="3169" customWidth="1"/>
    <col min="5130" max="5130" width="10.5" style="3169" customWidth="1"/>
    <col min="5131" max="5131" width="4.875" style="3169" customWidth="1"/>
    <col min="5132" max="5132" width="16.375" style="3169" customWidth="1"/>
    <col min="5133" max="5136" width="8.125" style="3169" customWidth="1"/>
    <col min="5137" max="5376" width="8.875" style="3169"/>
    <col min="5377" max="5377" width="6.375" style="3169" customWidth="1"/>
    <col min="5378" max="5378" width="19.375" style="3169" customWidth="1"/>
    <col min="5379" max="5379" width="6.125" style="3169" customWidth="1"/>
    <col min="5380" max="5380" width="6.375" style="3169" customWidth="1"/>
    <col min="5381" max="5381" width="7.375" style="3169" customWidth="1"/>
    <col min="5382" max="5382" width="3.5" style="3169" customWidth="1"/>
    <col min="5383" max="5383" width="19.375" style="3169" customWidth="1"/>
    <col min="5384" max="5384" width="19.5" style="3169" customWidth="1"/>
    <col min="5385" max="5385" width="8.625" style="3169" customWidth="1"/>
    <col min="5386" max="5386" width="10.5" style="3169" customWidth="1"/>
    <col min="5387" max="5387" width="4.875" style="3169" customWidth="1"/>
    <col min="5388" max="5388" width="16.375" style="3169" customWidth="1"/>
    <col min="5389" max="5392" width="8.125" style="3169" customWidth="1"/>
    <col min="5393" max="5632" width="8.875" style="3169"/>
    <col min="5633" max="5633" width="6.375" style="3169" customWidth="1"/>
    <col min="5634" max="5634" width="19.375" style="3169" customWidth="1"/>
    <col min="5635" max="5635" width="6.125" style="3169" customWidth="1"/>
    <col min="5636" max="5636" width="6.375" style="3169" customWidth="1"/>
    <col min="5637" max="5637" width="7.375" style="3169" customWidth="1"/>
    <col min="5638" max="5638" width="3.5" style="3169" customWidth="1"/>
    <col min="5639" max="5639" width="19.375" style="3169" customWidth="1"/>
    <col min="5640" max="5640" width="19.5" style="3169" customWidth="1"/>
    <col min="5641" max="5641" width="8.625" style="3169" customWidth="1"/>
    <col min="5642" max="5642" width="10.5" style="3169" customWidth="1"/>
    <col min="5643" max="5643" width="4.875" style="3169" customWidth="1"/>
    <col min="5644" max="5644" width="16.375" style="3169" customWidth="1"/>
    <col min="5645" max="5648" width="8.125" style="3169" customWidth="1"/>
    <col min="5649" max="5888" width="8.875" style="3169"/>
    <col min="5889" max="5889" width="6.375" style="3169" customWidth="1"/>
    <col min="5890" max="5890" width="19.375" style="3169" customWidth="1"/>
    <col min="5891" max="5891" width="6.125" style="3169" customWidth="1"/>
    <col min="5892" max="5892" width="6.375" style="3169" customWidth="1"/>
    <col min="5893" max="5893" width="7.375" style="3169" customWidth="1"/>
    <col min="5894" max="5894" width="3.5" style="3169" customWidth="1"/>
    <col min="5895" max="5895" width="19.375" style="3169" customWidth="1"/>
    <col min="5896" max="5896" width="19.5" style="3169" customWidth="1"/>
    <col min="5897" max="5897" width="8.625" style="3169" customWidth="1"/>
    <col min="5898" max="5898" width="10.5" style="3169" customWidth="1"/>
    <col min="5899" max="5899" width="4.875" style="3169" customWidth="1"/>
    <col min="5900" max="5900" width="16.375" style="3169" customWidth="1"/>
    <col min="5901" max="5904" width="8.125" style="3169" customWidth="1"/>
    <col min="5905" max="6144" width="8.875" style="3169"/>
    <col min="6145" max="6145" width="6.375" style="3169" customWidth="1"/>
    <col min="6146" max="6146" width="19.375" style="3169" customWidth="1"/>
    <col min="6147" max="6147" width="6.125" style="3169" customWidth="1"/>
    <col min="6148" max="6148" width="6.375" style="3169" customWidth="1"/>
    <col min="6149" max="6149" width="7.375" style="3169" customWidth="1"/>
    <col min="6150" max="6150" width="3.5" style="3169" customWidth="1"/>
    <col min="6151" max="6151" width="19.375" style="3169" customWidth="1"/>
    <col min="6152" max="6152" width="19.5" style="3169" customWidth="1"/>
    <col min="6153" max="6153" width="8.625" style="3169" customWidth="1"/>
    <col min="6154" max="6154" width="10.5" style="3169" customWidth="1"/>
    <col min="6155" max="6155" width="4.875" style="3169" customWidth="1"/>
    <col min="6156" max="6156" width="16.375" style="3169" customWidth="1"/>
    <col min="6157" max="6160" width="8.125" style="3169" customWidth="1"/>
    <col min="6161" max="6400" width="8.875" style="3169"/>
    <col min="6401" max="6401" width="6.375" style="3169" customWidth="1"/>
    <col min="6402" max="6402" width="19.375" style="3169" customWidth="1"/>
    <col min="6403" max="6403" width="6.125" style="3169" customWidth="1"/>
    <col min="6404" max="6404" width="6.375" style="3169" customWidth="1"/>
    <col min="6405" max="6405" width="7.375" style="3169" customWidth="1"/>
    <col min="6406" max="6406" width="3.5" style="3169" customWidth="1"/>
    <col min="6407" max="6407" width="19.375" style="3169" customWidth="1"/>
    <col min="6408" max="6408" width="19.5" style="3169" customWidth="1"/>
    <col min="6409" max="6409" width="8.625" style="3169" customWidth="1"/>
    <col min="6410" max="6410" width="10.5" style="3169" customWidth="1"/>
    <col min="6411" max="6411" width="4.875" style="3169" customWidth="1"/>
    <col min="6412" max="6412" width="16.375" style="3169" customWidth="1"/>
    <col min="6413" max="6416" width="8.125" style="3169" customWidth="1"/>
    <col min="6417" max="6656" width="8.875" style="3169"/>
    <col min="6657" max="6657" width="6.375" style="3169" customWidth="1"/>
    <col min="6658" max="6658" width="19.375" style="3169" customWidth="1"/>
    <col min="6659" max="6659" width="6.125" style="3169" customWidth="1"/>
    <col min="6660" max="6660" width="6.375" style="3169" customWidth="1"/>
    <col min="6661" max="6661" width="7.375" style="3169" customWidth="1"/>
    <col min="6662" max="6662" width="3.5" style="3169" customWidth="1"/>
    <col min="6663" max="6663" width="19.375" style="3169" customWidth="1"/>
    <col min="6664" max="6664" width="19.5" style="3169" customWidth="1"/>
    <col min="6665" max="6665" width="8.625" style="3169" customWidth="1"/>
    <col min="6666" max="6666" width="10.5" style="3169" customWidth="1"/>
    <col min="6667" max="6667" width="4.875" style="3169" customWidth="1"/>
    <col min="6668" max="6668" width="16.375" style="3169" customWidth="1"/>
    <col min="6669" max="6672" width="8.125" style="3169" customWidth="1"/>
    <col min="6673" max="6912" width="8.875" style="3169"/>
    <col min="6913" max="6913" width="6.375" style="3169" customWidth="1"/>
    <col min="6914" max="6914" width="19.375" style="3169" customWidth="1"/>
    <col min="6915" max="6915" width="6.125" style="3169" customWidth="1"/>
    <col min="6916" max="6916" width="6.375" style="3169" customWidth="1"/>
    <col min="6917" max="6917" width="7.375" style="3169" customWidth="1"/>
    <col min="6918" max="6918" width="3.5" style="3169" customWidth="1"/>
    <col min="6919" max="6919" width="19.375" style="3169" customWidth="1"/>
    <col min="6920" max="6920" width="19.5" style="3169" customWidth="1"/>
    <col min="6921" max="6921" width="8.625" style="3169" customWidth="1"/>
    <col min="6922" max="6922" width="10.5" style="3169" customWidth="1"/>
    <col min="6923" max="6923" width="4.875" style="3169" customWidth="1"/>
    <col min="6924" max="6924" width="16.375" style="3169" customWidth="1"/>
    <col min="6925" max="6928" width="8.125" style="3169" customWidth="1"/>
    <col min="6929" max="7168" width="8.875" style="3169"/>
    <col min="7169" max="7169" width="6.375" style="3169" customWidth="1"/>
    <col min="7170" max="7170" width="19.375" style="3169" customWidth="1"/>
    <col min="7171" max="7171" width="6.125" style="3169" customWidth="1"/>
    <col min="7172" max="7172" width="6.375" style="3169" customWidth="1"/>
    <col min="7173" max="7173" width="7.375" style="3169" customWidth="1"/>
    <col min="7174" max="7174" width="3.5" style="3169" customWidth="1"/>
    <col min="7175" max="7175" width="19.375" style="3169" customWidth="1"/>
    <col min="7176" max="7176" width="19.5" style="3169" customWidth="1"/>
    <col min="7177" max="7177" width="8.625" style="3169" customWidth="1"/>
    <col min="7178" max="7178" width="10.5" style="3169" customWidth="1"/>
    <col min="7179" max="7179" width="4.875" style="3169" customWidth="1"/>
    <col min="7180" max="7180" width="16.375" style="3169" customWidth="1"/>
    <col min="7181" max="7184" width="8.125" style="3169" customWidth="1"/>
    <col min="7185" max="7424" width="8.875" style="3169"/>
    <col min="7425" max="7425" width="6.375" style="3169" customWidth="1"/>
    <col min="7426" max="7426" width="19.375" style="3169" customWidth="1"/>
    <col min="7427" max="7427" width="6.125" style="3169" customWidth="1"/>
    <col min="7428" max="7428" width="6.375" style="3169" customWidth="1"/>
    <col min="7429" max="7429" width="7.375" style="3169" customWidth="1"/>
    <col min="7430" max="7430" width="3.5" style="3169" customWidth="1"/>
    <col min="7431" max="7431" width="19.375" style="3169" customWidth="1"/>
    <col min="7432" max="7432" width="19.5" style="3169" customWidth="1"/>
    <col min="7433" max="7433" width="8.625" style="3169" customWidth="1"/>
    <col min="7434" max="7434" width="10.5" style="3169" customWidth="1"/>
    <col min="7435" max="7435" width="4.875" style="3169" customWidth="1"/>
    <col min="7436" max="7436" width="16.375" style="3169" customWidth="1"/>
    <col min="7437" max="7440" width="8.125" style="3169" customWidth="1"/>
    <col min="7441" max="7680" width="8.875" style="3169"/>
    <col min="7681" max="7681" width="6.375" style="3169" customWidth="1"/>
    <col min="7682" max="7682" width="19.375" style="3169" customWidth="1"/>
    <col min="7683" max="7683" width="6.125" style="3169" customWidth="1"/>
    <col min="7684" max="7684" width="6.375" style="3169" customWidth="1"/>
    <col min="7685" max="7685" width="7.375" style="3169" customWidth="1"/>
    <col min="7686" max="7686" width="3.5" style="3169" customWidth="1"/>
    <col min="7687" max="7687" width="19.375" style="3169" customWidth="1"/>
    <col min="7688" max="7688" width="19.5" style="3169" customWidth="1"/>
    <col min="7689" max="7689" width="8.625" style="3169" customWidth="1"/>
    <col min="7690" max="7690" width="10.5" style="3169" customWidth="1"/>
    <col min="7691" max="7691" width="4.875" style="3169" customWidth="1"/>
    <col min="7692" max="7692" width="16.375" style="3169" customWidth="1"/>
    <col min="7693" max="7696" width="8.125" style="3169" customWidth="1"/>
    <col min="7697" max="7936" width="8.875" style="3169"/>
    <col min="7937" max="7937" width="6.375" style="3169" customWidth="1"/>
    <col min="7938" max="7938" width="19.375" style="3169" customWidth="1"/>
    <col min="7939" max="7939" width="6.125" style="3169" customWidth="1"/>
    <col min="7940" max="7940" width="6.375" style="3169" customWidth="1"/>
    <col min="7941" max="7941" width="7.375" style="3169" customWidth="1"/>
    <col min="7942" max="7942" width="3.5" style="3169" customWidth="1"/>
    <col min="7943" max="7943" width="19.375" style="3169" customWidth="1"/>
    <col min="7944" max="7944" width="19.5" style="3169" customWidth="1"/>
    <col min="7945" max="7945" width="8.625" style="3169" customWidth="1"/>
    <col min="7946" max="7946" width="10.5" style="3169" customWidth="1"/>
    <col min="7947" max="7947" width="4.875" style="3169" customWidth="1"/>
    <col min="7948" max="7948" width="16.375" style="3169" customWidth="1"/>
    <col min="7949" max="7952" width="8.125" style="3169" customWidth="1"/>
    <col min="7953" max="8192" width="8.875" style="3169"/>
    <col min="8193" max="8193" width="6.375" style="3169" customWidth="1"/>
    <col min="8194" max="8194" width="19.375" style="3169" customWidth="1"/>
    <col min="8195" max="8195" width="6.125" style="3169" customWidth="1"/>
    <col min="8196" max="8196" width="6.375" style="3169" customWidth="1"/>
    <col min="8197" max="8197" width="7.375" style="3169" customWidth="1"/>
    <col min="8198" max="8198" width="3.5" style="3169" customWidth="1"/>
    <col min="8199" max="8199" width="19.375" style="3169" customWidth="1"/>
    <col min="8200" max="8200" width="19.5" style="3169" customWidth="1"/>
    <col min="8201" max="8201" width="8.625" style="3169" customWidth="1"/>
    <col min="8202" max="8202" width="10.5" style="3169" customWidth="1"/>
    <col min="8203" max="8203" width="4.875" style="3169" customWidth="1"/>
    <col min="8204" max="8204" width="16.375" style="3169" customWidth="1"/>
    <col min="8205" max="8208" width="8.125" style="3169" customWidth="1"/>
    <col min="8209" max="8448" width="8.875" style="3169"/>
    <col min="8449" max="8449" width="6.375" style="3169" customWidth="1"/>
    <col min="8450" max="8450" width="19.375" style="3169" customWidth="1"/>
    <col min="8451" max="8451" width="6.125" style="3169" customWidth="1"/>
    <col min="8452" max="8452" width="6.375" style="3169" customWidth="1"/>
    <col min="8453" max="8453" width="7.375" style="3169" customWidth="1"/>
    <col min="8454" max="8454" width="3.5" style="3169" customWidth="1"/>
    <col min="8455" max="8455" width="19.375" style="3169" customWidth="1"/>
    <col min="8456" max="8456" width="19.5" style="3169" customWidth="1"/>
    <col min="8457" max="8457" width="8.625" style="3169" customWidth="1"/>
    <col min="8458" max="8458" width="10.5" style="3169" customWidth="1"/>
    <col min="8459" max="8459" width="4.875" style="3169" customWidth="1"/>
    <col min="8460" max="8460" width="16.375" style="3169" customWidth="1"/>
    <col min="8461" max="8464" width="8.125" style="3169" customWidth="1"/>
    <col min="8465" max="8704" width="8.875" style="3169"/>
    <col min="8705" max="8705" width="6.375" style="3169" customWidth="1"/>
    <col min="8706" max="8706" width="19.375" style="3169" customWidth="1"/>
    <col min="8707" max="8707" width="6.125" style="3169" customWidth="1"/>
    <col min="8708" max="8708" width="6.375" style="3169" customWidth="1"/>
    <col min="8709" max="8709" width="7.375" style="3169" customWidth="1"/>
    <col min="8710" max="8710" width="3.5" style="3169" customWidth="1"/>
    <col min="8711" max="8711" width="19.375" style="3169" customWidth="1"/>
    <col min="8712" max="8712" width="19.5" style="3169" customWidth="1"/>
    <col min="8713" max="8713" width="8.625" style="3169" customWidth="1"/>
    <col min="8714" max="8714" width="10.5" style="3169" customWidth="1"/>
    <col min="8715" max="8715" width="4.875" style="3169" customWidth="1"/>
    <col min="8716" max="8716" width="16.375" style="3169" customWidth="1"/>
    <col min="8717" max="8720" width="8.125" style="3169" customWidth="1"/>
    <col min="8721" max="8960" width="8.875" style="3169"/>
    <col min="8961" max="8961" width="6.375" style="3169" customWidth="1"/>
    <col min="8962" max="8962" width="19.375" style="3169" customWidth="1"/>
    <col min="8963" max="8963" width="6.125" style="3169" customWidth="1"/>
    <col min="8964" max="8964" width="6.375" style="3169" customWidth="1"/>
    <col min="8965" max="8965" width="7.375" style="3169" customWidth="1"/>
    <col min="8966" max="8966" width="3.5" style="3169" customWidth="1"/>
    <col min="8967" max="8967" width="19.375" style="3169" customWidth="1"/>
    <col min="8968" max="8968" width="19.5" style="3169" customWidth="1"/>
    <col min="8969" max="8969" width="8.625" style="3169" customWidth="1"/>
    <col min="8970" max="8970" width="10.5" style="3169" customWidth="1"/>
    <col min="8971" max="8971" width="4.875" style="3169" customWidth="1"/>
    <col min="8972" max="8972" width="16.375" style="3169" customWidth="1"/>
    <col min="8973" max="8976" width="8.125" style="3169" customWidth="1"/>
    <col min="8977" max="9216" width="8.875" style="3169"/>
    <col min="9217" max="9217" width="6.375" style="3169" customWidth="1"/>
    <col min="9218" max="9218" width="19.375" style="3169" customWidth="1"/>
    <col min="9219" max="9219" width="6.125" style="3169" customWidth="1"/>
    <col min="9220" max="9220" width="6.375" style="3169" customWidth="1"/>
    <col min="9221" max="9221" width="7.375" style="3169" customWidth="1"/>
    <col min="9222" max="9222" width="3.5" style="3169" customWidth="1"/>
    <col min="9223" max="9223" width="19.375" style="3169" customWidth="1"/>
    <col min="9224" max="9224" width="19.5" style="3169" customWidth="1"/>
    <col min="9225" max="9225" width="8.625" style="3169" customWidth="1"/>
    <col min="9226" max="9226" width="10.5" style="3169" customWidth="1"/>
    <col min="9227" max="9227" width="4.875" style="3169" customWidth="1"/>
    <col min="9228" max="9228" width="16.375" style="3169" customWidth="1"/>
    <col min="9229" max="9232" width="8.125" style="3169" customWidth="1"/>
    <col min="9233" max="9472" width="8.875" style="3169"/>
    <col min="9473" max="9473" width="6.375" style="3169" customWidth="1"/>
    <col min="9474" max="9474" width="19.375" style="3169" customWidth="1"/>
    <col min="9475" max="9475" width="6.125" style="3169" customWidth="1"/>
    <col min="9476" max="9476" width="6.375" style="3169" customWidth="1"/>
    <col min="9477" max="9477" width="7.375" style="3169" customWidth="1"/>
    <col min="9478" max="9478" width="3.5" style="3169" customWidth="1"/>
    <col min="9479" max="9479" width="19.375" style="3169" customWidth="1"/>
    <col min="9480" max="9480" width="19.5" style="3169" customWidth="1"/>
    <col min="9481" max="9481" width="8.625" style="3169" customWidth="1"/>
    <col min="9482" max="9482" width="10.5" style="3169" customWidth="1"/>
    <col min="9483" max="9483" width="4.875" style="3169" customWidth="1"/>
    <col min="9484" max="9484" width="16.375" style="3169" customWidth="1"/>
    <col min="9485" max="9488" width="8.125" style="3169" customWidth="1"/>
    <col min="9489" max="9728" width="8.875" style="3169"/>
    <col min="9729" max="9729" width="6.375" style="3169" customWidth="1"/>
    <col min="9730" max="9730" width="19.375" style="3169" customWidth="1"/>
    <col min="9731" max="9731" width="6.125" style="3169" customWidth="1"/>
    <col min="9732" max="9732" width="6.375" style="3169" customWidth="1"/>
    <col min="9733" max="9733" width="7.375" style="3169" customWidth="1"/>
    <col min="9734" max="9734" width="3.5" style="3169" customWidth="1"/>
    <col min="9735" max="9735" width="19.375" style="3169" customWidth="1"/>
    <col min="9736" max="9736" width="19.5" style="3169" customWidth="1"/>
    <col min="9737" max="9737" width="8.625" style="3169" customWidth="1"/>
    <col min="9738" max="9738" width="10.5" style="3169" customWidth="1"/>
    <col min="9739" max="9739" width="4.875" style="3169" customWidth="1"/>
    <col min="9740" max="9740" width="16.375" style="3169" customWidth="1"/>
    <col min="9741" max="9744" width="8.125" style="3169" customWidth="1"/>
    <col min="9745" max="9984" width="8.875" style="3169"/>
    <col min="9985" max="9985" width="6.375" style="3169" customWidth="1"/>
    <col min="9986" max="9986" width="19.375" style="3169" customWidth="1"/>
    <col min="9987" max="9987" width="6.125" style="3169" customWidth="1"/>
    <col min="9988" max="9988" width="6.375" style="3169" customWidth="1"/>
    <col min="9989" max="9989" width="7.375" style="3169" customWidth="1"/>
    <col min="9990" max="9990" width="3.5" style="3169" customWidth="1"/>
    <col min="9991" max="9991" width="19.375" style="3169" customWidth="1"/>
    <col min="9992" max="9992" width="19.5" style="3169" customWidth="1"/>
    <col min="9993" max="9993" width="8.625" style="3169" customWidth="1"/>
    <col min="9994" max="9994" width="10.5" style="3169" customWidth="1"/>
    <col min="9995" max="9995" width="4.875" style="3169" customWidth="1"/>
    <col min="9996" max="9996" width="16.375" style="3169" customWidth="1"/>
    <col min="9997" max="10000" width="8.125" style="3169" customWidth="1"/>
    <col min="10001" max="10240" width="8.875" style="3169"/>
    <col min="10241" max="10241" width="6.375" style="3169" customWidth="1"/>
    <col min="10242" max="10242" width="19.375" style="3169" customWidth="1"/>
    <col min="10243" max="10243" width="6.125" style="3169" customWidth="1"/>
    <col min="10244" max="10244" width="6.375" style="3169" customWidth="1"/>
    <col min="10245" max="10245" width="7.375" style="3169" customWidth="1"/>
    <col min="10246" max="10246" width="3.5" style="3169" customWidth="1"/>
    <col min="10247" max="10247" width="19.375" style="3169" customWidth="1"/>
    <col min="10248" max="10248" width="19.5" style="3169" customWidth="1"/>
    <col min="10249" max="10249" width="8.625" style="3169" customWidth="1"/>
    <col min="10250" max="10250" width="10.5" style="3169" customWidth="1"/>
    <col min="10251" max="10251" width="4.875" style="3169" customWidth="1"/>
    <col min="10252" max="10252" width="16.375" style="3169" customWidth="1"/>
    <col min="10253" max="10256" width="8.125" style="3169" customWidth="1"/>
    <col min="10257" max="10496" width="8.875" style="3169"/>
    <col min="10497" max="10497" width="6.375" style="3169" customWidth="1"/>
    <col min="10498" max="10498" width="19.375" style="3169" customWidth="1"/>
    <col min="10499" max="10499" width="6.125" style="3169" customWidth="1"/>
    <col min="10500" max="10500" width="6.375" style="3169" customWidth="1"/>
    <col min="10501" max="10501" width="7.375" style="3169" customWidth="1"/>
    <col min="10502" max="10502" width="3.5" style="3169" customWidth="1"/>
    <col min="10503" max="10503" width="19.375" style="3169" customWidth="1"/>
    <col min="10504" max="10504" width="19.5" style="3169" customWidth="1"/>
    <col min="10505" max="10505" width="8.625" style="3169" customWidth="1"/>
    <col min="10506" max="10506" width="10.5" style="3169" customWidth="1"/>
    <col min="10507" max="10507" width="4.875" style="3169" customWidth="1"/>
    <col min="10508" max="10508" width="16.375" style="3169" customWidth="1"/>
    <col min="10509" max="10512" width="8.125" style="3169" customWidth="1"/>
    <col min="10513" max="10752" width="8.875" style="3169"/>
    <col min="10753" max="10753" width="6.375" style="3169" customWidth="1"/>
    <col min="10754" max="10754" width="19.375" style="3169" customWidth="1"/>
    <col min="10755" max="10755" width="6.125" style="3169" customWidth="1"/>
    <col min="10756" max="10756" width="6.375" style="3169" customWidth="1"/>
    <col min="10757" max="10757" width="7.375" style="3169" customWidth="1"/>
    <col min="10758" max="10758" width="3.5" style="3169" customWidth="1"/>
    <col min="10759" max="10759" width="19.375" style="3169" customWidth="1"/>
    <col min="10760" max="10760" width="19.5" style="3169" customWidth="1"/>
    <col min="10761" max="10761" width="8.625" style="3169" customWidth="1"/>
    <col min="10762" max="10762" width="10.5" style="3169" customWidth="1"/>
    <col min="10763" max="10763" width="4.875" style="3169" customWidth="1"/>
    <col min="10764" max="10764" width="16.375" style="3169" customWidth="1"/>
    <col min="10765" max="10768" width="8.125" style="3169" customWidth="1"/>
    <col min="10769" max="11008" width="8.875" style="3169"/>
    <col min="11009" max="11009" width="6.375" style="3169" customWidth="1"/>
    <col min="11010" max="11010" width="19.375" style="3169" customWidth="1"/>
    <col min="11011" max="11011" width="6.125" style="3169" customWidth="1"/>
    <col min="11012" max="11012" width="6.375" style="3169" customWidth="1"/>
    <col min="11013" max="11013" width="7.375" style="3169" customWidth="1"/>
    <col min="11014" max="11014" width="3.5" style="3169" customWidth="1"/>
    <col min="11015" max="11015" width="19.375" style="3169" customWidth="1"/>
    <col min="11016" max="11016" width="19.5" style="3169" customWidth="1"/>
    <col min="11017" max="11017" width="8.625" style="3169" customWidth="1"/>
    <col min="11018" max="11018" width="10.5" style="3169" customWidth="1"/>
    <col min="11019" max="11019" width="4.875" style="3169" customWidth="1"/>
    <col min="11020" max="11020" width="16.375" style="3169" customWidth="1"/>
    <col min="11021" max="11024" width="8.125" style="3169" customWidth="1"/>
    <col min="11025" max="11264" width="8.875" style="3169"/>
    <col min="11265" max="11265" width="6.375" style="3169" customWidth="1"/>
    <col min="11266" max="11266" width="19.375" style="3169" customWidth="1"/>
    <col min="11267" max="11267" width="6.125" style="3169" customWidth="1"/>
    <col min="11268" max="11268" width="6.375" style="3169" customWidth="1"/>
    <col min="11269" max="11269" width="7.375" style="3169" customWidth="1"/>
    <col min="11270" max="11270" width="3.5" style="3169" customWidth="1"/>
    <col min="11271" max="11271" width="19.375" style="3169" customWidth="1"/>
    <col min="11272" max="11272" width="19.5" style="3169" customWidth="1"/>
    <col min="11273" max="11273" width="8.625" style="3169" customWidth="1"/>
    <col min="11274" max="11274" width="10.5" style="3169" customWidth="1"/>
    <col min="11275" max="11275" width="4.875" style="3169" customWidth="1"/>
    <col min="11276" max="11276" width="16.375" style="3169" customWidth="1"/>
    <col min="11277" max="11280" width="8.125" style="3169" customWidth="1"/>
    <col min="11281" max="11520" width="8.875" style="3169"/>
    <col min="11521" max="11521" width="6.375" style="3169" customWidth="1"/>
    <col min="11522" max="11522" width="19.375" style="3169" customWidth="1"/>
    <col min="11523" max="11523" width="6.125" style="3169" customWidth="1"/>
    <col min="11524" max="11524" width="6.375" style="3169" customWidth="1"/>
    <col min="11525" max="11525" width="7.375" style="3169" customWidth="1"/>
    <col min="11526" max="11526" width="3.5" style="3169" customWidth="1"/>
    <col min="11527" max="11527" width="19.375" style="3169" customWidth="1"/>
    <col min="11528" max="11528" width="19.5" style="3169" customWidth="1"/>
    <col min="11529" max="11529" width="8.625" style="3169" customWidth="1"/>
    <col min="11530" max="11530" width="10.5" style="3169" customWidth="1"/>
    <col min="11531" max="11531" width="4.875" style="3169" customWidth="1"/>
    <col min="11532" max="11532" width="16.375" style="3169" customWidth="1"/>
    <col min="11533" max="11536" width="8.125" style="3169" customWidth="1"/>
    <col min="11537" max="11776" width="8.875" style="3169"/>
    <col min="11777" max="11777" width="6.375" style="3169" customWidth="1"/>
    <col min="11778" max="11778" width="19.375" style="3169" customWidth="1"/>
    <col min="11779" max="11779" width="6.125" style="3169" customWidth="1"/>
    <col min="11780" max="11780" width="6.375" style="3169" customWidth="1"/>
    <col min="11781" max="11781" width="7.375" style="3169" customWidth="1"/>
    <col min="11782" max="11782" width="3.5" style="3169" customWidth="1"/>
    <col min="11783" max="11783" width="19.375" style="3169" customWidth="1"/>
    <col min="11784" max="11784" width="19.5" style="3169" customWidth="1"/>
    <col min="11785" max="11785" width="8.625" style="3169" customWidth="1"/>
    <col min="11786" max="11786" width="10.5" style="3169" customWidth="1"/>
    <col min="11787" max="11787" width="4.875" style="3169" customWidth="1"/>
    <col min="11788" max="11788" width="16.375" style="3169" customWidth="1"/>
    <col min="11789" max="11792" width="8.125" style="3169" customWidth="1"/>
    <col min="11793" max="12032" width="8.875" style="3169"/>
    <col min="12033" max="12033" width="6.375" style="3169" customWidth="1"/>
    <col min="12034" max="12034" width="19.375" style="3169" customWidth="1"/>
    <col min="12035" max="12035" width="6.125" style="3169" customWidth="1"/>
    <col min="12036" max="12036" width="6.375" style="3169" customWidth="1"/>
    <col min="12037" max="12037" width="7.375" style="3169" customWidth="1"/>
    <col min="12038" max="12038" width="3.5" style="3169" customWidth="1"/>
    <col min="12039" max="12039" width="19.375" style="3169" customWidth="1"/>
    <col min="12040" max="12040" width="19.5" style="3169" customWidth="1"/>
    <col min="12041" max="12041" width="8.625" style="3169" customWidth="1"/>
    <col min="12042" max="12042" width="10.5" style="3169" customWidth="1"/>
    <col min="12043" max="12043" width="4.875" style="3169" customWidth="1"/>
    <col min="12044" max="12044" width="16.375" style="3169" customWidth="1"/>
    <col min="12045" max="12048" width="8.125" style="3169" customWidth="1"/>
    <col min="12049" max="12288" width="8.875" style="3169"/>
    <col min="12289" max="12289" width="6.375" style="3169" customWidth="1"/>
    <col min="12290" max="12290" width="19.375" style="3169" customWidth="1"/>
    <col min="12291" max="12291" width="6.125" style="3169" customWidth="1"/>
    <col min="12292" max="12292" width="6.375" style="3169" customWidth="1"/>
    <col min="12293" max="12293" width="7.375" style="3169" customWidth="1"/>
    <col min="12294" max="12294" width="3.5" style="3169" customWidth="1"/>
    <col min="12295" max="12295" width="19.375" style="3169" customWidth="1"/>
    <col min="12296" max="12296" width="19.5" style="3169" customWidth="1"/>
    <col min="12297" max="12297" width="8.625" style="3169" customWidth="1"/>
    <col min="12298" max="12298" width="10.5" style="3169" customWidth="1"/>
    <col min="12299" max="12299" width="4.875" style="3169" customWidth="1"/>
    <col min="12300" max="12300" width="16.375" style="3169" customWidth="1"/>
    <col min="12301" max="12304" width="8.125" style="3169" customWidth="1"/>
    <col min="12305" max="12544" width="8.875" style="3169"/>
    <col min="12545" max="12545" width="6.375" style="3169" customWidth="1"/>
    <col min="12546" max="12546" width="19.375" style="3169" customWidth="1"/>
    <col min="12547" max="12547" width="6.125" style="3169" customWidth="1"/>
    <col min="12548" max="12548" width="6.375" style="3169" customWidth="1"/>
    <col min="12549" max="12549" width="7.375" style="3169" customWidth="1"/>
    <col min="12550" max="12550" width="3.5" style="3169" customWidth="1"/>
    <col min="12551" max="12551" width="19.375" style="3169" customWidth="1"/>
    <col min="12552" max="12552" width="19.5" style="3169" customWidth="1"/>
    <col min="12553" max="12553" width="8.625" style="3169" customWidth="1"/>
    <col min="12554" max="12554" width="10.5" style="3169" customWidth="1"/>
    <col min="12555" max="12555" width="4.875" style="3169" customWidth="1"/>
    <col min="12556" max="12556" width="16.375" style="3169" customWidth="1"/>
    <col min="12557" max="12560" width="8.125" style="3169" customWidth="1"/>
    <col min="12561" max="12800" width="8.875" style="3169"/>
    <col min="12801" max="12801" width="6.375" style="3169" customWidth="1"/>
    <col min="12802" max="12802" width="19.375" style="3169" customWidth="1"/>
    <col min="12803" max="12803" width="6.125" style="3169" customWidth="1"/>
    <col min="12804" max="12804" width="6.375" style="3169" customWidth="1"/>
    <col min="12805" max="12805" width="7.375" style="3169" customWidth="1"/>
    <col min="12806" max="12806" width="3.5" style="3169" customWidth="1"/>
    <col min="12807" max="12807" width="19.375" style="3169" customWidth="1"/>
    <col min="12808" max="12808" width="19.5" style="3169" customWidth="1"/>
    <col min="12809" max="12809" width="8.625" style="3169" customWidth="1"/>
    <col min="12810" max="12810" width="10.5" style="3169" customWidth="1"/>
    <col min="12811" max="12811" width="4.875" style="3169" customWidth="1"/>
    <col min="12812" max="12812" width="16.375" style="3169" customWidth="1"/>
    <col min="12813" max="12816" width="8.125" style="3169" customWidth="1"/>
    <col min="12817" max="13056" width="8.875" style="3169"/>
    <col min="13057" max="13057" width="6.375" style="3169" customWidth="1"/>
    <col min="13058" max="13058" width="19.375" style="3169" customWidth="1"/>
    <col min="13059" max="13059" width="6.125" style="3169" customWidth="1"/>
    <col min="13060" max="13060" width="6.375" style="3169" customWidth="1"/>
    <col min="13061" max="13061" width="7.375" style="3169" customWidth="1"/>
    <col min="13062" max="13062" width="3.5" style="3169" customWidth="1"/>
    <col min="13063" max="13063" width="19.375" style="3169" customWidth="1"/>
    <col min="13064" max="13064" width="19.5" style="3169" customWidth="1"/>
    <col min="13065" max="13065" width="8.625" style="3169" customWidth="1"/>
    <col min="13066" max="13066" width="10.5" style="3169" customWidth="1"/>
    <col min="13067" max="13067" width="4.875" style="3169" customWidth="1"/>
    <col min="13068" max="13068" width="16.375" style="3169" customWidth="1"/>
    <col min="13069" max="13072" width="8.125" style="3169" customWidth="1"/>
    <col min="13073" max="13312" width="8.875" style="3169"/>
    <col min="13313" max="13313" width="6.375" style="3169" customWidth="1"/>
    <col min="13314" max="13314" width="19.375" style="3169" customWidth="1"/>
    <col min="13315" max="13315" width="6.125" style="3169" customWidth="1"/>
    <col min="13316" max="13316" width="6.375" style="3169" customWidth="1"/>
    <col min="13317" max="13317" width="7.375" style="3169" customWidth="1"/>
    <col min="13318" max="13318" width="3.5" style="3169" customWidth="1"/>
    <col min="13319" max="13319" width="19.375" style="3169" customWidth="1"/>
    <col min="13320" max="13320" width="19.5" style="3169" customWidth="1"/>
    <col min="13321" max="13321" width="8.625" style="3169" customWidth="1"/>
    <col min="13322" max="13322" width="10.5" style="3169" customWidth="1"/>
    <col min="13323" max="13323" width="4.875" style="3169" customWidth="1"/>
    <col min="13324" max="13324" width="16.375" style="3169" customWidth="1"/>
    <col min="13325" max="13328" width="8.125" style="3169" customWidth="1"/>
    <col min="13329" max="13568" width="8.875" style="3169"/>
    <col min="13569" max="13569" width="6.375" style="3169" customWidth="1"/>
    <col min="13570" max="13570" width="19.375" style="3169" customWidth="1"/>
    <col min="13571" max="13571" width="6.125" style="3169" customWidth="1"/>
    <col min="13572" max="13572" width="6.375" style="3169" customWidth="1"/>
    <col min="13573" max="13573" width="7.375" style="3169" customWidth="1"/>
    <col min="13574" max="13574" width="3.5" style="3169" customWidth="1"/>
    <col min="13575" max="13575" width="19.375" style="3169" customWidth="1"/>
    <col min="13576" max="13576" width="19.5" style="3169" customWidth="1"/>
    <col min="13577" max="13577" width="8.625" style="3169" customWidth="1"/>
    <col min="13578" max="13578" width="10.5" style="3169" customWidth="1"/>
    <col min="13579" max="13579" width="4.875" style="3169" customWidth="1"/>
    <col min="13580" max="13580" width="16.375" style="3169" customWidth="1"/>
    <col min="13581" max="13584" width="8.125" style="3169" customWidth="1"/>
    <col min="13585" max="13824" width="8.875" style="3169"/>
    <col min="13825" max="13825" width="6.375" style="3169" customWidth="1"/>
    <col min="13826" max="13826" width="19.375" style="3169" customWidth="1"/>
    <col min="13827" max="13827" width="6.125" style="3169" customWidth="1"/>
    <col min="13828" max="13828" width="6.375" style="3169" customWidth="1"/>
    <col min="13829" max="13829" width="7.375" style="3169" customWidth="1"/>
    <col min="13830" max="13830" width="3.5" style="3169" customWidth="1"/>
    <col min="13831" max="13831" width="19.375" style="3169" customWidth="1"/>
    <col min="13832" max="13832" width="19.5" style="3169" customWidth="1"/>
    <col min="13833" max="13833" width="8.625" style="3169" customWidth="1"/>
    <col min="13834" max="13834" width="10.5" style="3169" customWidth="1"/>
    <col min="13835" max="13835" width="4.875" style="3169" customWidth="1"/>
    <col min="13836" max="13836" width="16.375" style="3169" customWidth="1"/>
    <col min="13837" max="13840" width="8.125" style="3169" customWidth="1"/>
    <col min="13841" max="14080" width="8.875" style="3169"/>
    <col min="14081" max="14081" width="6.375" style="3169" customWidth="1"/>
    <col min="14082" max="14082" width="19.375" style="3169" customWidth="1"/>
    <col min="14083" max="14083" width="6.125" style="3169" customWidth="1"/>
    <col min="14084" max="14084" width="6.375" style="3169" customWidth="1"/>
    <col min="14085" max="14085" width="7.375" style="3169" customWidth="1"/>
    <col min="14086" max="14086" width="3.5" style="3169" customWidth="1"/>
    <col min="14087" max="14087" width="19.375" style="3169" customWidth="1"/>
    <col min="14088" max="14088" width="19.5" style="3169" customWidth="1"/>
    <col min="14089" max="14089" width="8.625" style="3169" customWidth="1"/>
    <col min="14090" max="14090" width="10.5" style="3169" customWidth="1"/>
    <col min="14091" max="14091" width="4.875" style="3169" customWidth="1"/>
    <col min="14092" max="14092" width="16.375" style="3169" customWidth="1"/>
    <col min="14093" max="14096" width="8.125" style="3169" customWidth="1"/>
    <col min="14097" max="14336" width="8.875" style="3169"/>
    <col min="14337" max="14337" width="6.375" style="3169" customWidth="1"/>
    <col min="14338" max="14338" width="19.375" style="3169" customWidth="1"/>
    <col min="14339" max="14339" width="6.125" style="3169" customWidth="1"/>
    <col min="14340" max="14340" width="6.375" style="3169" customWidth="1"/>
    <col min="14341" max="14341" width="7.375" style="3169" customWidth="1"/>
    <col min="14342" max="14342" width="3.5" style="3169" customWidth="1"/>
    <col min="14343" max="14343" width="19.375" style="3169" customWidth="1"/>
    <col min="14344" max="14344" width="19.5" style="3169" customWidth="1"/>
    <col min="14345" max="14345" width="8.625" style="3169" customWidth="1"/>
    <col min="14346" max="14346" width="10.5" style="3169" customWidth="1"/>
    <col min="14347" max="14347" width="4.875" style="3169" customWidth="1"/>
    <col min="14348" max="14348" width="16.375" style="3169" customWidth="1"/>
    <col min="14349" max="14352" width="8.125" style="3169" customWidth="1"/>
    <col min="14353" max="14592" width="8.875" style="3169"/>
    <col min="14593" max="14593" width="6.375" style="3169" customWidth="1"/>
    <col min="14594" max="14594" width="19.375" style="3169" customWidth="1"/>
    <col min="14595" max="14595" width="6.125" style="3169" customWidth="1"/>
    <col min="14596" max="14596" width="6.375" style="3169" customWidth="1"/>
    <col min="14597" max="14597" width="7.375" style="3169" customWidth="1"/>
    <col min="14598" max="14598" width="3.5" style="3169" customWidth="1"/>
    <col min="14599" max="14599" width="19.375" style="3169" customWidth="1"/>
    <col min="14600" max="14600" width="19.5" style="3169" customWidth="1"/>
    <col min="14601" max="14601" width="8.625" style="3169" customWidth="1"/>
    <col min="14602" max="14602" width="10.5" style="3169" customWidth="1"/>
    <col min="14603" max="14603" width="4.875" style="3169" customWidth="1"/>
    <col min="14604" max="14604" width="16.375" style="3169" customWidth="1"/>
    <col min="14605" max="14608" width="8.125" style="3169" customWidth="1"/>
    <col min="14609" max="14848" width="8.875" style="3169"/>
    <col min="14849" max="14849" width="6.375" style="3169" customWidth="1"/>
    <col min="14850" max="14850" width="19.375" style="3169" customWidth="1"/>
    <col min="14851" max="14851" width="6.125" style="3169" customWidth="1"/>
    <col min="14852" max="14852" width="6.375" style="3169" customWidth="1"/>
    <col min="14853" max="14853" width="7.375" style="3169" customWidth="1"/>
    <col min="14854" max="14854" width="3.5" style="3169" customWidth="1"/>
    <col min="14855" max="14855" width="19.375" style="3169" customWidth="1"/>
    <col min="14856" max="14856" width="19.5" style="3169" customWidth="1"/>
    <col min="14857" max="14857" width="8.625" style="3169" customWidth="1"/>
    <col min="14858" max="14858" width="10.5" style="3169" customWidth="1"/>
    <col min="14859" max="14859" width="4.875" style="3169" customWidth="1"/>
    <col min="14860" max="14860" width="16.375" style="3169" customWidth="1"/>
    <col min="14861" max="14864" width="8.125" style="3169" customWidth="1"/>
    <col min="14865" max="15104" width="8.875" style="3169"/>
    <col min="15105" max="15105" width="6.375" style="3169" customWidth="1"/>
    <col min="15106" max="15106" width="19.375" style="3169" customWidth="1"/>
    <col min="15107" max="15107" width="6.125" style="3169" customWidth="1"/>
    <col min="15108" max="15108" width="6.375" style="3169" customWidth="1"/>
    <col min="15109" max="15109" width="7.375" style="3169" customWidth="1"/>
    <col min="15110" max="15110" width="3.5" style="3169" customWidth="1"/>
    <col min="15111" max="15111" width="19.375" style="3169" customWidth="1"/>
    <col min="15112" max="15112" width="19.5" style="3169" customWidth="1"/>
    <col min="15113" max="15113" width="8.625" style="3169" customWidth="1"/>
    <col min="15114" max="15114" width="10.5" style="3169" customWidth="1"/>
    <col min="15115" max="15115" width="4.875" style="3169" customWidth="1"/>
    <col min="15116" max="15116" width="16.375" style="3169" customWidth="1"/>
    <col min="15117" max="15120" width="8.125" style="3169" customWidth="1"/>
    <col min="15121" max="15360" width="8.875" style="3169"/>
    <col min="15361" max="15361" width="6.375" style="3169" customWidth="1"/>
    <col min="15362" max="15362" width="19.375" style="3169" customWidth="1"/>
    <col min="15363" max="15363" width="6.125" style="3169" customWidth="1"/>
    <col min="15364" max="15364" width="6.375" style="3169" customWidth="1"/>
    <col min="15365" max="15365" width="7.375" style="3169" customWidth="1"/>
    <col min="15366" max="15366" width="3.5" style="3169" customWidth="1"/>
    <col min="15367" max="15367" width="19.375" style="3169" customWidth="1"/>
    <col min="15368" max="15368" width="19.5" style="3169" customWidth="1"/>
    <col min="15369" max="15369" width="8.625" style="3169" customWidth="1"/>
    <col min="15370" max="15370" width="10.5" style="3169" customWidth="1"/>
    <col min="15371" max="15371" width="4.875" style="3169" customWidth="1"/>
    <col min="15372" max="15372" width="16.375" style="3169" customWidth="1"/>
    <col min="15373" max="15376" width="8.125" style="3169" customWidth="1"/>
    <col min="15377" max="15616" width="8.875" style="3169"/>
    <col min="15617" max="15617" width="6.375" style="3169" customWidth="1"/>
    <col min="15618" max="15618" width="19.375" style="3169" customWidth="1"/>
    <col min="15619" max="15619" width="6.125" style="3169" customWidth="1"/>
    <col min="15620" max="15620" width="6.375" style="3169" customWidth="1"/>
    <col min="15621" max="15621" width="7.375" style="3169" customWidth="1"/>
    <col min="15622" max="15622" width="3.5" style="3169" customWidth="1"/>
    <col min="15623" max="15623" width="19.375" style="3169" customWidth="1"/>
    <col min="15624" max="15624" width="19.5" style="3169" customWidth="1"/>
    <col min="15625" max="15625" width="8.625" style="3169" customWidth="1"/>
    <col min="15626" max="15626" width="10.5" style="3169" customWidth="1"/>
    <col min="15627" max="15627" width="4.875" style="3169" customWidth="1"/>
    <col min="15628" max="15628" width="16.375" style="3169" customWidth="1"/>
    <col min="15629" max="15632" width="8.125" style="3169" customWidth="1"/>
    <col min="15633" max="15872" width="8.875" style="3169"/>
    <col min="15873" max="15873" width="6.375" style="3169" customWidth="1"/>
    <col min="15874" max="15874" width="19.375" style="3169" customWidth="1"/>
    <col min="15875" max="15875" width="6.125" style="3169" customWidth="1"/>
    <col min="15876" max="15876" width="6.375" style="3169" customWidth="1"/>
    <col min="15877" max="15877" width="7.375" style="3169" customWidth="1"/>
    <col min="15878" max="15878" width="3.5" style="3169" customWidth="1"/>
    <col min="15879" max="15879" width="19.375" style="3169" customWidth="1"/>
    <col min="15880" max="15880" width="19.5" style="3169" customWidth="1"/>
    <col min="15881" max="15881" width="8.625" style="3169" customWidth="1"/>
    <col min="15882" max="15882" width="10.5" style="3169" customWidth="1"/>
    <col min="15883" max="15883" width="4.875" style="3169" customWidth="1"/>
    <col min="15884" max="15884" width="16.375" style="3169" customWidth="1"/>
    <col min="15885" max="15888" width="8.125" style="3169" customWidth="1"/>
    <col min="15889" max="16128" width="8.875" style="3169"/>
    <col min="16129" max="16129" width="6.375" style="3169" customWidth="1"/>
    <col min="16130" max="16130" width="19.375" style="3169" customWidth="1"/>
    <col min="16131" max="16131" width="6.125" style="3169" customWidth="1"/>
    <col min="16132" max="16132" width="6.375" style="3169" customWidth="1"/>
    <col min="16133" max="16133" width="7.375" style="3169" customWidth="1"/>
    <col min="16134" max="16134" width="3.5" style="3169" customWidth="1"/>
    <col min="16135" max="16135" width="19.375" style="3169" customWidth="1"/>
    <col min="16136" max="16136" width="19.5" style="3169" customWidth="1"/>
    <col min="16137" max="16137" width="8.625" style="3169" customWidth="1"/>
    <col min="16138" max="16138" width="10.5" style="3169" customWidth="1"/>
    <col min="16139" max="16139" width="4.875" style="3169" customWidth="1"/>
    <col min="16140" max="16140" width="16.375" style="3169" customWidth="1"/>
    <col min="16141" max="16144" width="8.125" style="3169" customWidth="1"/>
    <col min="16145" max="16384" width="8.875" style="3169"/>
  </cols>
  <sheetData>
    <row r="1" spans="1:16">
      <c r="A1" s="4777" t="s">
        <v>2940</v>
      </c>
      <c r="B1" s="4777"/>
      <c r="C1" s="4777"/>
      <c r="D1" s="4777"/>
      <c r="E1" s="4777"/>
      <c r="F1" s="4777"/>
      <c r="G1" s="4777"/>
      <c r="H1" s="4777"/>
      <c r="I1" s="4777"/>
      <c r="K1" s="4630" t="s">
        <v>2941</v>
      </c>
      <c r="L1" s="3175" t="s">
        <v>2942</v>
      </c>
      <c r="M1" s="3176">
        <v>0</v>
      </c>
      <c r="N1" s="3177">
        <v>2016</v>
      </c>
      <c r="O1" s="3177"/>
    </row>
    <row r="2" spans="1:16" ht="15.75" customHeight="1">
      <c r="A2" s="3178" t="s">
        <v>565</v>
      </c>
      <c r="B2" s="3179" t="s">
        <v>2943</v>
      </c>
      <c r="C2" s="4597" t="s">
        <v>2944</v>
      </c>
      <c r="D2" s="4598"/>
      <c r="E2" s="4598"/>
      <c r="F2" s="4599"/>
      <c r="G2" s="3741" t="s">
        <v>2945</v>
      </c>
      <c r="H2" s="4600" t="s">
        <v>965</v>
      </c>
      <c r="I2" s="4600"/>
      <c r="K2" s="4630"/>
      <c r="L2" s="3175" t="s">
        <v>2946</v>
      </c>
      <c r="M2" s="3181">
        <f>N1-N2</f>
        <v>14</v>
      </c>
      <c r="N2" s="3169">
        <v>2002</v>
      </c>
    </row>
    <row r="3" spans="1:16">
      <c r="A3" s="3741" t="s">
        <v>2947</v>
      </c>
      <c r="B3" s="3743" t="s">
        <v>2948</v>
      </c>
      <c r="C3" s="4597">
        <f ca="1">成本法!C52</f>
        <v>9337205</v>
      </c>
      <c r="D3" s="4598"/>
      <c r="E3" s="4598"/>
      <c r="F3" s="4599"/>
      <c r="G3" s="3741" t="s">
        <v>2949</v>
      </c>
      <c r="H3" s="3743" t="s">
        <v>2950</v>
      </c>
      <c r="I3" s="3184">
        <f>项目基本情况!C12</f>
        <v>1088.48</v>
      </c>
      <c r="J3" s="3171">
        <f>I3*30000</f>
        <v>32654400</v>
      </c>
      <c r="K3" s="4630"/>
      <c r="L3" s="3175" t="s">
        <v>2951</v>
      </c>
      <c r="M3" s="3185" t="s">
        <v>2952</v>
      </c>
      <c r="N3" s="3182"/>
      <c r="O3" s="3182"/>
    </row>
    <row r="4" spans="1:16">
      <c r="A4" s="4600" t="s">
        <v>2953</v>
      </c>
      <c r="B4" s="4604" t="s">
        <v>2954</v>
      </c>
      <c r="C4" s="4631">
        <f ca="1">ROUND(C3*(I4-I6)/(1-((1+I6)/(1+I4))^I5),0)</f>
        <v>496300</v>
      </c>
      <c r="D4" s="4632"/>
      <c r="E4" s="4632"/>
      <c r="F4" s="4633"/>
      <c r="G4" s="4600" t="s">
        <v>2955</v>
      </c>
      <c r="H4" s="3186" t="s">
        <v>2956</v>
      </c>
      <c r="I4" s="3187">
        <v>5.5E-2</v>
      </c>
      <c r="K4" s="4630"/>
      <c r="L4" s="3175" t="s">
        <v>966</v>
      </c>
      <c r="M4" s="3838">
        <f>ROUND(1-(1-M1)*M2/M3,2)</f>
        <v>0.77</v>
      </c>
      <c r="N4" s="3182"/>
      <c r="O4" s="3182"/>
    </row>
    <row r="5" spans="1:16" s="3192" customFormat="1" ht="18" customHeight="1">
      <c r="A5" s="4600"/>
      <c r="B5" s="4604"/>
      <c r="C5" s="4634"/>
      <c r="D5" s="4635"/>
      <c r="E5" s="4635"/>
      <c r="F5" s="4636"/>
      <c r="G5" s="4600"/>
      <c r="H5" s="3743" t="s">
        <v>2957</v>
      </c>
      <c r="I5" s="3184">
        <f>'数据-取费表'!B13</f>
        <v>26.5</v>
      </c>
      <c r="J5" s="3190">
        <v>1986</v>
      </c>
      <c r="K5" s="4630"/>
      <c r="L5" s="3175" t="s">
        <v>2958</v>
      </c>
      <c r="M5" s="3191">
        <v>0.5</v>
      </c>
      <c r="N5" s="3182"/>
      <c r="O5" s="3182"/>
    </row>
    <row r="6" spans="1:16" s="3192" customFormat="1" ht="18" customHeight="1">
      <c r="A6" s="4600"/>
      <c r="B6" s="4604"/>
      <c r="C6" s="4637"/>
      <c r="D6" s="4638"/>
      <c r="E6" s="4638"/>
      <c r="F6" s="4639"/>
      <c r="G6" s="4600"/>
      <c r="H6" s="3743" t="s">
        <v>2959</v>
      </c>
      <c r="I6" s="3187">
        <f>'数据-取费表'!B32</f>
        <v>0.03</v>
      </c>
      <c r="J6" s="3193">
        <v>23</v>
      </c>
      <c r="K6" s="4640" t="s">
        <v>2960</v>
      </c>
      <c r="L6" s="3194" t="s">
        <v>2961</v>
      </c>
      <c r="M6" s="3195" t="s">
        <v>2962</v>
      </c>
      <c r="N6" s="3195" t="s">
        <v>2963</v>
      </c>
      <c r="O6" s="3195" t="s">
        <v>2964</v>
      </c>
      <c r="P6" s="3195" t="s">
        <v>2965</v>
      </c>
    </row>
    <row r="7" spans="1:16" s="3192" customFormat="1" ht="18" customHeight="1">
      <c r="A7" s="3741" t="s">
        <v>2966</v>
      </c>
      <c r="B7" s="3743" t="s">
        <v>2967</v>
      </c>
      <c r="C7" s="4778">
        <f ca="1">成本法!C51</f>
        <v>5297953</v>
      </c>
      <c r="D7" s="4779"/>
      <c r="E7" s="4779"/>
      <c r="F7" s="4780"/>
      <c r="G7" s="3741" t="s">
        <v>2968</v>
      </c>
      <c r="H7" s="3743" t="s">
        <v>2969</v>
      </c>
      <c r="I7" s="3839">
        <f>'数据-取费表'!E20</f>
        <v>0.77</v>
      </c>
      <c r="K7" s="4640"/>
      <c r="L7" s="3194" t="s">
        <v>2970</v>
      </c>
      <c r="M7" s="3195">
        <v>100</v>
      </c>
      <c r="N7" s="3195" t="s">
        <v>2971</v>
      </c>
      <c r="O7" s="3195">
        <v>70</v>
      </c>
      <c r="P7" s="3197">
        <v>0.3</v>
      </c>
    </row>
    <row r="8" spans="1:16" s="3192" customFormat="1" ht="18" hidden="1" customHeight="1">
      <c r="A8" s="3178" t="s">
        <v>2972</v>
      </c>
      <c r="B8" s="3743" t="s">
        <v>2973</v>
      </c>
      <c r="C8" s="4597">
        <f>ROUND(I8*I3,0)</f>
        <v>5442400</v>
      </c>
      <c r="D8" s="4598"/>
      <c r="E8" s="4598"/>
      <c r="F8" s="4599"/>
      <c r="G8" s="3741" t="s">
        <v>2974</v>
      </c>
      <c r="H8" s="3743" t="s">
        <v>2975</v>
      </c>
      <c r="I8" s="3741">
        <f>'[6]数据-取费表'!L6</f>
        <v>5000</v>
      </c>
      <c r="J8" s="3198">
        <f>D36</f>
        <v>4.4000000000000004</v>
      </c>
      <c r="K8" s="4640"/>
      <c r="L8" s="3194" t="s">
        <v>2976</v>
      </c>
      <c r="M8" s="3195">
        <v>100</v>
      </c>
      <c r="N8" s="3195" t="s">
        <v>2971</v>
      </c>
      <c r="O8" s="3195">
        <v>70</v>
      </c>
      <c r="P8" s="3197">
        <v>0.5</v>
      </c>
    </row>
    <row r="9" spans="1:16" s="3192" customFormat="1" ht="18" hidden="1" customHeight="1">
      <c r="A9" s="3178" t="s">
        <v>2977</v>
      </c>
      <c r="B9" s="3743" t="s">
        <v>2978</v>
      </c>
      <c r="C9" s="4597">
        <f>ROUND(C8*H9,0)</f>
        <v>163272</v>
      </c>
      <c r="D9" s="4598"/>
      <c r="E9" s="4598"/>
      <c r="F9" s="4599"/>
      <c r="G9" s="3741" t="s">
        <v>2979</v>
      </c>
      <c r="H9" s="4626">
        <v>0.03</v>
      </c>
      <c r="I9" s="4626"/>
      <c r="J9" s="3198">
        <f ca="1">D37</f>
        <v>2.31</v>
      </c>
      <c r="K9" s="4640"/>
      <c r="L9" s="3194" t="s">
        <v>2980</v>
      </c>
      <c r="M9" s="3195">
        <v>100</v>
      </c>
      <c r="N9" s="3195" t="s">
        <v>2971</v>
      </c>
      <c r="O9" s="3195">
        <v>70</v>
      </c>
      <c r="P9" s="3197">
        <f>1-P7-P8</f>
        <v>0.19999999999999996</v>
      </c>
    </row>
    <row r="10" spans="1:16" s="3192" customFormat="1" ht="18" hidden="1" customHeight="1">
      <c r="A10" s="3178" t="s">
        <v>2981</v>
      </c>
      <c r="B10" s="3743" t="s">
        <v>2982</v>
      </c>
      <c r="C10" s="4597">
        <f>ROUND(C8*H10,0)</f>
        <v>0</v>
      </c>
      <c r="D10" s="4598"/>
      <c r="E10" s="4598"/>
      <c r="F10" s="4599"/>
      <c r="G10" s="3741" t="s">
        <v>2979</v>
      </c>
      <c r="H10" s="4626">
        <v>0</v>
      </c>
      <c r="I10" s="4626"/>
      <c r="J10" s="3198">
        <f ca="1">D38</f>
        <v>3.98</v>
      </c>
      <c r="K10" s="4640"/>
      <c r="L10" s="3199" t="s">
        <v>2958</v>
      </c>
      <c r="M10" s="3200">
        <f>1-M5</f>
        <v>0.5</v>
      </c>
      <c r="N10" s="3195" t="s">
        <v>966</v>
      </c>
      <c r="O10" s="3199">
        <f>ROUND((O7*P7+O8*P8+O9*P9)/100,2)</f>
        <v>0.7</v>
      </c>
      <c r="P10" s="3202"/>
    </row>
    <row r="11" spans="1:16" s="3192" customFormat="1" ht="29.25" hidden="1" customHeight="1">
      <c r="A11" s="3178" t="s">
        <v>2983</v>
      </c>
      <c r="B11" s="3743" t="s">
        <v>2984</v>
      </c>
      <c r="C11" s="4597">
        <f>ROUND(I11*I3,0)</f>
        <v>217696</v>
      </c>
      <c r="D11" s="4598"/>
      <c r="E11" s="4598"/>
      <c r="F11" s="4599"/>
      <c r="G11" s="3741" t="s">
        <v>2985</v>
      </c>
      <c r="H11" s="3743" t="s">
        <v>2986</v>
      </c>
      <c r="I11" s="3741">
        <v>200</v>
      </c>
      <c r="J11" s="3190"/>
      <c r="K11" s="3171"/>
      <c r="L11" s="3171"/>
      <c r="M11" s="3840">
        <f>M4*M5+O10*M10</f>
        <v>0.73499999999999999</v>
      </c>
    </row>
    <row r="12" spans="1:16" s="3192" customFormat="1" ht="18" hidden="1" customHeight="1">
      <c r="A12" s="3178" t="s">
        <v>2987</v>
      </c>
      <c r="B12" s="3743" t="s">
        <v>2988</v>
      </c>
      <c r="C12" s="4597">
        <f>ROUND(C8*H12,0)</f>
        <v>81636</v>
      </c>
      <c r="D12" s="4598"/>
      <c r="E12" s="4598"/>
      <c r="F12" s="4599"/>
      <c r="G12" s="3741" t="s">
        <v>2979</v>
      </c>
      <c r="H12" s="4626">
        <v>1.4999999999999999E-2</v>
      </c>
      <c r="I12" s="4626"/>
      <c r="J12" s="3203" t="s">
        <v>2989</v>
      </c>
      <c r="L12" s="3204"/>
    </row>
    <row r="13" spans="1:16" s="3192" customFormat="1" ht="18" hidden="1" customHeight="1">
      <c r="A13" s="3178" t="s">
        <v>1019</v>
      </c>
      <c r="B13" s="3743" t="s">
        <v>2990</v>
      </c>
      <c r="C13" s="4597">
        <f>SUM(C8:F12)</f>
        <v>5905004</v>
      </c>
      <c r="D13" s="4598"/>
      <c r="E13" s="4598"/>
      <c r="F13" s="4599"/>
      <c r="G13" s="4600" t="s">
        <v>2991</v>
      </c>
      <c r="H13" s="4600"/>
      <c r="I13" s="4600"/>
      <c r="J13" s="3203" t="s">
        <v>2992</v>
      </c>
      <c r="L13" s="3204"/>
    </row>
    <row r="14" spans="1:16" s="3192" customFormat="1" ht="18" hidden="1" customHeight="1">
      <c r="A14" s="3178" t="s">
        <v>2993</v>
      </c>
      <c r="B14" s="3743" t="s">
        <v>2994</v>
      </c>
      <c r="C14" s="4597">
        <f>ROUND(C13*H14,0)</f>
        <v>118100</v>
      </c>
      <c r="D14" s="4598"/>
      <c r="E14" s="4598"/>
      <c r="F14" s="4599"/>
      <c r="G14" s="3741" t="s">
        <v>2995</v>
      </c>
      <c r="H14" s="4626">
        <v>0.02</v>
      </c>
      <c r="I14" s="4626"/>
      <c r="J14" s="3190"/>
      <c r="L14" s="3204"/>
    </row>
    <row r="15" spans="1:16" s="3192" customFormat="1" ht="18" hidden="1" customHeight="1">
      <c r="A15" s="3178" t="s">
        <v>14</v>
      </c>
      <c r="B15" s="3743" t="s">
        <v>2996</v>
      </c>
      <c r="C15" s="4611">
        <f>H15</f>
        <v>0.02</v>
      </c>
      <c r="D15" s="4612"/>
      <c r="E15" s="4773" t="str">
        <f>E18</f>
        <v>V</v>
      </c>
      <c r="F15" s="4774"/>
      <c r="G15" s="3741" t="s">
        <v>2997</v>
      </c>
      <c r="H15" s="4626">
        <v>0.02</v>
      </c>
      <c r="I15" s="4626"/>
      <c r="J15" s="3205"/>
      <c r="K15" s="3206"/>
    </row>
    <row r="16" spans="1:16" s="3192" customFormat="1" ht="18" hidden="1" customHeight="1">
      <c r="A16" s="3207" t="s">
        <v>22</v>
      </c>
      <c r="B16" s="3208" t="s">
        <v>2998</v>
      </c>
      <c r="C16" s="3739">
        <f>C17</f>
        <v>286097</v>
      </c>
      <c r="D16" s="3740" t="s">
        <v>2999</v>
      </c>
      <c r="E16" s="3210">
        <f>C18</f>
        <v>9.5E-4</v>
      </c>
      <c r="F16" s="3746" t="str">
        <f>E18</f>
        <v>V</v>
      </c>
      <c r="G16" s="4597" t="s">
        <v>3000</v>
      </c>
      <c r="H16" s="4598"/>
      <c r="I16" s="4599"/>
      <c r="J16" s="3190"/>
      <c r="K16" s="3171"/>
    </row>
    <row r="17" spans="1:12" s="3192" customFormat="1" ht="18" hidden="1" customHeight="1">
      <c r="A17" s="3178" t="s">
        <v>3001</v>
      </c>
      <c r="B17" s="3743" t="s">
        <v>3002</v>
      </c>
      <c r="C17" s="4597">
        <f>ROUND((C13+C14)*I18*(I17/2),0)</f>
        <v>286097</v>
      </c>
      <c r="D17" s="4598"/>
      <c r="E17" s="4598"/>
      <c r="F17" s="4599"/>
      <c r="G17" s="3739" t="s">
        <v>3003</v>
      </c>
      <c r="H17" s="3743" t="s">
        <v>3004</v>
      </c>
      <c r="I17" s="3741">
        <v>2</v>
      </c>
      <c r="J17" s="3203" t="s">
        <v>3005</v>
      </c>
      <c r="K17" s="3171"/>
      <c r="L17" s="3171"/>
    </row>
    <row r="18" spans="1:12" s="3192" customFormat="1" ht="18" hidden="1" customHeight="1">
      <c r="A18" s="3178" t="s">
        <v>3006</v>
      </c>
      <c r="B18" s="3743" t="s">
        <v>3007</v>
      </c>
      <c r="C18" s="4775">
        <f>H15*I18*I17/2</f>
        <v>9.5E-4</v>
      </c>
      <c r="D18" s="4776"/>
      <c r="E18" s="4773" t="s">
        <v>3008</v>
      </c>
      <c r="F18" s="4774"/>
      <c r="G18" s="3739" t="s">
        <v>3009</v>
      </c>
      <c r="H18" s="3743" t="s">
        <v>3010</v>
      </c>
      <c r="I18" s="3738">
        <v>4.7500000000000001E-2</v>
      </c>
      <c r="J18" s="3203" t="s">
        <v>3011</v>
      </c>
      <c r="K18" s="3171"/>
      <c r="L18" s="3171"/>
    </row>
    <row r="19" spans="1:12" s="3192" customFormat="1" ht="27" hidden="1" customHeight="1">
      <c r="A19" s="3178" t="s">
        <v>23</v>
      </c>
      <c r="B19" s="3743" t="s">
        <v>3012</v>
      </c>
      <c r="C19" s="3739">
        <f>C20</f>
        <v>903466</v>
      </c>
      <c r="D19" s="3740" t="s">
        <v>2999</v>
      </c>
      <c r="E19" s="3740">
        <f>C21</f>
        <v>3.0000000000000001E-3</v>
      </c>
      <c r="F19" s="3746" t="str">
        <f>E21</f>
        <v>V</v>
      </c>
      <c r="G19" s="4597" t="s">
        <v>3013</v>
      </c>
      <c r="H19" s="4598"/>
      <c r="I19" s="4599"/>
      <c r="J19" s="3190"/>
      <c r="K19" s="3171"/>
      <c r="L19" s="3171"/>
    </row>
    <row r="20" spans="1:12" s="3192" customFormat="1" ht="26.25" hidden="1" customHeight="1">
      <c r="A20" s="3178" t="s">
        <v>3014</v>
      </c>
      <c r="B20" s="3743" t="s">
        <v>3015</v>
      </c>
      <c r="C20" s="4597">
        <f>ROUND((C13+C14)*I20,0)</f>
        <v>903466</v>
      </c>
      <c r="D20" s="4598"/>
      <c r="E20" s="4598"/>
      <c r="F20" s="4599"/>
      <c r="G20" s="3741" t="s">
        <v>3016</v>
      </c>
      <c r="H20" s="4619" t="s">
        <v>3017</v>
      </c>
      <c r="I20" s="4621">
        <f>'[6]数据-取费表'!Q6</f>
        <v>0.15</v>
      </c>
      <c r="J20" s="3203" t="s">
        <v>3018</v>
      </c>
      <c r="K20" s="3171"/>
      <c r="L20" s="3171"/>
    </row>
    <row r="21" spans="1:12" s="3192" customFormat="1" ht="27" hidden="1" customHeight="1">
      <c r="A21" s="3178" t="s">
        <v>3014</v>
      </c>
      <c r="B21" s="3743" t="s">
        <v>3019</v>
      </c>
      <c r="C21" s="4611">
        <f>H15*I20</f>
        <v>3.0000000000000001E-3</v>
      </c>
      <c r="D21" s="4612"/>
      <c r="E21" s="4773" t="s">
        <v>3008</v>
      </c>
      <c r="F21" s="4774"/>
      <c r="G21" s="3741" t="s">
        <v>3020</v>
      </c>
      <c r="H21" s="4620"/>
      <c r="I21" s="4621"/>
      <c r="J21" s="3190"/>
      <c r="K21" s="3171"/>
      <c r="L21" s="3171"/>
    </row>
    <row r="22" spans="1:12" s="3192" customFormat="1" ht="18" hidden="1" customHeight="1">
      <c r="A22" s="3178" t="s">
        <v>24</v>
      </c>
      <c r="B22" s="3743" t="s">
        <v>3021</v>
      </c>
      <c r="C22" s="4611">
        <f>ROUND(H22/1.05,4)</f>
        <v>5.33E-2</v>
      </c>
      <c r="D22" s="4612"/>
      <c r="E22" s="4773" t="s">
        <v>3008</v>
      </c>
      <c r="F22" s="4774"/>
      <c r="G22" s="3741" t="s">
        <v>3022</v>
      </c>
      <c r="H22" s="4626">
        <v>5.6000000000000001E-2</v>
      </c>
      <c r="I22" s="4626"/>
      <c r="J22" s="3212"/>
      <c r="K22" s="3171"/>
      <c r="L22" s="3171"/>
    </row>
    <row r="23" spans="1:12" s="3192" customFormat="1" ht="18" hidden="1" customHeight="1">
      <c r="A23" s="3178" t="s">
        <v>3023</v>
      </c>
      <c r="B23" s="3743" t="s">
        <v>3024</v>
      </c>
      <c r="C23" s="4597">
        <f>ROUND((C13+C14+C17+C20)/(1-H15-C18-C21-C22),0)</f>
        <v>7816491</v>
      </c>
      <c r="D23" s="4598"/>
      <c r="E23" s="4598"/>
      <c r="F23" s="4599"/>
      <c r="G23" s="4597" t="s">
        <v>3025</v>
      </c>
      <c r="H23" s="4598"/>
      <c r="I23" s="4599"/>
      <c r="J23" s="3212"/>
      <c r="K23" s="3171"/>
      <c r="L23" s="3171"/>
    </row>
    <row r="24" spans="1:12" s="3192" customFormat="1" ht="18" customHeight="1">
      <c r="A24" s="3178" t="s">
        <v>3026</v>
      </c>
      <c r="B24" s="3743" t="s">
        <v>3027</v>
      </c>
      <c r="C24" s="3744">
        <f ca="1">C27+C28</f>
        <v>166926</v>
      </c>
      <c r="D24" s="3214" t="s">
        <v>3028</v>
      </c>
      <c r="E24" s="4613">
        <f>H25+H26+H29</f>
        <v>0.19599999999999998</v>
      </c>
      <c r="F24" s="4614"/>
      <c r="G24" s="4600" t="s">
        <v>3029</v>
      </c>
      <c r="H24" s="4600"/>
      <c r="I24" s="4600"/>
      <c r="J24" s="3212"/>
      <c r="K24" s="3171"/>
      <c r="L24" s="3171"/>
    </row>
    <row r="25" spans="1:12" s="3192" customFormat="1" ht="18" customHeight="1">
      <c r="A25" s="3178" t="s">
        <v>1019</v>
      </c>
      <c r="B25" s="3743" t="s">
        <v>3030</v>
      </c>
      <c r="C25" s="4611" t="s">
        <v>3031</v>
      </c>
      <c r="D25" s="4612"/>
      <c r="E25" s="4613">
        <f>ROUND(H25/1.05,4)</f>
        <v>5.33E-2</v>
      </c>
      <c r="F25" s="4614"/>
      <c r="G25" s="3741" t="s">
        <v>3032</v>
      </c>
      <c r="H25" s="4596">
        <v>5.6000000000000001E-2</v>
      </c>
      <c r="I25" s="4596"/>
      <c r="J25" s="3205"/>
      <c r="K25" s="3171"/>
      <c r="L25" s="3171"/>
    </row>
    <row r="26" spans="1:12" s="3192" customFormat="1" ht="18" customHeight="1">
      <c r="A26" s="3178" t="s">
        <v>2993</v>
      </c>
      <c r="B26" s="3743" t="s">
        <v>4196</v>
      </c>
      <c r="C26" s="4611" t="s">
        <v>3031</v>
      </c>
      <c r="D26" s="4612"/>
      <c r="E26" s="4613">
        <f>H26</f>
        <v>0.12</v>
      </c>
      <c r="F26" s="4614"/>
      <c r="G26" s="3741" t="s">
        <v>4197</v>
      </c>
      <c r="H26" s="4771">
        <v>0.12</v>
      </c>
      <c r="I26" s="4772"/>
      <c r="J26" s="3205"/>
      <c r="K26" s="3171"/>
      <c r="L26" s="3171"/>
    </row>
    <row r="27" spans="1:12" s="3192" customFormat="1" ht="18" customHeight="1">
      <c r="A27" s="3178" t="s">
        <v>14</v>
      </c>
      <c r="B27" s="3743" t="s">
        <v>1010</v>
      </c>
      <c r="C27" s="4597">
        <f>ROUND(C23*H27,0)</f>
        <v>156330</v>
      </c>
      <c r="D27" s="4598"/>
      <c r="E27" s="4598"/>
      <c r="F27" s="4599"/>
      <c r="G27" s="3741" t="s">
        <v>3033</v>
      </c>
      <c r="H27" s="4596">
        <v>0.02</v>
      </c>
      <c r="I27" s="4596"/>
      <c r="J27" s="3205"/>
      <c r="K27" s="3171"/>
      <c r="L27" s="3171"/>
    </row>
    <row r="28" spans="1:12" s="3192" customFormat="1" ht="18" customHeight="1">
      <c r="A28" s="3178" t="s">
        <v>22</v>
      </c>
      <c r="B28" s="3743" t="s">
        <v>3034</v>
      </c>
      <c r="C28" s="4597">
        <f ca="1">ROUND(C7*H28,0)</f>
        <v>10596</v>
      </c>
      <c r="D28" s="4598"/>
      <c r="E28" s="4598"/>
      <c r="F28" s="4599"/>
      <c r="G28" s="3741" t="s">
        <v>3035</v>
      </c>
      <c r="H28" s="4615">
        <v>2E-3</v>
      </c>
      <c r="I28" s="4615"/>
      <c r="J28" s="3190"/>
      <c r="K28" s="3171"/>
      <c r="L28" s="3171"/>
    </row>
    <row r="29" spans="1:12" s="3192" customFormat="1" ht="18" customHeight="1">
      <c r="A29" s="3178" t="s">
        <v>23</v>
      </c>
      <c r="B29" s="3743" t="s">
        <v>3036</v>
      </c>
      <c r="C29" s="4611" t="s">
        <v>3031</v>
      </c>
      <c r="D29" s="4612"/>
      <c r="E29" s="4613">
        <f>H29</f>
        <v>0.02</v>
      </c>
      <c r="F29" s="4614"/>
      <c r="G29" s="3741" t="s">
        <v>3037</v>
      </c>
      <c r="H29" s="4596">
        <v>0.02</v>
      </c>
      <c r="I29" s="4596"/>
      <c r="J29" s="3218"/>
      <c r="K29" s="3171"/>
      <c r="L29" s="3171"/>
    </row>
    <row r="30" spans="1:12" s="3192" customFormat="1" ht="18" customHeight="1">
      <c r="A30" s="3741" t="s">
        <v>3038</v>
      </c>
      <c r="B30" s="3743" t="s">
        <v>3039</v>
      </c>
      <c r="C30" s="4597">
        <f ca="1">ROUND((C4+C24)/(1-E24),0)</f>
        <v>824908</v>
      </c>
      <c r="D30" s="4598"/>
      <c r="E30" s="4598"/>
      <c r="F30" s="4599"/>
      <c r="G30" s="4600" t="s">
        <v>3040</v>
      </c>
      <c r="H30" s="4600"/>
      <c r="I30" s="4600"/>
      <c r="J30" s="3841" t="s">
        <v>4198</v>
      </c>
      <c r="K30" s="3171"/>
      <c r="L30" s="3171"/>
    </row>
    <row r="31" spans="1:12" s="3192" customFormat="1" ht="18" customHeight="1">
      <c r="A31" s="4600" t="s">
        <v>3042</v>
      </c>
      <c r="B31" s="4604" t="s">
        <v>4199</v>
      </c>
      <c r="C31" s="4605">
        <f ca="1">ROUND(C30/I31/I32/I3,2)</f>
        <v>2.31</v>
      </c>
      <c r="D31" s="4606"/>
      <c r="E31" s="4606"/>
      <c r="F31" s="4607"/>
      <c r="G31" s="4600" t="s">
        <v>3044</v>
      </c>
      <c r="H31" s="3743" t="s">
        <v>3045</v>
      </c>
      <c r="I31" s="3741">
        <v>365</v>
      </c>
      <c r="J31" s="3217"/>
      <c r="K31" s="3171"/>
      <c r="L31" s="3171"/>
    </row>
    <row r="32" spans="1:12" s="3192" customFormat="1" ht="18" customHeight="1">
      <c r="A32" s="4600"/>
      <c r="B32" s="4604"/>
      <c r="C32" s="4608"/>
      <c r="D32" s="4609"/>
      <c r="E32" s="4609"/>
      <c r="F32" s="4610"/>
      <c r="G32" s="4600"/>
      <c r="H32" s="3743" t="s">
        <v>3046</v>
      </c>
      <c r="I32" s="3745">
        <v>0.9</v>
      </c>
      <c r="J32" s="3218"/>
      <c r="K32" s="3171"/>
      <c r="L32" s="3171"/>
    </row>
    <row r="33" spans="1:13" s="3192" customFormat="1" ht="18" customHeight="1">
      <c r="A33" s="3169"/>
      <c r="B33" s="3219"/>
      <c r="C33" s="3169"/>
      <c r="D33" s="3169"/>
      <c r="E33" s="3169"/>
      <c r="F33" s="3169"/>
      <c r="G33" s="3749"/>
      <c r="H33" s="3169"/>
      <c r="I33" s="3169"/>
      <c r="J33" s="3190"/>
      <c r="K33" s="3171"/>
      <c r="L33" s="3171"/>
    </row>
    <row r="34" spans="1:13" s="3192" customFormat="1" ht="18" customHeight="1">
      <c r="A34" s="3169"/>
      <c r="B34" s="4770" t="s">
        <v>4200</v>
      </c>
      <c r="C34" s="4770"/>
      <c r="D34" s="4770"/>
      <c r="E34" s="4770"/>
      <c r="F34" s="4770"/>
      <c r="G34" s="3220"/>
      <c r="H34" s="3221"/>
      <c r="I34" s="3169"/>
      <c r="J34" s="3190"/>
      <c r="K34" s="3171"/>
      <c r="L34" s="3171"/>
      <c r="M34" s="3169"/>
    </row>
    <row r="35" spans="1:13" s="3192" customFormat="1" ht="18" customHeight="1">
      <c r="A35" s="3169"/>
      <c r="B35" s="3742" t="s">
        <v>3048</v>
      </c>
      <c r="C35" s="3742" t="s">
        <v>2965</v>
      </c>
      <c r="D35" s="4603" t="s">
        <v>4201</v>
      </c>
      <c r="E35" s="4603"/>
      <c r="F35" s="4603"/>
      <c r="G35" s="3220"/>
      <c r="H35" s="4769"/>
      <c r="I35" s="4769"/>
      <c r="J35" s="3212"/>
      <c r="K35" s="3169"/>
      <c r="L35" s="3169"/>
      <c r="M35" s="3169"/>
    </row>
    <row r="36" spans="1:13">
      <c r="B36" s="3742" t="s">
        <v>3050</v>
      </c>
      <c r="C36" s="3842">
        <v>0.8</v>
      </c>
      <c r="D36" s="4601">
        <f>'2016.2.2-2017.12-31比较法-1层办公'!C49</f>
        <v>4.4000000000000004</v>
      </c>
      <c r="E36" s="4601"/>
      <c r="F36" s="4601"/>
      <c r="G36" s="3220">
        <f ca="1">(D36-D37)/D37</f>
        <v>0.90476190476190488</v>
      </c>
      <c r="H36" s="3843"/>
      <c r="I36" s="3844"/>
      <c r="K36" s="3169"/>
      <c r="L36" s="3169"/>
    </row>
    <row r="37" spans="1:13" ht="12.75" customHeight="1">
      <c r="B37" s="3742" t="s">
        <v>2928</v>
      </c>
      <c r="C37" s="3842">
        <f>1-C36</f>
        <v>0.19999999999999996</v>
      </c>
      <c r="D37" s="4601">
        <f ca="1">C31</f>
        <v>2.31</v>
      </c>
      <c r="E37" s="4601"/>
      <c r="F37" s="4601"/>
      <c r="G37" s="3220"/>
      <c r="H37" s="3220"/>
      <c r="I37" s="3220"/>
      <c r="J37" s="3169"/>
      <c r="K37" s="3169"/>
      <c r="L37" s="3169"/>
    </row>
    <row r="38" spans="1:13" ht="22.5" customHeight="1">
      <c r="B38" s="4603" t="s">
        <v>4202</v>
      </c>
      <c r="C38" s="4603"/>
      <c r="D38" s="4768">
        <f ca="1">ROUND(C36*D36+C37*D37,2)</f>
        <v>3.98</v>
      </c>
      <c r="E38" s="4768"/>
      <c r="F38" s="4768"/>
      <c r="G38" s="4769"/>
      <c r="H38" s="4769"/>
      <c r="I38" s="4769"/>
      <c r="J38" s="3169"/>
      <c r="K38" s="3169"/>
      <c r="L38" s="3169"/>
    </row>
  </sheetData>
  <mergeCells count="70">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E24:F24"/>
    <mergeCell ref="G24:I24"/>
    <mergeCell ref="G19:I19"/>
    <mergeCell ref="C20:F20"/>
    <mergeCell ref="H20:H21"/>
    <mergeCell ref="I20:I21"/>
    <mergeCell ref="C21:D21"/>
    <mergeCell ref="E21:F21"/>
    <mergeCell ref="C22:D22"/>
    <mergeCell ref="E22:F22"/>
    <mergeCell ref="H22:I22"/>
    <mergeCell ref="C23:F23"/>
    <mergeCell ref="G23:I23"/>
    <mergeCell ref="C25:D25"/>
    <mergeCell ref="E25:F25"/>
    <mergeCell ref="H25:I25"/>
    <mergeCell ref="C26:D26"/>
    <mergeCell ref="E26:F26"/>
    <mergeCell ref="H26:I26"/>
    <mergeCell ref="H27:I27"/>
    <mergeCell ref="C28:F28"/>
    <mergeCell ref="H28:I28"/>
    <mergeCell ref="C29:D29"/>
    <mergeCell ref="E29:F29"/>
    <mergeCell ref="H29:I29"/>
    <mergeCell ref="A31:A32"/>
    <mergeCell ref="B31:B32"/>
    <mergeCell ref="C31:F32"/>
    <mergeCell ref="G31:G32"/>
    <mergeCell ref="C27:F27"/>
    <mergeCell ref="B38:C38"/>
    <mergeCell ref="D38:F38"/>
    <mergeCell ref="G38:I38"/>
    <mergeCell ref="C30:F30"/>
    <mergeCell ref="G30:I30"/>
    <mergeCell ref="B34:F34"/>
    <mergeCell ref="D35:F35"/>
    <mergeCell ref="H35:I35"/>
    <mergeCell ref="D36:F36"/>
    <mergeCell ref="D37:F37"/>
  </mergeCells>
  <phoneticPr fontId="147" type="noConversion"/>
  <pageMargins left="0.7" right="0.7" top="0.75" bottom="0.75" header="0.3" footer="0.3"/>
  <pageSetup paperSize="9" scale="80" orientation="portrait" r:id="rId1"/>
  <colBreaks count="1" manualBreakCount="1">
    <brk id="10"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DS57"/>
  <sheetViews>
    <sheetView view="pageBreakPreview" zoomScaleNormal="80" zoomScaleSheetLayoutView="100" workbookViewId="0">
      <selection activeCell="C24" sqref="C24"/>
    </sheetView>
  </sheetViews>
  <sheetFormatPr defaultColWidth="8.375" defaultRowHeight="12.75"/>
  <cols>
    <col min="1" max="1" width="9.375" style="131" customWidth="1"/>
    <col min="2" max="2" width="29.125" style="116" customWidth="1"/>
    <col min="3" max="3" width="12.125" style="116" customWidth="1"/>
    <col min="4" max="4" width="12.125" style="134" customWidth="1"/>
    <col min="5" max="5" width="1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1911</v>
      </c>
      <c r="B1" s="1002" t="s">
        <v>2741</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1912</v>
      </c>
      <c r="B2" s="82">
        <f ca="1">IF(D2="——",IF(C2="元",C52,ROUND(C52/10000,0)),IF(C2="元",C52,ROUND(C52/10000,0))-E2)</f>
        <v>9337205</v>
      </c>
      <c r="C2" s="79" t="str">
        <f>'数据-取费表'!B3</f>
        <v>元</v>
      </c>
      <c r="D2" s="1516" t="s">
        <v>1240</v>
      </c>
      <c r="E2" s="1180" t="e">
        <f ca="1">SUMIF(INDIRECT("'"&amp;G2&amp;"'"&amp;"!A:A"),"承租人权益价值",INDIRECT("'"&amp;G2&amp;"'"&amp;"!c:c"))</f>
        <v>#REF!</v>
      </c>
      <c r="F2" s="1517" t="str">
        <f>C2</f>
        <v>元</v>
      </c>
      <c r="G2" s="133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1913</v>
      </c>
      <c r="B3" s="84">
        <f ca="1">ROUND(C52/IF(B1="仅计算典型户型",'数据-取费表'!E5,'数据-取费表'!B5),0)</f>
        <v>8578</v>
      </c>
      <c r="C3" s="79" t="s">
        <v>1914</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1915</v>
      </c>
      <c r="B4" s="86"/>
      <c r="C4" s="86"/>
      <c r="D4" s="86"/>
      <c r="E4" s="86"/>
      <c r="F4" s="86"/>
      <c r="G4" s="87"/>
      <c r="H4" s="2984"/>
      <c r="I4" s="2984"/>
      <c r="J4" s="2984"/>
      <c r="K4" s="2984"/>
      <c r="L4" s="2984"/>
      <c r="M4" s="2984"/>
      <c r="N4" s="2984"/>
      <c r="O4" s="2984"/>
      <c r="P4" s="2984"/>
      <c r="Q4" s="2984"/>
      <c r="R4" s="2984"/>
      <c r="S4" s="2984"/>
      <c r="T4" s="2984"/>
      <c r="U4" s="2984"/>
      <c r="V4" s="2984"/>
      <c r="W4" s="2984"/>
      <c r="X4" s="2984"/>
      <c r="Y4" s="2984"/>
      <c r="Z4" s="2984"/>
      <c r="AA4" s="2984"/>
      <c r="AB4" s="2984"/>
      <c r="AC4" s="2984"/>
      <c r="AD4" s="2984"/>
      <c r="AE4" s="2984"/>
      <c r="AF4" s="2984"/>
      <c r="AG4" s="2984"/>
      <c r="AH4" s="2984"/>
      <c r="AI4" s="2984"/>
      <c r="AJ4" s="2984"/>
      <c r="AK4" s="2984"/>
      <c r="AL4" s="2984"/>
      <c r="AM4" s="2984"/>
      <c r="AN4" s="2984"/>
      <c r="AO4" s="2984"/>
      <c r="AP4" s="2984"/>
      <c r="AQ4" s="2984"/>
      <c r="AR4" s="2984"/>
      <c r="AS4" s="2984"/>
      <c r="AT4" s="2984"/>
      <c r="AU4" s="2984"/>
      <c r="AV4" s="2984"/>
      <c r="AW4" s="2984"/>
      <c r="AX4" s="2984"/>
      <c r="AY4" s="2984"/>
      <c r="AZ4" s="2984"/>
      <c r="BA4" s="2984"/>
      <c r="BB4" s="2984"/>
      <c r="BC4" s="2984"/>
      <c r="BD4" s="2984"/>
      <c r="BE4" s="2984"/>
      <c r="BF4" s="2984"/>
      <c r="BG4" s="2984"/>
      <c r="BH4" s="2984"/>
      <c r="BI4" s="2984"/>
      <c r="BJ4" s="2984"/>
      <c r="BK4" s="2984"/>
      <c r="BL4" s="2984"/>
      <c r="BM4" s="2984"/>
      <c r="BN4" s="2984"/>
      <c r="BO4" s="2984"/>
      <c r="BP4" s="2984"/>
      <c r="BQ4" s="2984"/>
      <c r="BR4" s="2984"/>
      <c r="BS4" s="2984"/>
      <c r="BT4" s="2984"/>
      <c r="BU4" s="2984"/>
      <c r="BV4" s="2984"/>
      <c r="BW4" s="2984"/>
      <c r="BX4" s="2984"/>
      <c r="BY4" s="2984"/>
      <c r="BZ4" s="2984"/>
      <c r="CA4" s="2984"/>
      <c r="CB4" s="2984"/>
      <c r="CC4" s="2984"/>
      <c r="CD4" s="2984"/>
      <c r="CE4" s="2984"/>
      <c r="CF4" s="2984"/>
      <c r="CG4" s="2984"/>
      <c r="CH4" s="2984"/>
      <c r="CI4" s="2984"/>
      <c r="CJ4" s="2984"/>
      <c r="CK4" s="2984"/>
      <c r="CL4" s="2984"/>
      <c r="CM4" s="2984"/>
      <c r="CN4" s="2984"/>
      <c r="CO4" s="2984"/>
      <c r="CP4" s="2984"/>
      <c r="CQ4" s="2984"/>
      <c r="CR4" s="2984"/>
      <c r="CS4" s="2984"/>
      <c r="CT4" s="2984"/>
      <c r="CU4" s="2984"/>
      <c r="CV4" s="2984"/>
      <c r="CW4" s="2984"/>
      <c r="CX4" s="2984"/>
      <c r="CY4" s="2984"/>
      <c r="CZ4" s="2984"/>
      <c r="DA4" s="2984"/>
      <c r="DB4" s="2984"/>
      <c r="DC4" s="2984"/>
      <c r="DD4" s="2984"/>
      <c r="DE4" s="2984"/>
      <c r="DF4" s="2984"/>
      <c r="DG4" s="2984"/>
      <c r="DH4" s="2984"/>
      <c r="DI4" s="2984"/>
      <c r="DJ4" s="2984"/>
      <c r="DK4" s="2984"/>
      <c r="DL4" s="2984"/>
      <c r="DM4" s="2984"/>
      <c r="DN4" s="2984"/>
      <c r="DO4" s="2984"/>
      <c r="DP4" s="2984"/>
      <c r="DQ4" s="2984"/>
      <c r="DR4" s="2984"/>
      <c r="DS4" s="2984"/>
    </row>
    <row r="5" spans="1:123" s="91" customFormat="1" ht="13.5" customHeight="1">
      <c r="A5" s="120" t="s">
        <v>1916</v>
      </c>
      <c r="B5" s="89" t="s">
        <v>1917</v>
      </c>
      <c r="C5" s="111">
        <f>C6+C7+C8</f>
        <v>2743716</v>
      </c>
      <c r="D5" s="111" t="s">
        <v>1918</v>
      </c>
      <c r="E5" s="1166" t="s">
        <v>1919</v>
      </c>
      <c r="F5" s="1166" t="s">
        <v>1920</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1921</v>
      </c>
      <c r="B6" s="93" t="s">
        <v>1922</v>
      </c>
      <c r="C6" s="1165">
        <f>基准地价修正!E29</f>
        <v>2451257</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1923</v>
      </c>
      <c r="B7" s="93" t="s">
        <v>1924</v>
      </c>
      <c r="C7" s="115">
        <f>ROUND(C6*F7,0)</f>
        <v>74763</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1925</v>
      </c>
      <c r="B8" s="93" t="s">
        <v>1926</v>
      </c>
      <c r="C8" s="115">
        <f>IF(G8="已包含在土地购买价格中","0",'数据-取费表'!E13)</f>
        <v>217696</v>
      </c>
      <c r="D8" s="1170"/>
      <c r="E8" s="115"/>
      <c r="F8" s="1169"/>
      <c r="G8" s="1518" t="s">
        <v>2890</v>
      </c>
    </row>
    <row r="9" spans="1:123" s="91" customFormat="1" ht="13.5" customHeight="1">
      <c r="A9" s="993" t="s">
        <v>945</v>
      </c>
      <c r="B9" s="97" t="s">
        <v>1927</v>
      </c>
      <c r="C9" s="1171">
        <f>ROUND(D9*E9,0)</f>
        <v>0</v>
      </c>
      <c r="D9" s="1172">
        <f>IF('数据-取费表'!B10="住宅",IF(B1="仅计算典型户型",'数据-取费表'!E5,'数据-取费表'!B5),0)</f>
        <v>0</v>
      </c>
      <c r="E9" s="1171">
        <f>'数据-取费表'!E11</f>
        <v>160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1928</v>
      </c>
      <c r="C10" s="1171">
        <f>ROUND(D10*E10,0)</f>
        <v>217696</v>
      </c>
      <c r="D10" s="1172">
        <f>IF('数据-取费表'!B10&lt;&gt;"住宅",IF(B1="仅计算典型户型",'数据-取费表'!E5,'数据-取费表'!B5),0)</f>
        <v>1088.48</v>
      </c>
      <c r="E10" s="1171">
        <f>'数据-取费表'!E12</f>
        <v>200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1929</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1930</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1931</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1926</v>
      </c>
      <c r="C14" s="111"/>
      <c r="D14" s="115"/>
      <c r="E14" s="1168"/>
      <c r="F14" s="1168"/>
      <c r="G14" s="95" t="s">
        <v>1932</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1933</v>
      </c>
      <c r="C15" s="115"/>
      <c r="D15" s="115"/>
      <c r="E15" s="1168"/>
      <c r="F15" s="1168"/>
      <c r="G15" s="95" t="s">
        <v>1934</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1926</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1935</v>
      </c>
      <c r="C17" s="1174"/>
      <c r="D17" s="1174"/>
      <c r="E17" s="1174"/>
      <c r="F17" s="1174"/>
      <c r="G17" s="95" t="s">
        <v>1934</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1936</v>
      </c>
      <c r="C18" s="115">
        <v>0</v>
      </c>
      <c r="D18" s="115"/>
      <c r="E18" s="1168"/>
      <c r="F18" s="1169">
        <v>3.0499999999999999E-2</v>
      </c>
      <c r="G18" s="95" t="s">
        <v>1937</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1938</v>
      </c>
      <c r="B19" s="89" t="s">
        <v>1939</v>
      </c>
      <c r="C19" s="111" t="str">
        <f>IF(G19="已包含在土地取得成本中","0",ROUND(D19*E19,0))</f>
        <v>0</v>
      </c>
      <c r="D19" s="1175">
        <f>IF(B1="仅计算典型户型",'数据-取费表'!E5,'数据-取费表'!B5)</f>
        <v>1088.48</v>
      </c>
      <c r="E19" s="111">
        <f>'数据-取费表'!E15</f>
        <v>200</v>
      </c>
      <c r="F19" s="112"/>
      <c r="G19" s="1518" t="s">
        <v>2891</v>
      </c>
      <c r="I19" s="3174"/>
    </row>
    <row r="20" spans="1:123" s="91" customFormat="1" ht="13.5" customHeight="1">
      <c r="A20" s="120" t="s">
        <v>1940</v>
      </c>
      <c r="B20" s="89" t="s">
        <v>1941</v>
      </c>
      <c r="C20" s="99">
        <f>ROUND((C5+C19)*F20,0)</f>
        <v>82311</v>
      </c>
      <c r="D20" s="99"/>
      <c r="E20" s="99"/>
      <c r="F20" s="103">
        <f>'数据-取费表'!E25</f>
        <v>0.03</v>
      </c>
      <c r="G20" s="100" t="s">
        <v>1942</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1943</v>
      </c>
      <c r="B21" s="89" t="s">
        <v>1944</v>
      </c>
      <c r="C21" s="101">
        <f>F21</f>
        <v>0.03</v>
      </c>
      <c r="D21" s="102" t="s">
        <v>1945</v>
      </c>
      <c r="E21" s="99"/>
      <c r="F21" s="103">
        <f>'数据-取费表'!E26</f>
        <v>0.03</v>
      </c>
      <c r="G21" s="100" t="s">
        <v>1946</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1947</v>
      </c>
      <c r="B22" s="89" t="s">
        <v>1948</v>
      </c>
      <c r="C22" s="121">
        <f ca="1">ROUND(SUM(C23:C25),0)</f>
        <v>270754</v>
      </c>
      <c r="D22" s="101">
        <f ca="1">C26</f>
        <v>1.4E-3</v>
      </c>
      <c r="E22" s="102" t="s">
        <v>1945</v>
      </c>
      <c r="F22" s="103">
        <f ca="1">'数据-取费表'!E27</f>
        <v>4.7500000000000001E-2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1949</v>
      </c>
      <c r="B23" s="93" t="s">
        <v>1950</v>
      </c>
      <c r="C23" s="1125">
        <f ca="1">ROUND(IF('数据-取费表'!B24&lt;=1,C5*F22*'数据-取费表'!B25,C5*(POWER((1+F22),'数据-取费表'!B25)-1)),0)</f>
        <v>266844</v>
      </c>
      <c r="D23" s="104"/>
      <c r="E23" s="104"/>
      <c r="F23" s="105"/>
      <c r="G23" s="106" t="s">
        <v>1951</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1923</v>
      </c>
      <c r="B24" s="93" t="s">
        <v>1952</v>
      </c>
      <c r="C24" s="1125">
        <f ca="1">ROUND(IF('数据-取费表'!B24&lt;=1,C19*F22*('数据-取费表'!B21/2+'数据-取费表'!B23),C19*(POWER((1+F22),('数据-取费表'!B21/2+'数据-取费表'!B23))-1)),0)</f>
        <v>0</v>
      </c>
      <c r="D24" s="104"/>
      <c r="E24" s="104"/>
      <c r="F24" s="105"/>
      <c r="G24" s="106" t="s">
        <v>1953</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1925</v>
      </c>
      <c r="B25" s="93" t="s">
        <v>1954</v>
      </c>
      <c r="C25" s="1125">
        <f ca="1">ROUND(IF('数据-取费表'!B24&lt;=1,C20*F22*'数据-取费表'!B25/2,C20*(POWER((1+F22),'数据-取费表'!B25/2)-1)),0)</f>
        <v>3910</v>
      </c>
      <c r="D25" s="104"/>
      <c r="E25" s="107"/>
      <c r="F25" s="105"/>
      <c r="G25" s="108" t="s">
        <v>1955</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1956</v>
      </c>
      <c r="B26" s="93" t="s">
        <v>1957</v>
      </c>
      <c r="C26" s="104">
        <f ca="1">ROUND(IF('数据-取费表'!B24&lt;=1,F21*F22*'数据-取费表'!B25/2,F21*(POWER((1+F22),'数据-取费表'!B25/2)-1)),4)</f>
        <v>1.4E-3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1958</v>
      </c>
      <c r="B27" s="110" t="s">
        <v>1959</v>
      </c>
      <c r="C27" s="111">
        <f>C28</f>
        <v>565205</v>
      </c>
      <c r="D27" s="101">
        <f>C29</f>
        <v>6.0000000000000001E-3</v>
      </c>
      <c r="E27" s="102" t="s">
        <v>1945</v>
      </c>
      <c r="F27" s="112">
        <f>'数据-取费表'!E28</f>
        <v>0.2</v>
      </c>
      <c r="G27" s="113" t="s">
        <v>1960</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1949</v>
      </c>
      <c r="B28" s="114" t="s">
        <v>1961</v>
      </c>
      <c r="C28" s="115">
        <f>ROUND((C5+C19+C20)*F27*'数据-取费表'!B23/'数据-取费表'!B22,0)</f>
        <v>565205</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1923</v>
      </c>
      <c r="B29" s="114" t="s">
        <v>1962</v>
      </c>
      <c r="C29" s="104">
        <f>ROUND(C21*F27*'数据-取费表'!B23/'数据-取费表'!B22,4)</f>
        <v>6.0000000000000001E-3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1963</v>
      </c>
      <c r="B30" s="89" t="s">
        <v>1964</v>
      </c>
      <c r="C30" s="101">
        <f>ROUND(F30/(1+'数据-取费表'!F30),4)</f>
        <v>5.6000000000000001E-2</v>
      </c>
      <c r="D30" s="102" t="s">
        <v>1945</v>
      </c>
      <c r="E30" s="107"/>
      <c r="F30" s="103">
        <f>'数据-取费表'!E29</f>
        <v>5.6000000000000001E-2</v>
      </c>
      <c r="G30" s="100" t="s">
        <v>1965</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1966</v>
      </c>
      <c r="C31" s="111">
        <f ca="1">ROUND((C5+C19+C20+C22+C27)/(1-C21-D22-D27-C30),0)</f>
        <v>4039252</v>
      </c>
      <c r="D31" s="1175"/>
      <c r="E31" s="111"/>
      <c r="F31" s="1176"/>
      <c r="G31" s="100" t="s">
        <v>1967</v>
      </c>
    </row>
    <row r="32" spans="1:123" s="88" customFormat="1" ht="15.75">
      <c r="A32" s="117" t="s">
        <v>1968</v>
      </c>
      <c r="B32" s="118"/>
      <c r="C32" s="1177"/>
      <c r="D32" s="1177"/>
      <c r="E32" s="1177"/>
      <c r="F32" s="1177"/>
      <c r="G32" s="119"/>
      <c r="H32" s="2984"/>
      <c r="I32" s="2984"/>
      <c r="J32" s="2984"/>
      <c r="K32" s="2984"/>
      <c r="L32" s="2984"/>
      <c r="M32" s="2984"/>
      <c r="N32" s="2984"/>
      <c r="O32" s="2984"/>
      <c r="P32" s="2984"/>
      <c r="Q32" s="2984"/>
      <c r="R32" s="2984"/>
      <c r="S32" s="2984"/>
      <c r="T32" s="2984"/>
      <c r="U32" s="2984"/>
      <c r="V32" s="2984"/>
      <c r="W32" s="2984"/>
      <c r="X32" s="2984"/>
      <c r="Y32" s="2984"/>
      <c r="Z32" s="2984"/>
      <c r="AA32" s="2984"/>
      <c r="AB32" s="2984"/>
      <c r="AC32" s="2984"/>
      <c r="AD32" s="2984"/>
      <c r="AE32" s="2984"/>
      <c r="AF32" s="2984"/>
      <c r="AG32" s="2984"/>
      <c r="AH32" s="2984"/>
      <c r="AI32" s="2984"/>
      <c r="AJ32" s="2984"/>
      <c r="AK32" s="2984"/>
      <c r="AL32" s="2984"/>
      <c r="AM32" s="2984"/>
      <c r="AN32" s="2984"/>
      <c r="AO32" s="2984"/>
      <c r="AP32" s="2984"/>
      <c r="AQ32" s="2984"/>
      <c r="AR32" s="2984"/>
      <c r="AS32" s="2984"/>
      <c r="AT32" s="2984"/>
      <c r="AU32" s="2984"/>
      <c r="AV32" s="2984"/>
      <c r="AW32" s="2984"/>
      <c r="AX32" s="2984"/>
      <c r="AY32" s="2984"/>
      <c r="AZ32" s="2984"/>
      <c r="BA32" s="2984"/>
      <c r="BB32" s="2984"/>
      <c r="BC32" s="2984"/>
      <c r="BD32" s="2984"/>
      <c r="BE32" s="2984"/>
      <c r="BF32" s="2984"/>
      <c r="BG32" s="2984"/>
      <c r="BH32" s="2984"/>
      <c r="BI32" s="2984"/>
      <c r="BJ32" s="2984"/>
      <c r="BK32" s="2984"/>
      <c r="BL32" s="2984"/>
      <c r="BM32" s="2984"/>
      <c r="BN32" s="2984"/>
      <c r="BO32" s="2984"/>
      <c r="BP32" s="2984"/>
      <c r="BQ32" s="2984"/>
      <c r="BR32" s="2984"/>
      <c r="BS32" s="2984"/>
      <c r="BT32" s="2984"/>
      <c r="BU32" s="2984"/>
      <c r="BV32" s="2984"/>
      <c r="BW32" s="2984"/>
      <c r="BX32" s="2984"/>
      <c r="BY32" s="2984"/>
      <c r="BZ32" s="2984"/>
      <c r="CA32" s="2984"/>
      <c r="CB32" s="2984"/>
      <c r="CC32" s="2984"/>
      <c r="CD32" s="2984"/>
      <c r="CE32" s="2984"/>
      <c r="CF32" s="2984"/>
      <c r="CG32" s="2984"/>
      <c r="CH32" s="2984"/>
      <c r="CI32" s="2984"/>
      <c r="CJ32" s="2984"/>
      <c r="CK32" s="2984"/>
      <c r="CL32" s="2984"/>
      <c r="CM32" s="2984"/>
      <c r="CN32" s="2984"/>
      <c r="CO32" s="2984"/>
      <c r="CP32" s="2984"/>
      <c r="CQ32" s="2984"/>
      <c r="CR32" s="2984"/>
      <c r="CS32" s="2984"/>
      <c r="CT32" s="2984"/>
      <c r="CU32" s="2984"/>
      <c r="CV32" s="2984"/>
      <c r="CW32" s="2984"/>
      <c r="CX32" s="2984"/>
      <c r="CY32" s="2984"/>
      <c r="CZ32" s="2984"/>
      <c r="DA32" s="2984"/>
      <c r="DB32" s="2984"/>
      <c r="DC32" s="2984"/>
      <c r="DD32" s="2984"/>
      <c r="DE32" s="2984"/>
      <c r="DF32" s="2984"/>
      <c r="DG32" s="2984"/>
      <c r="DH32" s="2984"/>
      <c r="DI32" s="2984"/>
      <c r="DJ32" s="2984"/>
      <c r="DK32" s="2984"/>
      <c r="DL32" s="2984"/>
      <c r="DM32" s="2984"/>
      <c r="DN32" s="2984"/>
      <c r="DO32" s="2984"/>
      <c r="DP32" s="2984"/>
      <c r="DQ32" s="2984"/>
      <c r="DR32" s="2984"/>
      <c r="DS32" s="2984"/>
    </row>
    <row r="33" spans="1:123" s="91" customFormat="1" ht="13.5" customHeight="1">
      <c r="A33" s="120" t="s">
        <v>1969</v>
      </c>
      <c r="B33" s="89" t="s">
        <v>1970</v>
      </c>
      <c r="C33" s="121">
        <f>SUM(C34:C38)</f>
        <v>4854621</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1949</v>
      </c>
      <c r="B34" s="93" t="s">
        <v>1971</v>
      </c>
      <c r="C34" s="115">
        <f>IF(B1="仅计算典型户型",'数据-取费表'!F18,'数据-取费表'!E18)</f>
        <v>4353920</v>
      </c>
      <c r="D34" s="1167"/>
      <c r="E34" s="115"/>
      <c r="F34" s="1178" t="str">
        <f>IF('数据-取费表'!B26=0,"",'数据-取费表'!E20)</f>
        <v/>
      </c>
      <c r="G34" s="95"/>
    </row>
    <row r="35" spans="1:123" ht="13.5" customHeight="1">
      <c r="A35" s="92" t="s">
        <v>1923</v>
      </c>
      <c r="B35" s="93" t="s">
        <v>1972</v>
      </c>
      <c r="C35" s="115">
        <f>ROUND(C34*F35,0)</f>
        <v>217696</v>
      </c>
      <c r="D35" s="115"/>
      <c r="E35" s="115"/>
      <c r="F35" s="1179">
        <f>'数据-取费表'!E21</f>
        <v>0.05</v>
      </c>
      <c r="G35" s="95" t="s">
        <v>1973</v>
      </c>
    </row>
    <row r="36" spans="1:123" ht="24">
      <c r="A36" s="92" t="s">
        <v>1925</v>
      </c>
      <c r="B36" s="93" t="s">
        <v>1974</v>
      </c>
      <c r="C36" s="115">
        <f>ROUND(IF('数据-取费表'!B10="住宅",C34*F36,0),0)</f>
        <v>0</v>
      </c>
      <c r="D36" s="115"/>
      <c r="E36" s="115"/>
      <c r="F36" s="1179">
        <f>'数据-取费表'!E22</f>
        <v>0</v>
      </c>
      <c r="G36" s="123" t="s">
        <v>1975</v>
      </c>
    </row>
    <row r="37" spans="1:123" s="122" customFormat="1" ht="13.5" customHeight="1">
      <c r="A37" s="92" t="s">
        <v>1956</v>
      </c>
      <c r="B37" s="93" t="s">
        <v>1976</v>
      </c>
      <c r="C37" s="115">
        <f>ROUND(E37*D37,0)</f>
        <v>217696</v>
      </c>
      <c r="D37" s="1167">
        <f>IF(B1="仅计算典型户型",'数据-取费表'!E5,'数据-取费表'!B5)</f>
        <v>1088.48</v>
      </c>
      <c r="E37" s="115">
        <f>'数据-取费表'!E23</f>
        <v>200</v>
      </c>
      <c r="F37" s="1179"/>
      <c r="G37" s="124" t="s">
        <v>1977</v>
      </c>
    </row>
    <row r="38" spans="1:123" ht="13.5" customHeight="1">
      <c r="A38" s="92" t="s">
        <v>1978</v>
      </c>
      <c r="B38" s="93" t="s">
        <v>1979</v>
      </c>
      <c r="C38" s="115">
        <f>ROUND(C34*F38,0)</f>
        <v>65309</v>
      </c>
      <c r="D38" s="115"/>
      <c r="E38" s="115"/>
      <c r="F38" s="1179">
        <f>'数据-取费表'!E24</f>
        <v>1.4999999999999999E-2</v>
      </c>
      <c r="G38" s="95" t="s">
        <v>1973</v>
      </c>
    </row>
    <row r="39" spans="1:123" s="91" customFormat="1" ht="13.5" customHeight="1">
      <c r="A39" s="120" t="s">
        <v>1938</v>
      </c>
      <c r="B39" s="89" t="s">
        <v>1941</v>
      </c>
      <c r="C39" s="99">
        <f>ROUND(C33*F20,0)</f>
        <v>145639</v>
      </c>
      <c r="D39" s="99"/>
      <c r="E39" s="99"/>
      <c r="F39" s="2886">
        <f>F20</f>
        <v>0.03</v>
      </c>
      <c r="G39" s="100" t="s">
        <v>1980</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1940</v>
      </c>
      <c r="B40" s="89" t="s">
        <v>1944</v>
      </c>
      <c r="C40" s="1302">
        <f>F21</f>
        <v>0.03</v>
      </c>
      <c r="D40" s="102" t="s">
        <v>1981</v>
      </c>
      <c r="E40" s="99"/>
      <c r="F40" s="2886">
        <f>F21</f>
        <v>0.03</v>
      </c>
      <c r="G40" s="100" t="s">
        <v>1982</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1943</v>
      </c>
      <c r="B41" s="89" t="s">
        <v>1948</v>
      </c>
      <c r="C41" s="99">
        <f ca="1">ROUND(SUM(C42:C43),0)</f>
        <v>237512</v>
      </c>
      <c r="D41" s="101">
        <f ca="1">C44</f>
        <v>1.4E-3</v>
      </c>
      <c r="E41" s="102" t="s">
        <v>1981</v>
      </c>
      <c r="F41" s="2886">
        <f ca="1">F22</f>
        <v>4.7500000000000001E-2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1949</v>
      </c>
      <c r="B42" s="93" t="s">
        <v>1950</v>
      </c>
      <c r="C42" s="104">
        <f ca="1">ROUND(IF('数据-取费表'!B24&lt;=1,C33*F22*'数据-取费表'!B23/2,C33*(POWER((1+F22),'数据-取费表'!B23/2)-1)),0)</f>
        <v>230594</v>
      </c>
      <c r="D42" s="104"/>
      <c r="E42" s="104"/>
      <c r="F42" s="105"/>
      <c r="G42" s="4781" t="s">
        <v>1983</v>
      </c>
    </row>
    <row r="43" spans="1:123" ht="13.5" customHeight="1">
      <c r="A43" s="92" t="s">
        <v>1923</v>
      </c>
      <c r="B43" s="93" t="s">
        <v>1952</v>
      </c>
      <c r="C43" s="104">
        <f ca="1">ROUND(IF('数据-取费表'!B24&lt;=1,C39*F22*'数据-取费表'!B23/2,C39*(POWER((1+F22),'数据-取费表'!B23/2)-1)),0)</f>
        <v>6918</v>
      </c>
      <c r="D43" s="104"/>
      <c r="E43" s="104"/>
      <c r="F43" s="105"/>
      <c r="G43" s="4782"/>
    </row>
    <row r="44" spans="1:123" ht="13.5" customHeight="1">
      <c r="A44" s="92" t="s">
        <v>1925</v>
      </c>
      <c r="B44" s="93" t="s">
        <v>1954</v>
      </c>
      <c r="C44" s="104">
        <f ca="1">ROUND(IF('数据-取费表'!B24&lt;=1,C40*F22*'数据-取费表'!B23/2,C40*(POWER((1+F22),'数据-取费表'!B23/2)-1)),4)</f>
        <v>1.4E-3</v>
      </c>
      <c r="D44" s="104"/>
      <c r="E44" s="104"/>
      <c r="F44" s="105"/>
      <c r="G44" s="4783"/>
    </row>
    <row r="45" spans="1:123" s="91" customFormat="1" ht="13.5" customHeight="1">
      <c r="A45" s="120" t="s">
        <v>1947</v>
      </c>
      <c r="B45" s="110" t="s">
        <v>1959</v>
      </c>
      <c r="C45" s="111">
        <f>C46</f>
        <v>1000052</v>
      </c>
      <c r="D45" s="101">
        <f>C47</f>
        <v>6.0000000000000001E-3</v>
      </c>
      <c r="E45" s="102" t="s">
        <v>1981</v>
      </c>
      <c r="F45" s="2887">
        <f>F27</f>
        <v>0.2</v>
      </c>
      <c r="G45" s="113" t="s">
        <v>1984</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1949</v>
      </c>
      <c r="B46" s="114" t="s">
        <v>1985</v>
      </c>
      <c r="C46" s="115">
        <f>ROUND((C33+C39)*F27,0)</f>
        <v>1000052</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1923</v>
      </c>
      <c r="B47" s="114" t="s">
        <v>1986</v>
      </c>
      <c r="C47" s="104">
        <f>ROUND(C40*F27,4)</f>
        <v>6.0000000000000001E-3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1958</v>
      </c>
      <c r="B48" s="89" t="s">
        <v>1987</v>
      </c>
      <c r="C48" s="1302">
        <f>ROUND(F30/(1+'数据-取费表'!F30),4)</f>
        <v>5.6000000000000001E-2</v>
      </c>
      <c r="D48" s="102" t="s">
        <v>1981</v>
      </c>
      <c r="E48" s="99"/>
      <c r="F48" s="2886">
        <f>F30</f>
        <v>5.6000000000000001E-2</v>
      </c>
      <c r="G48" s="100" t="s">
        <v>1988</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1989</v>
      </c>
      <c r="B49" s="89" t="s">
        <v>1990</v>
      </c>
      <c r="C49" s="99">
        <f ca="1">ROUND((C33+C39+C41+C45)/(1-C40-D41-D45-C48),0)</f>
        <v>6880459</v>
      </c>
      <c r="D49" s="99"/>
      <c r="E49" s="99"/>
      <c r="F49" s="126"/>
      <c r="G49" s="100" t="s">
        <v>1991</v>
      </c>
    </row>
    <row r="50" spans="1:123" s="122" customFormat="1" ht="24">
      <c r="A50" s="994" t="s">
        <v>1992</v>
      </c>
      <c r="B50" s="89" t="s">
        <v>1993</v>
      </c>
      <c r="C50" s="99"/>
      <c r="D50" s="99"/>
      <c r="E50" s="99"/>
      <c r="F50" s="126">
        <f>IF('数据-取费表'!B26=0,'数据-取费表'!E20,1)</f>
        <v>0.77</v>
      </c>
      <c r="G50" s="113" t="s">
        <v>1994</v>
      </c>
    </row>
    <row r="51" spans="1:123" ht="16.5" customHeight="1">
      <c r="A51" s="994" t="s">
        <v>1995</v>
      </c>
      <c r="B51" s="89" t="s">
        <v>1996</v>
      </c>
      <c r="C51" s="99">
        <f ca="1">ROUND(C49*F50,0)</f>
        <v>5297953</v>
      </c>
      <c r="D51" s="99"/>
      <c r="E51" s="99"/>
      <c r="F51" s="126"/>
      <c r="G51" s="100" t="s">
        <v>1997</v>
      </c>
    </row>
    <row r="52" spans="1:123" s="88" customFormat="1" ht="16.5" thickBot="1">
      <c r="A52" s="127" t="s">
        <v>1998</v>
      </c>
      <c r="B52" s="128"/>
      <c r="C52" s="129">
        <f ca="1">C31+C51</f>
        <v>9337205</v>
      </c>
      <c r="D52" s="128"/>
      <c r="E52" s="128"/>
      <c r="F52" s="128"/>
      <c r="G52" s="130"/>
      <c r="H52" s="2984"/>
      <c r="I52" s="2984"/>
      <c r="J52" s="2984"/>
      <c r="K52" s="2984"/>
      <c r="L52" s="2984"/>
      <c r="M52" s="2984"/>
      <c r="N52" s="2984"/>
      <c r="O52" s="2984"/>
      <c r="P52" s="2984"/>
      <c r="Q52" s="2984"/>
      <c r="R52" s="2984"/>
      <c r="S52" s="2984"/>
      <c r="T52" s="2984"/>
      <c r="U52" s="2984"/>
      <c r="V52" s="2984"/>
      <c r="W52" s="2984"/>
      <c r="X52" s="2984"/>
      <c r="Y52" s="2984"/>
      <c r="Z52" s="2984"/>
      <c r="AA52" s="2984"/>
      <c r="AB52" s="2984"/>
      <c r="AC52" s="2984"/>
      <c r="AD52" s="2984"/>
      <c r="AE52" s="2984"/>
      <c r="AF52" s="2984"/>
      <c r="AG52" s="2984"/>
      <c r="AH52" s="2984"/>
      <c r="AI52" s="2984"/>
      <c r="AJ52" s="2984"/>
      <c r="AK52" s="2984"/>
      <c r="AL52" s="2984"/>
      <c r="AM52" s="2984"/>
      <c r="AN52" s="2984"/>
      <c r="AO52" s="2984"/>
      <c r="AP52" s="2984"/>
      <c r="AQ52" s="2984"/>
      <c r="AR52" s="2984"/>
      <c r="AS52" s="2984"/>
      <c r="AT52" s="2984"/>
      <c r="AU52" s="2984"/>
      <c r="AV52" s="2984"/>
      <c r="AW52" s="2984"/>
      <c r="AX52" s="2984"/>
      <c r="AY52" s="2984"/>
      <c r="AZ52" s="2984"/>
      <c r="BA52" s="2984"/>
      <c r="BB52" s="2984"/>
      <c r="BC52" s="2984"/>
      <c r="BD52" s="2984"/>
      <c r="BE52" s="2984"/>
      <c r="BF52" s="2984"/>
      <c r="BG52" s="2984"/>
      <c r="BH52" s="2984"/>
      <c r="BI52" s="2984"/>
      <c r="BJ52" s="2984"/>
      <c r="BK52" s="2984"/>
      <c r="BL52" s="2984"/>
      <c r="BM52" s="2984"/>
      <c r="BN52" s="2984"/>
      <c r="BO52" s="2984"/>
      <c r="BP52" s="2984"/>
      <c r="BQ52" s="2984"/>
      <c r="BR52" s="2984"/>
      <c r="BS52" s="2984"/>
      <c r="BT52" s="2984"/>
      <c r="BU52" s="2984"/>
      <c r="BV52" s="2984"/>
      <c r="BW52" s="2984"/>
      <c r="BX52" s="2984"/>
      <c r="BY52" s="2984"/>
      <c r="BZ52" s="2984"/>
      <c r="CA52" s="2984"/>
      <c r="CB52" s="2984"/>
      <c r="CC52" s="2984"/>
      <c r="CD52" s="2984"/>
      <c r="CE52" s="2984"/>
      <c r="CF52" s="2984"/>
      <c r="CG52" s="2984"/>
      <c r="CH52" s="2984"/>
      <c r="CI52" s="2984"/>
      <c r="CJ52" s="2984"/>
      <c r="CK52" s="2984"/>
      <c r="CL52" s="2984"/>
      <c r="CM52" s="2984"/>
      <c r="CN52" s="2984"/>
      <c r="CO52" s="2984"/>
      <c r="CP52" s="2984"/>
      <c r="CQ52" s="2984"/>
      <c r="CR52" s="2984"/>
      <c r="CS52" s="2984"/>
      <c r="CT52" s="2984"/>
      <c r="CU52" s="2984"/>
      <c r="CV52" s="2984"/>
      <c r="CW52" s="2984"/>
      <c r="CX52" s="2984"/>
      <c r="CY52" s="2984"/>
      <c r="CZ52" s="2984"/>
      <c r="DA52" s="2984"/>
      <c r="DB52" s="2984"/>
      <c r="DC52" s="2984"/>
      <c r="DD52" s="2984"/>
      <c r="DE52" s="2984"/>
      <c r="DF52" s="2984"/>
      <c r="DG52" s="2984"/>
      <c r="DH52" s="2984"/>
      <c r="DI52" s="2984"/>
      <c r="DJ52" s="2984"/>
      <c r="DK52" s="2984"/>
      <c r="DL52" s="2984"/>
      <c r="DM52" s="2984"/>
      <c r="DN52" s="2984"/>
      <c r="DO52" s="2984"/>
      <c r="DP52" s="2984"/>
      <c r="DQ52" s="2984"/>
      <c r="DR52" s="2984"/>
      <c r="DS52" s="2984"/>
    </row>
    <row r="55" spans="1:123" ht="15">
      <c r="B55" s="132" t="s">
        <v>1999</v>
      </c>
      <c r="C55" s="133"/>
      <c r="D55" s="134">
        <f>1-(2016-2004)/60</f>
        <v>0.8</v>
      </c>
    </row>
    <row r="56" spans="1:123">
      <c r="B56" s="135" t="s">
        <v>2000</v>
      </c>
      <c r="C56" s="136">
        <f ca="1">ROUND(C51/C52,3)</f>
        <v>0.56699999999999995</v>
      </c>
    </row>
    <row r="57" spans="1:123">
      <c r="B57" s="135" t="s">
        <v>2001</v>
      </c>
      <c r="C57" s="137">
        <f ca="1">1-C56</f>
        <v>0.43300000000000005</v>
      </c>
    </row>
  </sheetData>
  <sheetProtection password="CEE9" sheet="1" objects="1" scenarios="1" formatCells="0" formatColumns="0" formatRows="0"/>
  <mergeCells count="1">
    <mergeCell ref="G42:G44"/>
  </mergeCells>
  <phoneticPr fontId="16" type="noConversion"/>
  <dataValidations count="5">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 type="list" allowBlank="1" showInputMessage="1" showErrorMessage="1" sqref="B1" xr:uid="{00000000-0002-0000-2700-000002000000}">
      <formula1>"估价对象,仅计算典型户型"</formula1>
    </dataValidation>
    <dataValidation type="list" allowBlank="1" showInputMessage="1" showErrorMessage="1" sqref="G2" xr:uid="{00000000-0002-0000-2700-000003000000}">
      <formula1>估价方法</formula1>
    </dataValidation>
    <dataValidation type="list" allowBlank="1" showInputMessage="1" showErrorMessage="1" sqref="D2" xr:uid="{00000000-0002-0000-2700-000004000000}">
      <formula1>"需扣减承租人权益,——"</formula1>
    </dataValidation>
  </dataValidations>
  <pageMargins left="0.7" right="0.7" top="0.75" bottom="0.75" header="0.3" footer="0.3"/>
  <pageSetup paperSize="9" scale="74"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2">
    <tabColor rgb="FF92D050"/>
  </sheetPr>
  <dimension ref="A1:AJ118"/>
  <sheetViews>
    <sheetView view="pageBreakPreview" zoomScale="90" zoomScaleNormal="90" zoomScaleSheetLayoutView="90" workbookViewId="0">
      <selection activeCell="G2" sqref="G2"/>
    </sheetView>
  </sheetViews>
  <sheetFormatPr defaultColWidth="9" defaultRowHeight="12.75"/>
  <cols>
    <col min="1" max="1" width="9.625" style="1623" customWidth="1"/>
    <col min="2" max="2" width="20.375" style="1623" customWidth="1"/>
    <col min="3" max="3" width="12.5" style="1623" customWidth="1"/>
    <col min="4" max="4" width="12" style="1623" customWidth="1"/>
    <col min="5" max="5" width="14.625" style="1623" customWidth="1"/>
    <col min="6" max="8" width="12" style="1623" customWidth="1"/>
    <col min="9" max="9" width="12.125" style="1623" bestFit="1" customWidth="1"/>
    <col min="10" max="10" width="12" style="1623" customWidth="1"/>
    <col min="11" max="11" width="9.5" style="1622" customWidth="1"/>
    <col min="12" max="12" width="12" style="1623" customWidth="1"/>
    <col min="13" max="13" width="8.5" style="1623" customWidth="1"/>
    <col min="14" max="14" width="9.625" style="1623" customWidth="1"/>
    <col min="15" max="25" width="12" style="1623" customWidth="1"/>
    <col min="26" max="26" width="9.375" style="1623" customWidth="1"/>
    <col min="27" max="32" width="9.375" style="2264" customWidth="1"/>
    <col min="33" max="38" width="9.375" style="1623" customWidth="1"/>
    <col min="39" max="16384" width="9" style="1623"/>
  </cols>
  <sheetData>
    <row r="1" spans="1:36" ht="28.5">
      <c r="A1" s="2096" t="s">
        <v>2495</v>
      </c>
      <c r="B1" s="2097"/>
      <c r="C1" s="2098" t="s">
        <v>2496</v>
      </c>
      <c r="D1" s="2099">
        <f>SUM(D29:D30,D33:D39)</f>
        <v>2176.96</v>
      </c>
      <c r="E1" s="2099"/>
      <c r="F1" s="2099"/>
      <c r="G1" s="2099"/>
      <c r="H1" s="2099"/>
      <c r="I1" s="2099"/>
      <c r="J1" s="2099"/>
      <c r="K1" s="3048"/>
      <c r="L1" s="2100" t="s">
        <v>2497</v>
      </c>
      <c r="M1" s="2101">
        <f>SUMPRODUCT((区片价!B5:B9=I2)*(区片价!C3:F3=E2)*(区片价!C5:F9))</f>
        <v>0</v>
      </c>
      <c r="N1" s="2102">
        <f>SUMPRODUCT((因素修正幅度!B5:B9=I2)*(因素修正幅度!C3:F3=E2)*(因素修正幅度!C5:F9))</f>
        <v>0</v>
      </c>
      <c r="O1" s="3048"/>
      <c r="P1" s="3048"/>
      <c r="Q1" s="3048"/>
      <c r="R1" s="2103" t="s">
        <v>2498</v>
      </c>
      <c r="S1" s="2103" t="s">
        <v>2499</v>
      </c>
      <c r="T1" s="2103" t="s">
        <v>2500</v>
      </c>
      <c r="U1" s="2103" t="s">
        <v>2501</v>
      </c>
      <c r="V1" s="2103" t="s">
        <v>2502</v>
      </c>
      <c r="W1" s="2104"/>
      <c r="X1" s="2104"/>
      <c r="Y1" s="2104"/>
      <c r="Z1" s="2104"/>
      <c r="AA1" s="2104"/>
      <c r="AB1" s="2104"/>
      <c r="AC1" s="2104"/>
      <c r="AD1" s="2105"/>
      <c r="AE1" s="2105"/>
      <c r="AF1" s="2105"/>
      <c r="AG1" s="2105"/>
      <c r="AH1" s="2105"/>
      <c r="AI1" s="2105"/>
      <c r="AJ1" s="2106"/>
    </row>
    <row r="2" spans="1:36" ht="24.75">
      <c r="A2" s="1960" t="s">
        <v>2503</v>
      </c>
      <c r="B2" s="1658">
        <f>C26</f>
        <v>3072779</v>
      </c>
      <c r="C2" s="2107" t="s">
        <v>2504</v>
      </c>
      <c r="D2" s="1601" t="s">
        <v>2505</v>
      </c>
      <c r="E2" s="2108" t="s">
        <v>3530</v>
      </c>
      <c r="F2" s="1601" t="s">
        <v>2506</v>
      </c>
      <c r="G2" s="2109" t="str">
        <f>项目基本情况!F9</f>
        <v>五级</v>
      </c>
      <c r="H2" s="1602" t="s">
        <v>2507</v>
      </c>
      <c r="I2" s="2109" t="str">
        <f>项目基本情况!F10</f>
        <v>Ⅴ-01</v>
      </c>
      <c r="J2" s="2110"/>
      <c r="K2" s="3048"/>
      <c r="L2" s="2111" t="s">
        <v>2508</v>
      </c>
      <c r="M2" s="2112">
        <f>SUMPRODUCT((区片价!B10:B28=I2)*(区片价!C3:F3=E2)*(区片价!C10:F28))</f>
        <v>0</v>
      </c>
      <c r="N2" s="2113">
        <f>SUMPRODUCT((因素修正幅度!B10:B28=I2)*(因素修正幅度!C3:F3=E2)*(因素修正幅度!C10:F28))</f>
        <v>0</v>
      </c>
      <c r="O2" s="3048"/>
      <c r="P2" s="3048"/>
      <c r="Q2" s="3048"/>
      <c r="R2" s="2103">
        <v>1</v>
      </c>
      <c r="S2" s="2103">
        <f>ROUND(IF(G3&gt;1,IF(R2&lt;7,SUMPRODUCT((B93:B98=R2)*(C92:N92=G2)*(C93:N98)),SUMIF(C92:N92,G2,C100:N100)),IF(R2&lt;7,SUMPRODUCT((B102:B107=R2)*(C92:N92=G2)*(C102:N107)),SUMIF(C92:N92,G2,C109:N109))),4)</f>
        <v>1.8629</v>
      </c>
      <c r="T2" s="2103">
        <f>ROUND($C$5*$C$18*$C$19*$C$20*S2*$C$24,0)</f>
        <v>5179</v>
      </c>
      <c r="U2" s="2114"/>
      <c r="V2" s="2103">
        <f>ROUND(T2*U2/10000,0)</f>
        <v>0</v>
      </c>
      <c r="W2" s="2104"/>
      <c r="X2" s="2104"/>
      <c r="Y2" s="2104"/>
      <c r="Z2" s="2104"/>
      <c r="AA2" s="2104"/>
      <c r="AB2" s="2104"/>
      <c r="AC2" s="2104"/>
      <c r="AD2" s="2105"/>
      <c r="AE2" s="2105"/>
      <c r="AF2" s="2105"/>
      <c r="AG2" s="2105"/>
      <c r="AH2" s="2105"/>
      <c r="AI2" s="2105"/>
      <c r="AJ2" s="2106"/>
    </row>
    <row r="3" spans="1:36" ht="15.75">
      <c r="A3" s="1658" t="s">
        <v>2509</v>
      </c>
      <c r="B3" s="1658">
        <f>ROUND(B2/D1,0)</f>
        <v>1411</v>
      </c>
      <c r="C3" s="2107" t="s">
        <v>2510</v>
      </c>
      <c r="D3" s="1601" t="s">
        <v>2511</v>
      </c>
      <c r="E3" s="2108" t="s">
        <v>3587</v>
      </c>
      <c r="F3" s="1603" t="s">
        <v>2512</v>
      </c>
      <c r="G3" s="2115">
        <f>项目基本情况!C15</f>
        <v>2.5</v>
      </c>
      <c r="H3" s="50" t="s">
        <v>2513</v>
      </c>
      <c r="I3" s="2116"/>
      <c r="J3" s="2110" t="s">
        <v>2514</v>
      </c>
      <c r="K3" s="3048"/>
      <c r="L3" s="2111" t="s">
        <v>2515</v>
      </c>
      <c r="M3" s="2112">
        <f>SUMPRODUCT((区片价!B29:B48=I2)*(区片价!C3:F3=E2)*(区片价!C29:F48))</f>
        <v>0</v>
      </c>
      <c r="N3" s="2113">
        <f>SUMPRODUCT((因素修正幅度!B29:B48=I2)*(因素修正幅度!C3:F3=E2)*(因素修正幅度!C29:F48))</f>
        <v>0</v>
      </c>
      <c r="O3" s="3048"/>
      <c r="P3" s="3048"/>
      <c r="Q3" s="3048"/>
      <c r="R3" s="2103">
        <v>2</v>
      </c>
      <c r="S3" s="2103">
        <f>ROUND(IF(G3&gt;1,IF(R3&lt;7,SUMPRODUCT((B93:B98=R3)*(C92:N92=G2)*(C93:N98)),SUMIF(C92:N92,G2,C100:N100)),IF(R3&lt;7,SUMPRODUCT((B102:B107=R3)*(C92:N92=G2)*(C102:N107)),SUMIF(C92:N92,G2,C109:N109))),4)</f>
        <v>1.3371999999999999</v>
      </c>
      <c r="T3" s="2103">
        <f t="shared" ref="T3:T16" si="0">ROUND($C$5*$C$18*$C$19*$C$20*S3*$C$24,0)</f>
        <v>3717</v>
      </c>
      <c r="U3" s="2114"/>
      <c r="V3" s="2103">
        <f t="shared" ref="V3:V16" si="1">ROUND(T3*U3/10000,0)</f>
        <v>0</v>
      </c>
      <c r="W3" s="2104"/>
      <c r="X3" s="2104"/>
      <c r="Y3" s="2104"/>
      <c r="Z3" s="2104"/>
      <c r="AA3" s="2104"/>
      <c r="AB3" s="2104"/>
      <c r="AC3" s="2104"/>
      <c r="AD3" s="2105"/>
      <c r="AE3" s="2105"/>
      <c r="AF3" s="2105"/>
      <c r="AG3" s="2105"/>
      <c r="AH3" s="2105"/>
      <c r="AI3" s="2105"/>
      <c r="AJ3" s="2106"/>
    </row>
    <row r="4" spans="1:36" ht="15.75">
      <c r="A4" s="4786"/>
      <c r="B4" s="4787"/>
      <c r="C4" s="4787"/>
      <c r="D4" s="4788"/>
      <c r="E4" s="4788"/>
      <c r="F4" s="4788"/>
      <c r="G4" s="4788"/>
      <c r="H4" s="4788"/>
      <c r="I4" s="4788"/>
      <c r="J4" s="4789"/>
      <c r="K4" s="3048"/>
      <c r="L4" s="2111" t="s">
        <v>2516</v>
      </c>
      <c r="M4" s="2112">
        <f>SUMPRODUCT((区片价!B49:B75=I2)*(区片价!C3:F3=E2)*(区片价!C49:F75))</f>
        <v>0</v>
      </c>
      <c r="N4" s="2113">
        <f>SUMPRODUCT((因素修正幅度!B49:B75=I2)*(因素修正幅度!C3:F3=E2)*(因素修正幅度!C49:F75))</f>
        <v>0</v>
      </c>
      <c r="O4" s="3048"/>
      <c r="P4" s="3048"/>
      <c r="Q4" s="3048"/>
      <c r="R4" s="2103">
        <v>3</v>
      </c>
      <c r="S4" s="2103">
        <f>ROUND(IF(G3&gt;1,IF(R4&lt;7,SUMPRODUCT((B93:B98=R4)*(C92:N92=G2)*(C93:N98)),SUMIF(C92:N92,G2,C100:N100)),IF(R4&lt;7,SUMPRODUCT((B102:B107=R4)*(C92:N92=G2)*(C102:N107)),SUMIF(C92:N92,G2,C109:N109))),4)</f>
        <v>1.0788</v>
      </c>
      <c r="T4" s="2103">
        <f t="shared" si="0"/>
        <v>2999</v>
      </c>
      <c r="U4" s="2114"/>
      <c r="V4" s="2103">
        <f t="shared" si="1"/>
        <v>0</v>
      </c>
      <c r="W4" s="2104"/>
      <c r="X4" s="2104"/>
      <c r="Y4" s="2104"/>
      <c r="Z4" s="2104"/>
      <c r="AA4" s="2104"/>
      <c r="AB4" s="2104"/>
      <c r="AC4" s="2104"/>
      <c r="AD4" s="2105"/>
      <c r="AE4" s="2105"/>
      <c r="AF4" s="2105"/>
      <c r="AG4" s="2105"/>
      <c r="AH4" s="2105"/>
      <c r="AI4" s="2105"/>
      <c r="AJ4" s="2106"/>
    </row>
    <row r="5" spans="1:36" s="2124" customFormat="1" ht="15.75" thickBot="1">
      <c r="A5" s="1604" t="s">
        <v>2517</v>
      </c>
      <c r="B5" s="1604" t="s">
        <v>2518</v>
      </c>
      <c r="C5" s="2117">
        <f>ROUND(IF(E2="商业",C6*C7+C16,(IF(E2="住宅",C6*C12+C16,C6+C16))),0)</f>
        <v>3000</v>
      </c>
      <c r="D5" s="2118">
        <f>ROUND(C6+C16,0)</f>
        <v>3000</v>
      </c>
      <c r="E5" s="2118"/>
      <c r="F5" s="2119"/>
      <c r="G5" s="2120"/>
      <c r="H5" s="2120"/>
      <c r="I5" s="2120"/>
      <c r="J5" s="2077"/>
      <c r="K5" s="1666"/>
      <c r="L5" s="2111" t="s">
        <v>2519</v>
      </c>
      <c r="M5" s="2112">
        <f>SUMPRODUCT((区片价!B76:B109=I2)*(区片价!C3:F3=E2)*(区片价!C76:F109))</f>
        <v>3060</v>
      </c>
      <c r="N5" s="2113">
        <f>SUMPRODUCT((因素修正幅度!B76:B109=I2)*(因素修正幅度!C3:F3=E2)*(因素修正幅度!C76:F109))</f>
        <v>0.1</v>
      </c>
      <c r="O5" s="3048"/>
      <c r="P5" s="3048"/>
      <c r="Q5" s="3048"/>
      <c r="R5" s="2103">
        <v>4</v>
      </c>
      <c r="S5" s="2103">
        <f>ROUND(IF(G3&gt;1,IF(R5&lt;7,SUMPRODUCT((B93:B98=R5)*(C92:N92=G2)*(C93:N98)),SUMIF(C92:N92,G2,C100:N100)),IF(R5&lt;7,SUMPRODUCT((B102:B107=R5)*(C92:N92=G2)*(C102:N107)),SUMIF(C92:N92,G2,C109:N109))),4)</f>
        <v>0.86560000000000004</v>
      </c>
      <c r="T5" s="2103">
        <f t="shared" si="0"/>
        <v>2406</v>
      </c>
      <c r="U5" s="2114"/>
      <c r="V5" s="2103">
        <f t="shared" si="1"/>
        <v>0</v>
      </c>
      <c r="W5" s="2104"/>
      <c r="X5" s="2104"/>
      <c r="Y5" s="2104"/>
      <c r="Z5" s="2104"/>
      <c r="AA5" s="2104"/>
      <c r="AB5" s="2104"/>
      <c r="AC5" s="2121"/>
      <c r="AD5" s="2122"/>
      <c r="AE5" s="2122"/>
      <c r="AF5" s="2122"/>
      <c r="AG5" s="2122"/>
      <c r="AH5" s="2122"/>
      <c r="AI5" s="2122"/>
      <c r="AJ5" s="2123"/>
    </row>
    <row r="6" spans="1:36" ht="15.75" thickBot="1">
      <c r="A6" s="2125">
        <v>1</v>
      </c>
      <c r="B6" s="1605" t="s">
        <v>2520</v>
      </c>
      <c r="C6" s="2126">
        <f>SUMIF(L1:L12,G2,M1:M12)</f>
        <v>3060</v>
      </c>
      <c r="D6" s="2127" t="s">
        <v>2521</v>
      </c>
      <c r="E6" s="1605"/>
      <c r="F6" s="1605"/>
      <c r="G6" s="2128"/>
      <c r="H6" s="2128"/>
      <c r="I6" s="2128"/>
      <c r="J6" s="2129"/>
      <c r="K6" s="3049"/>
      <c r="L6" s="2111" t="s">
        <v>2522</v>
      </c>
      <c r="M6" s="2112">
        <f>SUMPRODUCT((区片价!B110:B157=I2)*(区片价!C3:F3=E2)*(区片价!C110:F157))</f>
        <v>0</v>
      </c>
      <c r="N6" s="2113">
        <f>SUMPRODUCT((因素修正幅度!B110:B157=I2)*(因素修正幅度!C3:F3=E2)*(因素修正幅度!C110:F157))</f>
        <v>0</v>
      </c>
      <c r="O6" s="3048"/>
      <c r="P6" s="3048"/>
      <c r="Q6" s="3048"/>
      <c r="R6" s="2103">
        <v>5</v>
      </c>
      <c r="S6" s="2103">
        <f>ROUND(IF(G3&gt;1,IF(R6&lt;7,SUMPRODUCT((B93:B98=R6)*(C92:N92=G2)*(C93:N98)),SUMIF(C92:N92,G2,C100:N100)),IF(R6&lt;7,SUMPRODUCT((B102:B107=R6)*(C92:N92=G2)*(C102:N107)),SUMIF(C92:N92,G2,C109:N109))),4)</f>
        <v>0.73709999999999998</v>
      </c>
      <c r="T6" s="2103">
        <f t="shared" si="0"/>
        <v>2049</v>
      </c>
      <c r="U6" s="2114"/>
      <c r="V6" s="2103">
        <f t="shared" si="1"/>
        <v>0</v>
      </c>
      <c r="W6" s="2104"/>
      <c r="X6" s="2104"/>
      <c r="Y6" s="2104"/>
      <c r="Z6" s="2104"/>
      <c r="AA6" s="2104"/>
      <c r="AB6" s="2104"/>
      <c r="AC6" s="2121"/>
      <c r="AD6" s="2122"/>
      <c r="AE6" s="2122"/>
      <c r="AF6" s="2122"/>
      <c r="AG6" s="2122"/>
      <c r="AH6" s="2122"/>
      <c r="AI6" s="2122"/>
      <c r="AJ6" s="2123"/>
    </row>
    <row r="7" spans="1:36" ht="24">
      <c r="A7" s="4790" t="str">
        <f>IF(E2="商业",IF(C8="不临58条商业街","",2),"")</f>
        <v/>
      </c>
      <c r="B7" s="1606" t="s">
        <v>2523</v>
      </c>
      <c r="C7" s="2130">
        <f>IF(C8="不临58条商业街",1,ROUND(1+(1.6*E8+1.2*E9+0.8*E10+0.4*E11)*C9,4))</f>
        <v>1</v>
      </c>
      <c r="D7" s="2131" t="s">
        <v>2524</v>
      </c>
      <c r="E7" s="2132"/>
      <c r="F7" s="2133"/>
      <c r="G7" s="2133"/>
      <c r="H7" s="2133"/>
      <c r="I7" s="2133"/>
      <c r="J7" s="2134"/>
      <c r="K7" s="3049"/>
      <c r="L7" s="2111" t="s">
        <v>2525</v>
      </c>
      <c r="M7" s="2112">
        <f>SUMPRODUCT((区片价!B158:B205=I2)*(区片价!C3:F3=E2)*(区片价!C158:F205))</f>
        <v>0</v>
      </c>
      <c r="N7" s="2113">
        <f>SUMPRODUCT((因素修正幅度!B158:B205=I2)*(因素修正幅度!C3:F3=E2)*(因素修正幅度!C158:F205))</f>
        <v>0</v>
      </c>
      <c r="O7" s="3048"/>
      <c r="P7" s="3048"/>
      <c r="Q7" s="3048"/>
      <c r="R7" s="2103">
        <v>6</v>
      </c>
      <c r="S7" s="2103">
        <f>ROUND(IF(G3&gt;1,IF(R7&lt;7,SUMPRODUCT((B93:B98=R7)*(C92:N92=G2)*(C93:N98)),SUMIF(C92:N92,G2,C100:N100)),IF(R7&lt;7,SUMPRODUCT((B102:B107=R7)*(C92:N92=G2)*(C102:N107)),SUMIF(C92:N92,G2,C109:N109))),4)</f>
        <v>0.6482</v>
      </c>
      <c r="T7" s="2103">
        <f t="shared" si="0"/>
        <v>1802</v>
      </c>
      <c r="U7" s="2114"/>
      <c r="V7" s="2103">
        <f t="shared" si="1"/>
        <v>0</v>
      </c>
      <c r="W7" s="2135" t="s">
        <v>2526</v>
      </c>
      <c r="X7" s="2136" t="str">
        <f>G2</f>
        <v>五级</v>
      </c>
      <c r="Y7" s="2136" t="s">
        <v>2527</v>
      </c>
      <c r="Z7" s="2137">
        <f>G3</f>
        <v>2.5</v>
      </c>
      <c r="AA7" s="2104"/>
      <c r="AB7" s="2104"/>
      <c r="AC7" s="2104"/>
      <c r="AD7" s="2105"/>
      <c r="AE7" s="2105"/>
      <c r="AF7" s="2105"/>
      <c r="AG7" s="2105"/>
      <c r="AH7" s="2105"/>
      <c r="AI7" s="2105"/>
      <c r="AJ7" s="2106"/>
    </row>
    <row r="8" spans="1:36" ht="15">
      <c r="A8" s="4791"/>
      <c r="B8" s="50" t="s">
        <v>2528</v>
      </c>
      <c r="C8" s="2138" t="s">
        <v>2889</v>
      </c>
      <c r="D8" s="65" t="s">
        <v>89</v>
      </c>
      <c r="E8" s="2139" t="e">
        <f>ROUND(C11/E7,4)</f>
        <v>#DIV/0!</v>
      </c>
      <c r="F8" s="2140" t="s">
        <v>2529</v>
      </c>
      <c r="G8" s="2141"/>
      <c r="H8" s="2141"/>
      <c r="I8" s="2141"/>
      <c r="J8" s="2142"/>
      <c r="K8" s="3048"/>
      <c r="L8" s="2111" t="s">
        <v>2530</v>
      </c>
      <c r="M8" s="2112">
        <f>SUMPRODUCT((区片价!B206:B244=I2)*(区片价!C3:F3=E2)*(区片价!C206:F244))</f>
        <v>0</v>
      </c>
      <c r="N8" s="2113">
        <f>SUMPRODUCT((因素修正幅度!B206:B244=I2)*(因素修正幅度!C3:F3=E2)*(因素修正幅度!C206:F244))</f>
        <v>0</v>
      </c>
      <c r="O8" s="3048"/>
      <c r="P8" s="3048"/>
      <c r="Q8" s="3048"/>
      <c r="R8" s="2103">
        <v>7</v>
      </c>
      <c r="S8" s="2114"/>
      <c r="T8" s="2103">
        <f t="shared" si="0"/>
        <v>0</v>
      </c>
      <c r="U8" s="2114"/>
      <c r="V8" s="2103">
        <f t="shared" si="1"/>
        <v>0</v>
      </c>
      <c r="W8" s="4784" t="s">
        <v>2531</v>
      </c>
      <c r="X8" s="4785"/>
      <c r="Y8" s="2143" t="s">
        <v>2532</v>
      </c>
      <c r="Z8" s="2143" t="s">
        <v>2533</v>
      </c>
      <c r="AA8" s="2143" t="s">
        <v>2534</v>
      </c>
      <c r="AB8" s="2143" t="s">
        <v>2535</v>
      </c>
      <c r="AC8" s="2143" t="s">
        <v>2536</v>
      </c>
      <c r="AD8" s="2143" t="s">
        <v>2537</v>
      </c>
      <c r="AE8" s="2143" t="s">
        <v>2538</v>
      </c>
      <c r="AF8" s="2143" t="s">
        <v>2539</v>
      </c>
      <c r="AG8" s="2143" t="s">
        <v>2540</v>
      </c>
      <c r="AH8" s="2143" t="s">
        <v>2541</v>
      </c>
      <c r="AI8" s="2143" t="s">
        <v>2542</v>
      </c>
      <c r="AJ8" s="2143" t="s">
        <v>2543</v>
      </c>
    </row>
    <row r="9" spans="1:36" ht="15">
      <c r="A9" s="4791"/>
      <c r="B9" s="50" t="s">
        <v>2544</v>
      </c>
      <c r="C9" s="2144">
        <f>SUMIF(修正!C59:C119,C8,修正!E59:E119)</f>
        <v>0</v>
      </c>
      <c r="D9" s="50" t="s">
        <v>90</v>
      </c>
      <c r="E9" s="50" t="e">
        <f>ROUND(C11/E7,4)</f>
        <v>#DIV/0!</v>
      </c>
      <c r="F9" s="2140" t="s">
        <v>2545</v>
      </c>
      <c r="G9" s="2141"/>
      <c r="H9" s="2141"/>
      <c r="I9" s="2141"/>
      <c r="J9" s="2142"/>
      <c r="K9" s="3048"/>
      <c r="L9" s="2111" t="s">
        <v>2546</v>
      </c>
      <c r="M9" s="2112">
        <f>SUMPRODUCT((区片价!B245:B289=I2)*(区片价!C3:F3=E2)*(区片价!C245:F289))</f>
        <v>0</v>
      </c>
      <c r="N9" s="2113">
        <f>SUMPRODUCT((因素修正幅度!B245:B289=I2)*(因素修正幅度!C3:F3=E2)*(因素修正幅度!C245:F289))</f>
        <v>0</v>
      </c>
      <c r="O9" s="3048"/>
      <c r="P9" s="3048"/>
      <c r="Q9" s="3048"/>
      <c r="R9" s="2103">
        <v>8</v>
      </c>
      <c r="S9" s="2114"/>
      <c r="T9" s="2103">
        <f t="shared" si="0"/>
        <v>0</v>
      </c>
      <c r="U9" s="2114"/>
      <c r="V9" s="2103">
        <f t="shared" si="1"/>
        <v>0</v>
      </c>
      <c r="W9" s="4785" t="s">
        <v>2547</v>
      </c>
      <c r="X9" s="2145" t="s">
        <v>2548</v>
      </c>
      <c r="Y9" s="2146"/>
      <c r="Z9" s="2147">
        <f>$Y$9</f>
        <v>0</v>
      </c>
      <c r="AA9" s="2147">
        <f t="shared" ref="AA9:AJ9" si="2">$Y$9</f>
        <v>0</v>
      </c>
      <c r="AB9" s="2147">
        <f t="shared" si="2"/>
        <v>0</v>
      </c>
      <c r="AC9" s="2147">
        <f t="shared" si="2"/>
        <v>0</v>
      </c>
      <c r="AD9" s="2147">
        <f t="shared" si="2"/>
        <v>0</v>
      </c>
      <c r="AE9" s="2147">
        <f t="shared" si="2"/>
        <v>0</v>
      </c>
      <c r="AF9" s="2147">
        <f t="shared" si="2"/>
        <v>0</v>
      </c>
      <c r="AG9" s="2147">
        <f t="shared" si="2"/>
        <v>0</v>
      </c>
      <c r="AH9" s="2147">
        <f t="shared" si="2"/>
        <v>0</v>
      </c>
      <c r="AI9" s="2147">
        <f t="shared" si="2"/>
        <v>0</v>
      </c>
      <c r="AJ9" s="2147">
        <f t="shared" si="2"/>
        <v>0</v>
      </c>
    </row>
    <row r="10" spans="1:36" ht="15">
      <c r="A10" s="4791"/>
      <c r="B10" s="50" t="s">
        <v>2549</v>
      </c>
      <c r="C10" s="50">
        <f>SUMIF(修正!C59:C119,C8,修正!F59:F119)</f>
        <v>0</v>
      </c>
      <c r="D10" s="50" t="s">
        <v>91</v>
      </c>
      <c r="E10" s="50" t="e">
        <f>ROUND(C11/E7,4)</f>
        <v>#DIV/0!</v>
      </c>
      <c r="F10" s="2140" t="s">
        <v>2550</v>
      </c>
      <c r="G10" s="2141"/>
      <c r="H10" s="2141"/>
      <c r="I10" s="2141"/>
      <c r="J10" s="2142"/>
      <c r="K10" s="3048"/>
      <c r="L10" s="2111" t="s">
        <v>2551</v>
      </c>
      <c r="M10" s="2112">
        <f>SUMPRODUCT((区片价!B290:B316=I2)*(区片价!C3:F3=E2)*(区片价!C290:F316))</f>
        <v>0</v>
      </c>
      <c r="N10" s="2113">
        <f>SUMPRODUCT((因素修正幅度!B290:B316=I2)*(因素修正幅度!C3:F3=E2)*(因素修正幅度!C290:F316))</f>
        <v>0</v>
      </c>
      <c r="O10" s="3048"/>
      <c r="P10" s="3048"/>
      <c r="Q10" s="3048"/>
      <c r="R10" s="2103">
        <v>9</v>
      </c>
      <c r="S10" s="2114"/>
      <c r="T10" s="2103">
        <f t="shared" si="0"/>
        <v>0</v>
      </c>
      <c r="U10" s="2114"/>
      <c r="V10" s="2103">
        <f t="shared" si="1"/>
        <v>0</v>
      </c>
      <c r="W10" s="4785"/>
      <c r="X10" s="2145">
        <v>7</v>
      </c>
      <c r="Y10" s="2148">
        <f>(-0.163*(Y9^2)-0.59*Y9+7617)*(10^(-4))</f>
        <v>0.76170000000000004</v>
      </c>
      <c r="Z10" s="2148">
        <f>(-0.163*(Z9^2)-0.59*Z9+7617)*(10^(-4))</f>
        <v>0.76170000000000004</v>
      </c>
      <c r="AA10" s="2148">
        <f>(-0.161*(AA9^2)-7.509*AA9+6533)*(10^(-4))</f>
        <v>0.65329999999999999</v>
      </c>
      <c r="AB10" s="2148">
        <f>(-0.161*(AB9^2)-7.509*AB9+6533)*(10^(-4))</f>
        <v>0.65329999999999999</v>
      </c>
      <c r="AC10" s="2148">
        <f>(-0.161*(AC9^2)-7.509*AC9+6533)*(10^(-4))</f>
        <v>0.65329999999999999</v>
      </c>
      <c r="AD10" s="2148">
        <f>(-0.161*(AD9^2)-7.509*AD9+6533)*(10^(-4))</f>
        <v>0.65329999999999999</v>
      </c>
      <c r="AE10" s="2148">
        <f>(-0.161*(AE9^2)-7.509*AE9+6533)*(10^(-4))</f>
        <v>0.65329999999999999</v>
      </c>
      <c r="AF10" s="2148">
        <f>(-0.214*(AF9^2)-21.991*AF9+4665)*(10^(-4))</f>
        <v>0.46650000000000003</v>
      </c>
      <c r="AG10" s="2148">
        <f>(-0.214*(AG9^2)-21.991*AG9+4665)*(10^(-4))</f>
        <v>0.46650000000000003</v>
      </c>
      <c r="AH10" s="2148">
        <f>(-0.214*(AH9^2)-21.991*AH9+4665)*(10^(-4))</f>
        <v>0.46650000000000003</v>
      </c>
      <c r="AI10" s="2148">
        <f>(-0.214*(AI9^2)-21.991*AI9+4665)*(10^(-4))</f>
        <v>0.46650000000000003</v>
      </c>
      <c r="AJ10" s="2148">
        <f>(-0.214*(AJ9^2)-21.991*AJ9+4665)*(10^(-4))</f>
        <v>0.46650000000000003</v>
      </c>
    </row>
    <row r="11" spans="1:36" ht="15.75" thickBot="1">
      <c r="A11" s="4791"/>
      <c r="B11" s="1607" t="s">
        <v>2552</v>
      </c>
      <c r="C11" s="1607">
        <f>C10/4</f>
        <v>0</v>
      </c>
      <c r="D11" s="1607" t="s">
        <v>92</v>
      </c>
      <c r="E11" s="1607" t="e">
        <f>ROUND(C11/E7,4)</f>
        <v>#DIV/0!</v>
      </c>
      <c r="F11" s="2149" t="s">
        <v>2553</v>
      </c>
      <c r="G11" s="2150"/>
      <c r="H11" s="2150"/>
      <c r="I11" s="2150"/>
      <c r="J11" s="2151"/>
      <c r="K11" s="3048"/>
      <c r="L11" s="2111" t="s">
        <v>2554</v>
      </c>
      <c r="M11" s="2112">
        <f>SUMPRODUCT((区片价!B317:B337=I2)*(区片价!C3:F3=E2)*(区片价!C317:F337))</f>
        <v>0</v>
      </c>
      <c r="N11" s="2113">
        <f>SUMPRODUCT((因素修正幅度!B317:B337=I2)*(因素修正幅度!C3:F3=E2)*(因素修正幅度!C317:F337))</f>
        <v>0</v>
      </c>
      <c r="O11" s="3048"/>
      <c r="P11" s="3048"/>
      <c r="Q11" s="3048"/>
      <c r="R11" s="2103">
        <v>10</v>
      </c>
      <c r="S11" s="2114"/>
      <c r="T11" s="2103">
        <f t="shared" si="0"/>
        <v>0</v>
      </c>
      <c r="U11" s="2114"/>
      <c r="V11" s="2103">
        <f t="shared" si="1"/>
        <v>0</v>
      </c>
      <c r="W11" s="4785" t="s">
        <v>2555</v>
      </c>
      <c r="X11" s="2152" t="s">
        <v>2556</v>
      </c>
      <c r="Y11" s="2153">
        <f>$G$3</f>
        <v>2.5</v>
      </c>
      <c r="Z11" s="2153">
        <f t="shared" ref="Z11:AJ11" si="3">$G$3</f>
        <v>2.5</v>
      </c>
      <c r="AA11" s="2153">
        <f t="shared" si="3"/>
        <v>2.5</v>
      </c>
      <c r="AB11" s="2153">
        <f t="shared" si="3"/>
        <v>2.5</v>
      </c>
      <c r="AC11" s="2153">
        <f t="shared" si="3"/>
        <v>2.5</v>
      </c>
      <c r="AD11" s="2153">
        <f t="shared" si="3"/>
        <v>2.5</v>
      </c>
      <c r="AE11" s="2153">
        <f t="shared" si="3"/>
        <v>2.5</v>
      </c>
      <c r="AF11" s="2153">
        <f t="shared" si="3"/>
        <v>2.5</v>
      </c>
      <c r="AG11" s="2153">
        <f t="shared" si="3"/>
        <v>2.5</v>
      </c>
      <c r="AH11" s="2153">
        <f t="shared" si="3"/>
        <v>2.5</v>
      </c>
      <c r="AI11" s="2153">
        <f t="shared" si="3"/>
        <v>2.5</v>
      </c>
      <c r="AJ11" s="2153">
        <f t="shared" si="3"/>
        <v>2.5</v>
      </c>
    </row>
    <row r="12" spans="1:36" ht="25.5" thickBot="1">
      <c r="A12" s="4790" t="str">
        <f>IF(E2="住宅",2,"")</f>
        <v/>
      </c>
      <c r="B12" s="1608" t="s">
        <v>2557</v>
      </c>
      <c r="C12" s="2130">
        <f>ROUND(C15*D15*E15*F15*G15*H15*I15*J15,4)</f>
        <v>1</v>
      </c>
      <c r="D12" s="2154" t="s">
        <v>2558</v>
      </c>
      <c r="E12" s="2155"/>
      <c r="F12" s="2155"/>
      <c r="G12" s="2155"/>
      <c r="H12" s="2155"/>
      <c r="I12" s="2155"/>
      <c r="J12" s="2156"/>
      <c r="K12" s="3048"/>
      <c r="L12" s="2157" t="s">
        <v>2559</v>
      </c>
      <c r="M12" s="2158">
        <f>SUMPRODUCT((区片价!B338:B344=I2)*(区片价!C3:F3=E2)*(区片价!C338:F344))</f>
        <v>0</v>
      </c>
      <c r="N12" s="2159">
        <f>SUMPRODUCT((因素修正幅度!B338:B344=I2)*(因素修正幅度!C3:F3=E2)*(因素修正幅度!C338:F344))</f>
        <v>0</v>
      </c>
      <c r="O12" s="3048"/>
      <c r="P12" s="3048"/>
      <c r="Q12" s="3048"/>
      <c r="R12" s="2103">
        <v>11</v>
      </c>
      <c r="S12" s="2114"/>
      <c r="T12" s="2103">
        <f t="shared" si="0"/>
        <v>0</v>
      </c>
      <c r="U12" s="2114"/>
      <c r="V12" s="2103">
        <f t="shared" si="1"/>
        <v>0</v>
      </c>
      <c r="W12" s="4785"/>
      <c r="X12" s="2160" t="s">
        <v>2560</v>
      </c>
      <c r="Y12" s="2147">
        <f t="shared" ref="Y12:AJ12" si="4">Y9</f>
        <v>0</v>
      </c>
      <c r="Z12" s="2147">
        <f t="shared" si="4"/>
        <v>0</v>
      </c>
      <c r="AA12" s="2147">
        <f t="shared" si="4"/>
        <v>0</v>
      </c>
      <c r="AB12" s="2147">
        <f t="shared" si="4"/>
        <v>0</v>
      </c>
      <c r="AC12" s="2147">
        <f t="shared" si="4"/>
        <v>0</v>
      </c>
      <c r="AD12" s="2147">
        <f t="shared" si="4"/>
        <v>0</v>
      </c>
      <c r="AE12" s="2147">
        <f t="shared" si="4"/>
        <v>0</v>
      </c>
      <c r="AF12" s="2147">
        <f t="shared" si="4"/>
        <v>0</v>
      </c>
      <c r="AG12" s="2147">
        <f t="shared" si="4"/>
        <v>0</v>
      </c>
      <c r="AH12" s="2147">
        <f t="shared" si="4"/>
        <v>0</v>
      </c>
      <c r="AI12" s="2147">
        <f t="shared" si="4"/>
        <v>0</v>
      </c>
      <c r="AJ12" s="2147">
        <f t="shared" si="4"/>
        <v>0</v>
      </c>
    </row>
    <row r="13" spans="1:36" ht="24">
      <c r="A13" s="4792"/>
      <c r="B13" s="1609" t="s">
        <v>2561</v>
      </c>
      <c r="C13" s="2161" t="s">
        <v>2562</v>
      </c>
      <c r="D13" s="1610" t="s">
        <v>2563</v>
      </c>
      <c r="E13" s="1610" t="s">
        <v>2564</v>
      </c>
      <c r="F13" s="264" t="s">
        <v>2565</v>
      </c>
      <c r="G13" s="2162" t="s">
        <v>2566</v>
      </c>
      <c r="H13" s="2162" t="s">
        <v>2566</v>
      </c>
      <c r="I13" s="2162" t="s">
        <v>2566</v>
      </c>
      <c r="J13" s="2163" t="s">
        <v>2566</v>
      </c>
      <c r="K13" s="3048"/>
      <c r="L13" s="3048"/>
      <c r="M13" s="3048">
        <f>(1+2.03%)*(1+1.47%)*(1+0.41%)*(1+0.54%)*(1+0.69%)*(1+0.92%)*(1+1.11%)*(1+2.93%)*(1+1.95%)*(1+2%)</f>
        <v>1.1493927746741464</v>
      </c>
      <c r="N13" s="3048">
        <f>20424*1*1.1494*0.9098*0.8341*1.0663</f>
        <v>18995.706795298698</v>
      </c>
      <c r="O13" s="3048"/>
      <c r="P13" s="3048"/>
      <c r="Q13" s="3048"/>
      <c r="R13" s="2103">
        <v>12</v>
      </c>
      <c r="S13" s="2114"/>
      <c r="T13" s="2103">
        <f t="shared" si="0"/>
        <v>0</v>
      </c>
      <c r="U13" s="2114"/>
      <c r="V13" s="2103">
        <f t="shared" si="1"/>
        <v>0</v>
      </c>
      <c r="W13" s="4785"/>
      <c r="X13" s="2160"/>
      <c r="Y13" s="2148">
        <f>(-0.163*(Y12^2)-0.59*Y12+7617)*(10^(-4))/Y11</f>
        <v>0.30468000000000001</v>
      </c>
      <c r="Z13" s="2148">
        <f t="shared" ref="Z13:AJ13" si="5">(-0.163*(Z12^2)-0.59*Z12+7617)*(10^(-4))/Z11</f>
        <v>0.30468000000000001</v>
      </c>
      <c r="AA13" s="2148">
        <f t="shared" si="5"/>
        <v>0.30468000000000001</v>
      </c>
      <c r="AB13" s="2148">
        <f t="shared" si="5"/>
        <v>0.30468000000000001</v>
      </c>
      <c r="AC13" s="2148">
        <f t="shared" si="5"/>
        <v>0.30468000000000001</v>
      </c>
      <c r="AD13" s="2148">
        <f t="shared" si="5"/>
        <v>0.30468000000000001</v>
      </c>
      <c r="AE13" s="2148">
        <f t="shared" si="5"/>
        <v>0.30468000000000001</v>
      </c>
      <c r="AF13" s="2148">
        <f t="shared" si="5"/>
        <v>0.30468000000000001</v>
      </c>
      <c r="AG13" s="2148">
        <f t="shared" si="5"/>
        <v>0.30468000000000001</v>
      </c>
      <c r="AH13" s="2148">
        <f t="shared" si="5"/>
        <v>0.30468000000000001</v>
      </c>
      <c r="AI13" s="2148">
        <f t="shared" si="5"/>
        <v>0.30468000000000001</v>
      </c>
      <c r="AJ13" s="2148">
        <f t="shared" si="5"/>
        <v>0.30468000000000001</v>
      </c>
    </row>
    <row r="14" spans="1:36" ht="15">
      <c r="A14" s="4792"/>
      <c r="B14" s="1610"/>
      <c r="C14" s="2164" t="s">
        <v>2938</v>
      </c>
      <c r="D14" s="2165" t="s">
        <v>2567</v>
      </c>
      <c r="E14" s="2165" t="s">
        <v>2567</v>
      </c>
      <c r="F14" s="2166" t="s">
        <v>3527</v>
      </c>
      <c r="G14" s="2167" t="s">
        <v>2568</v>
      </c>
      <c r="H14" s="2168"/>
      <c r="I14" s="2169"/>
      <c r="J14" s="2170"/>
      <c r="K14" s="3048"/>
      <c r="L14" s="3048"/>
      <c r="M14" s="3736">
        <f>ROUND(4.35%*(1+20%),3)</f>
        <v>5.1999999999999998E-2</v>
      </c>
      <c r="N14" s="3048">
        <f>18996*459.68</f>
        <v>8732081.2799999993</v>
      </c>
      <c r="O14" s="3048"/>
      <c r="P14" s="3048"/>
      <c r="Q14" s="3048"/>
      <c r="R14" s="2103">
        <v>13</v>
      </c>
      <c r="S14" s="2114"/>
      <c r="T14" s="2103">
        <f t="shared" si="0"/>
        <v>0</v>
      </c>
      <c r="U14" s="2114"/>
      <c r="V14" s="2103">
        <f t="shared" si="1"/>
        <v>0</v>
      </c>
      <c r="W14" s="2104"/>
      <c r="X14" s="2104"/>
      <c r="Y14" s="2104"/>
      <c r="Z14" s="2104"/>
      <c r="AA14" s="2104"/>
      <c r="AB14" s="2104"/>
      <c r="AC14" s="2104"/>
      <c r="AD14" s="2105"/>
      <c r="AE14" s="2105"/>
      <c r="AF14" s="2105"/>
      <c r="AG14" s="2105"/>
      <c r="AH14" s="2105"/>
      <c r="AI14" s="2105"/>
      <c r="AJ14" s="2106"/>
    </row>
    <row r="15" spans="1:36" ht="15.75" thickBot="1">
      <c r="A15" s="4793"/>
      <c r="B15" s="1611" t="s">
        <v>2569</v>
      </c>
      <c r="C15" s="2171">
        <f>IF(C14="有",1.1,1)</f>
        <v>1</v>
      </c>
      <c r="D15" s="2171">
        <f>IF(D14="有",1.1,1)</f>
        <v>1</v>
      </c>
      <c r="E15" s="2171">
        <f>IF(E14="有",1.1,1)</f>
        <v>1</v>
      </c>
      <c r="F15" s="2171">
        <f>IF(F14="500米范围内",1.2,IF(F14="500-1000米",1.1,1))</f>
        <v>1</v>
      </c>
      <c r="G15" s="2172">
        <v>1</v>
      </c>
      <c r="H15" s="2172">
        <v>1</v>
      </c>
      <c r="I15" s="2172">
        <v>1</v>
      </c>
      <c r="J15" s="2173">
        <v>1</v>
      </c>
      <c r="K15" s="3048"/>
      <c r="L15" s="3048"/>
      <c r="M15" s="3048">
        <f>(1-1/(1+5.22%)^35.87)/(1-1/(1+5.22%)^50)</f>
        <v>0.91030597540160851</v>
      </c>
      <c r="N15" s="3048"/>
      <c r="O15" s="3048"/>
      <c r="P15" s="3048"/>
      <c r="Q15" s="3048"/>
      <c r="R15" s="2103">
        <v>14</v>
      </c>
      <c r="S15" s="2114"/>
      <c r="T15" s="2103">
        <f t="shared" si="0"/>
        <v>0</v>
      </c>
      <c r="U15" s="2114"/>
      <c r="V15" s="2103">
        <f t="shared" si="1"/>
        <v>0</v>
      </c>
      <c r="W15" s="2104"/>
      <c r="X15" s="2104"/>
      <c r="Y15" s="2104"/>
      <c r="Z15" s="2104"/>
      <c r="AA15" s="2104"/>
      <c r="AB15" s="2104"/>
      <c r="AC15" s="2104"/>
      <c r="AD15" s="2105"/>
      <c r="AE15" s="2105"/>
      <c r="AF15" s="2105"/>
      <c r="AG15" s="2105"/>
      <c r="AH15" s="2105"/>
      <c r="AI15" s="2105"/>
      <c r="AJ15" s="2106"/>
    </row>
    <row r="16" spans="1:36" ht="24.6" customHeight="1">
      <c r="A16" s="4794">
        <f>IF(E2="办公",2,IF(E2="工业",2,IF(E2="住宅",3,IF(E2="商业",IF(C8="不临58条商业街",2,3)))))</f>
        <v>2</v>
      </c>
      <c r="B16" s="1630" t="s">
        <v>2575</v>
      </c>
      <c r="C16" s="1606">
        <f>ROUND(IF(F17="与级别开发程度一致",0,(G17-E17)/C17),0)</f>
        <v>-60</v>
      </c>
      <c r="D16" s="4807" t="s">
        <v>2579</v>
      </c>
      <c r="E16" s="4808"/>
      <c r="F16" s="4807" t="s">
        <v>2576</v>
      </c>
      <c r="G16" s="4808"/>
      <c r="H16" s="2174" t="s">
        <v>2931</v>
      </c>
      <c r="I16" s="2174" t="s">
        <v>2932</v>
      </c>
      <c r="J16" s="2175" t="s">
        <v>2933</v>
      </c>
      <c r="K16" s="2174" t="s">
        <v>2934</v>
      </c>
      <c r="L16" s="2174" t="s">
        <v>2935</v>
      </c>
      <c r="M16" s="2174" t="s">
        <v>2936</v>
      </c>
      <c r="N16" s="2174"/>
      <c r="O16" s="2176"/>
      <c r="P16" s="3048"/>
      <c r="Q16" s="3048"/>
      <c r="R16" s="2103">
        <v>15</v>
      </c>
      <c r="S16" s="2114"/>
      <c r="T16" s="2103">
        <f t="shared" si="0"/>
        <v>0</v>
      </c>
      <c r="U16" s="2114"/>
      <c r="V16" s="2103">
        <f t="shared" si="1"/>
        <v>0</v>
      </c>
      <c r="W16" s="2104"/>
      <c r="X16" s="2104"/>
      <c r="Y16" s="2104"/>
      <c r="Z16" s="2104"/>
      <c r="AA16" s="2104"/>
      <c r="AB16" s="2104"/>
      <c r="AC16" s="2104"/>
      <c r="AD16" s="2105"/>
      <c r="AE16" s="2105"/>
      <c r="AF16" s="2105"/>
      <c r="AG16" s="2105"/>
      <c r="AH16" s="2105"/>
      <c r="AI16" s="2105"/>
      <c r="AJ16" s="2106"/>
    </row>
    <row r="17" spans="1:35" ht="26.25" thickBot="1">
      <c r="A17" s="4795"/>
      <c r="B17" s="1631" t="s">
        <v>2578</v>
      </c>
      <c r="C17" s="2177">
        <f>SUMPRODUCT((修正!A2:A5=E2)*(修正!B1:M1=G2)*(修正!B2:M5))</f>
        <v>1.5</v>
      </c>
      <c r="D17" s="2171" t="str">
        <f>IF(OR(G2="八级",G2="九级",G2="十级",G2="十一级",G2="十二级"),"五通一平","七通一平")</f>
        <v>七通一平</v>
      </c>
      <c r="E17" s="2178">
        <f>SUMPRODUCT((修正!B1:M1=G2)*(修正!B15:M15))</f>
        <v>300</v>
      </c>
      <c r="F17" s="2179" t="s">
        <v>2937</v>
      </c>
      <c r="G17" s="1620">
        <f>SUM(H17:O17)</f>
        <v>210</v>
      </c>
      <c r="H17" s="2177">
        <f>SUMPRODUCT((七通一平=H16)*(修正!B1:M1=G2)*(修正!B6:M14))</f>
        <v>65</v>
      </c>
      <c r="I17" s="2177">
        <f>SUMPRODUCT((七通一平=I16)*(修正!B1:M1=G2)*(修正!B6:M14))</f>
        <v>55</v>
      </c>
      <c r="J17" s="2180">
        <f>SUMPRODUCT((七通一平=J16)*(修正!B1:M1=G2)*(修正!B6:M14))</f>
        <v>15</v>
      </c>
      <c r="K17" s="2177">
        <f>SUMPRODUCT((七通一平=K16)*(修正!B1:M1=G2)*(修正!B6:M14))</f>
        <v>25</v>
      </c>
      <c r="L17" s="2177">
        <f>SUMPRODUCT((七通一平=L16)*(修正!B1:M1=G2)*(修正!B6:M14))</f>
        <v>35</v>
      </c>
      <c r="M17" s="2177">
        <f>SUMPRODUCT((七通一平=M16)*(修正!B1:M1=G2)*(修正!B6:M14))</f>
        <v>15</v>
      </c>
      <c r="N17" s="2177">
        <f>SUMPRODUCT((七通一平=N16)*(修正!B1:M1=G2)*(修正!B6:M14))</f>
        <v>0</v>
      </c>
      <c r="O17" s="2181">
        <f>SUMPRODUCT((七通一平=O16)*(修正!B1:M1=G2)*(修正!B6:M14))</f>
        <v>0</v>
      </c>
      <c r="P17" s="3048"/>
      <c r="Q17" s="3048"/>
      <c r="R17" s="1622"/>
      <c r="S17" s="1622"/>
      <c r="T17" s="1622"/>
      <c r="U17" s="1622"/>
      <c r="V17" s="1622"/>
      <c r="W17" s="1622"/>
      <c r="X17" s="1622"/>
      <c r="Y17" s="1622"/>
      <c r="Z17" s="1622"/>
      <c r="AA17" s="1622"/>
      <c r="AB17" s="1622"/>
      <c r="AC17" s="1622"/>
      <c r="AD17" s="1622"/>
      <c r="AE17" s="1622"/>
      <c r="AF17" s="1622"/>
    </row>
    <row r="18" spans="1:35" s="2124" customFormat="1" ht="15.75" thickBot="1">
      <c r="A18" s="2182" t="s">
        <v>2581</v>
      </c>
      <c r="B18" s="1629" t="s">
        <v>2582</v>
      </c>
      <c r="C18" s="2183">
        <f>SUMIF(修正!C18:C39,E3,修正!E18:E39)</f>
        <v>1</v>
      </c>
      <c r="D18" s="2184"/>
      <c r="E18" s="2185"/>
      <c r="F18" s="2185"/>
      <c r="G18" s="2185"/>
      <c r="H18" s="2185"/>
      <c r="I18" s="2185"/>
      <c r="J18" s="2186"/>
      <c r="K18" s="3050"/>
      <c r="L18" s="3050"/>
      <c r="M18" s="3050"/>
      <c r="N18" s="3050"/>
      <c r="O18" s="3048"/>
      <c r="P18" s="3048"/>
      <c r="Q18" s="3048"/>
      <c r="R18" s="3048"/>
      <c r="S18" s="3048"/>
      <c r="T18" s="3048"/>
      <c r="U18" s="3048"/>
      <c r="V18" s="3048"/>
      <c r="W18" s="3048"/>
      <c r="X18" s="1622"/>
      <c r="Y18" s="1622"/>
      <c r="Z18" s="1622"/>
      <c r="AA18" s="1622"/>
      <c r="AB18" s="1622"/>
      <c r="AC18" s="1622"/>
      <c r="AD18" s="1622"/>
      <c r="AE18" s="1622"/>
      <c r="AF18" s="1622"/>
      <c r="AG18" s="1623"/>
      <c r="AH18" s="1623"/>
      <c r="AI18" s="1623"/>
    </row>
    <row r="19" spans="1:35" s="2124" customFormat="1" ht="29.25" thickBot="1">
      <c r="A19" s="2182" t="s">
        <v>2583</v>
      </c>
      <c r="B19" s="1612" t="s">
        <v>2584</v>
      </c>
      <c r="C19" s="2188">
        <f>ROUND(IF(H19="按公示增长率计算",SUMPRODUCT((地价!A3:A34=YEAR(G19)&amp;"-"&amp;ROUNDUP(MONTH(G19)/3,0))*(地价!X2:AB2=E2)*(地价!X3:AB34)),IF(H19="地价指数",M20/M19,(1+I19)^O19)),4)</f>
        <v>1.0996999999999999</v>
      </c>
      <c r="D19" s="2189" t="s">
        <v>2585</v>
      </c>
      <c r="E19" s="2190">
        <v>41640</v>
      </c>
      <c r="F19" s="2189" t="s">
        <v>2586</v>
      </c>
      <c r="G19" s="2191">
        <f>'数据-取费表'!B2</f>
        <v>42402</v>
      </c>
      <c r="H19" s="2192" t="s">
        <v>2718</v>
      </c>
      <c r="I19" s="2193" t="str">
        <f>IF(H19="季度增幅（自定义）",SUMIF(N21:N24,E2,O21:O24),"")</f>
        <v/>
      </c>
      <c r="J19" s="2194"/>
      <c r="K19" s="3050"/>
      <c r="L19" s="2075" t="s">
        <v>2587</v>
      </c>
      <c r="M19" s="2195">
        <f>ROUND(SUMIF(地价!B2:F2,E2,地价!B34:F34),0)</f>
        <v>230</v>
      </c>
      <c r="N19" s="2196" t="s">
        <v>2588</v>
      </c>
      <c r="O19" s="2197">
        <f>ROUNDDOWN(DATEDIF(E19,G19,"M")/3,0)</f>
        <v>8</v>
      </c>
      <c r="P19" s="3048"/>
      <c r="Q19" s="3050"/>
      <c r="R19" s="3048"/>
      <c r="S19" s="3048"/>
      <c r="T19" s="3048"/>
      <c r="U19" s="3048"/>
      <c r="V19" s="3048"/>
      <c r="W19" s="3048"/>
      <c r="X19" s="1622"/>
      <c r="Y19" s="1622"/>
      <c r="Z19" s="1622"/>
      <c r="AA19" s="1622"/>
      <c r="AB19" s="1622"/>
      <c r="AC19" s="1622"/>
      <c r="AD19" s="1622"/>
      <c r="AE19" s="2187"/>
      <c r="AF19" s="2198"/>
      <c r="AG19" s="2199"/>
      <c r="AH19" s="1623"/>
    </row>
    <row r="20" spans="1:35" s="2124" customFormat="1" ht="27.75" thickBot="1">
      <c r="A20" s="1717" t="s">
        <v>2589</v>
      </c>
      <c r="B20" s="1613" t="s">
        <v>2590</v>
      </c>
      <c r="C20" s="2200">
        <f>ROUND(POWER(1+G20,J20-I20)*(POWER(1+G20,I20)-1)/(POWER(1+G20,J20)-1),4)</f>
        <v>0.78680000000000005</v>
      </c>
      <c r="D20" s="2201" t="s">
        <v>2591</v>
      </c>
      <c r="E20" s="3150">
        <f>存贷款利率!E18/100</f>
        <v>4.3499999999999997E-2</v>
      </c>
      <c r="F20" s="2201" t="s">
        <v>2580</v>
      </c>
      <c r="G20" s="3151">
        <f>SUMIF(M26:P26,E2,M28:P28)</f>
        <v>4.8000000000000001E-2</v>
      </c>
      <c r="H20" s="2201" t="s">
        <v>2592</v>
      </c>
      <c r="I20" s="2202">
        <f>'数据-取费表'!B13</f>
        <v>26.5</v>
      </c>
      <c r="J20" s="2203">
        <f>IF(E2="住宅",70,IF(E2="商业",40,50))</f>
        <v>50</v>
      </c>
      <c r="K20" s="3050"/>
      <c r="L20" s="2204" t="s">
        <v>2593</v>
      </c>
      <c r="M20" s="2205">
        <f>ROUND(SUMPRODUCT((地价!A4:A34=YEAR(G19)&amp;"-"&amp;ROUNDUP(MONTH(G19)/3,0))*(地价!B2:F2=E2)*(地价!B4:F34)),0)</f>
        <v>253</v>
      </c>
      <c r="N20" s="2206" t="s">
        <v>2594</v>
      </c>
      <c r="O20" s="2207" t="s">
        <v>2595</v>
      </c>
      <c r="P20" s="2208" t="s">
        <v>2596</v>
      </c>
      <c r="Q20" s="3050"/>
      <c r="R20" s="3048"/>
      <c r="S20" s="3048"/>
      <c r="T20" s="3048"/>
      <c r="U20" s="3048"/>
      <c r="V20" s="3048"/>
      <c r="W20" s="3048"/>
      <c r="X20" s="1622"/>
      <c r="Y20" s="1622"/>
      <c r="Z20" s="1622"/>
      <c r="AA20" s="1622"/>
      <c r="AB20" s="1622"/>
      <c r="AC20" s="1622"/>
      <c r="AD20" s="1622"/>
      <c r="AE20" s="2187"/>
      <c r="AF20" s="2187"/>
    </row>
    <row r="21" spans="1:35" s="2124" customFormat="1" ht="15">
      <c r="A21" s="2209" t="s">
        <v>2597</v>
      </c>
      <c r="B21" s="1614" t="s">
        <v>2888</v>
      </c>
      <c r="C21" s="2210">
        <f>IF(B21="容积率修正",IF(G3&lt;=10,D22,J22),C23)</f>
        <v>0.81020000000000003</v>
      </c>
      <c r="D21" s="2211"/>
      <c r="E21" s="2211"/>
      <c r="F21" s="2211"/>
      <c r="G21" s="2211"/>
      <c r="H21" s="2211"/>
      <c r="I21" s="2211"/>
      <c r="J21" s="2076"/>
      <c r="K21" s="3050"/>
      <c r="L21" s="3050"/>
      <c r="M21" s="3050"/>
      <c r="N21" s="2212" t="s">
        <v>2598</v>
      </c>
      <c r="O21" s="2213"/>
      <c r="P21" s="2214">
        <f>SUMPRODUCT((地价!A3:A34=YEAR(G19)&amp;"-"&amp;ROUNDUP(MONTH(G19)/3,0))*(地价!AD2:AH2=N21)*(地价!AD3:AH34))</f>
        <v>1.38E-2</v>
      </c>
      <c r="Q21" s="3050"/>
      <c r="R21" s="3048"/>
      <c r="S21" s="3048"/>
      <c r="T21" s="3048"/>
      <c r="U21" s="3048"/>
      <c r="V21" s="3048"/>
      <c r="W21" s="3048"/>
      <c r="X21" s="1622"/>
      <c r="Y21" s="1622"/>
      <c r="Z21" s="1622"/>
      <c r="AA21" s="1622"/>
      <c r="AB21" s="1622"/>
      <c r="AC21" s="1622"/>
      <c r="AD21" s="1622"/>
      <c r="AE21" s="2187"/>
      <c r="AF21" s="2187"/>
    </row>
    <row r="22" spans="1:35" s="2124" customFormat="1" ht="14.25">
      <c r="A22" s="2072">
        <v>1</v>
      </c>
      <c r="B22" s="2071" t="s">
        <v>2599</v>
      </c>
      <c r="C22" s="2071" t="s">
        <v>2600</v>
      </c>
      <c r="D22" s="2071">
        <f>IF(E22=G22,F22,IF(G3&lt;=10,ROUND(F22+(H22-F22)*(G3-E22)/(G22-E22),4),"——"))</f>
        <v>0.81020000000000003</v>
      </c>
      <c r="E22" s="2115">
        <f>ROUNDDOWN(G3,1)</f>
        <v>2.5</v>
      </c>
      <c r="F22" s="207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0.81020000000000003</v>
      </c>
      <c r="G22" s="2115">
        <f>ROUNDUP(G3,1)</f>
        <v>2.5</v>
      </c>
      <c r="H22" s="207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0.81020000000000003</v>
      </c>
      <c r="I22" s="2071" t="s">
        <v>104</v>
      </c>
      <c r="J22" s="2215" t="str">
        <f>IF(G3&gt;10,D113,"——")</f>
        <v>——</v>
      </c>
      <c r="K22" s="3050"/>
      <c r="L22" s="3050"/>
      <c r="M22" s="3050"/>
      <c r="N22" s="2212" t="s">
        <v>2601</v>
      </c>
      <c r="O22" s="2213"/>
      <c r="P22" s="2214">
        <f>SUMPRODUCT((地价!A3:A34=YEAR(G19)&amp;"-"&amp;ROUNDUP(MONTH(G19)/3,0))*(地价!AD2:AH2=N22)*(地价!AD3:AH34))</f>
        <v>1.38E-2</v>
      </c>
      <c r="Q22" s="3050"/>
      <c r="R22" s="3048"/>
      <c r="S22" s="3048"/>
      <c r="T22" s="3048"/>
      <c r="U22" s="3048"/>
      <c r="V22" s="3048"/>
      <c r="W22" s="3048"/>
      <c r="X22" s="1622"/>
      <c r="Y22" s="1622"/>
      <c r="Z22" s="1622"/>
      <c r="AA22" s="1622"/>
      <c r="AB22" s="1622"/>
      <c r="AC22" s="1622"/>
      <c r="AD22" s="1622"/>
      <c r="AE22" s="2187"/>
      <c r="AF22" s="2187"/>
    </row>
    <row r="23" spans="1:35" ht="15">
      <c r="A23" s="2072">
        <v>2</v>
      </c>
      <c r="B23" s="2071" t="s">
        <v>2602</v>
      </c>
      <c r="C23" s="2216">
        <f>ROUND(IF(G3&gt;1,IF(I3&lt;7,SUMPRODUCT((B93:B98=I3)*(C92:N92=G2)*(C93:N98)),SUMIF(C92:N92,G2,C100:N100)),IF(I3&lt;7,SUMPRODUCT((B102:B107=I3)*(C92:N92=G2)*(C102:N107)),SUMIF(C92:N92,G2,C109:N109))),4)</f>
        <v>0</v>
      </c>
      <c r="D23" s="2168"/>
      <c r="E23" s="2168"/>
      <c r="F23" s="2217"/>
      <c r="G23" s="2218"/>
      <c r="H23" s="1619"/>
      <c r="I23" s="2071"/>
      <c r="J23" s="2215"/>
      <c r="K23" s="3048"/>
      <c r="L23" s="3048"/>
      <c r="M23" s="3048"/>
      <c r="N23" s="2212" t="s">
        <v>2603</v>
      </c>
      <c r="O23" s="2213"/>
      <c r="P23" s="2214">
        <f>SUMPRODUCT((地价!A3:A34=YEAR(G19)&amp;"-"&amp;ROUNDUP(MONTH(G19)/3,0))*(地价!AD2:AH2=N23)*(地价!AD3:AH34))</f>
        <v>1.7899999999999999E-2</v>
      </c>
      <c r="Q23" s="3048"/>
      <c r="R23" s="3048"/>
      <c r="S23" s="3048"/>
      <c r="T23" s="3048"/>
      <c r="U23" s="3048"/>
      <c r="V23" s="3048"/>
      <c r="W23" s="3048"/>
      <c r="X23" s="1622"/>
      <c r="Y23" s="1622"/>
      <c r="Z23" s="1622"/>
      <c r="AA23" s="1622"/>
      <c r="AB23" s="1622"/>
      <c r="AC23" s="1622"/>
      <c r="AD23" s="1622"/>
      <c r="AE23" s="1622"/>
      <c r="AF23" s="1622"/>
    </row>
    <row r="24" spans="1:35" s="2124" customFormat="1" ht="15.75" thickBot="1">
      <c r="A24" s="2219" t="s">
        <v>2604</v>
      </c>
      <c r="B24" s="1616" t="s">
        <v>2605</v>
      </c>
      <c r="C24" s="2220">
        <f>SUMIF(A46:A88,E2,B46:B88)</f>
        <v>1.071</v>
      </c>
      <c r="D24" s="2221"/>
      <c r="E24" s="2222"/>
      <c r="F24" s="2222"/>
      <c r="G24" s="2222"/>
      <c r="H24" s="2222"/>
      <c r="I24" s="2222"/>
      <c r="J24" s="2223"/>
      <c r="K24" s="3050"/>
      <c r="L24" s="3050"/>
      <c r="M24" s="3050"/>
      <c r="N24" s="2224" t="s">
        <v>2606</v>
      </c>
      <c r="O24" s="2225"/>
      <c r="P24" s="2226">
        <f>SUMPRODUCT((地价!A3:A34=YEAR(G19)&amp;"-"&amp;ROUNDUP(MONTH(G19)/3,0))*(地价!AD2:AH2=N24)*(地价!AD3:AH34))</f>
        <v>1.21E-2</v>
      </c>
      <c r="Q24" s="3050"/>
      <c r="R24" s="3048"/>
      <c r="S24" s="3048"/>
      <c r="T24" s="3048"/>
      <c r="U24" s="3048"/>
      <c r="V24" s="3048"/>
      <c r="W24" s="3048"/>
      <c r="X24" s="1622"/>
      <c r="Y24" s="1622"/>
      <c r="Z24" s="1622"/>
      <c r="AA24" s="1622"/>
      <c r="AB24" s="1622"/>
      <c r="AC24" s="1622"/>
      <c r="AD24" s="1622"/>
      <c r="AE24" s="2187"/>
      <c r="AF24" s="2187"/>
    </row>
    <row r="25" spans="1:35" ht="15" thickBot="1">
      <c r="A25" s="1717" t="s">
        <v>2607</v>
      </c>
      <c r="B25" s="1617" t="s">
        <v>2608</v>
      </c>
      <c r="C25" s="2227"/>
      <c r="D25" s="2133"/>
      <c r="E25" s="2133"/>
      <c r="F25" s="2228"/>
      <c r="G25" s="2133"/>
      <c r="H25" s="2133"/>
      <c r="I25" s="2133"/>
      <c r="J25" s="2134"/>
      <c r="K25" s="3048"/>
      <c r="L25" s="3048"/>
      <c r="M25" s="3048"/>
      <c r="N25" s="3051" t="s">
        <v>2609</v>
      </c>
      <c r="O25" s="3052"/>
      <c r="P25" s="3053">
        <f>SUMPRODUCT((地价!A3:A34=YEAR(G19)&amp;"-"&amp;ROUNDUP(MONTH(G19)/3,0))*(地价!AD2:AH2=N25)*(地价!AD3:AH34))</f>
        <v>1.67E-2</v>
      </c>
      <c r="Q25" s="3048"/>
      <c r="R25" s="3048"/>
      <c r="S25" s="3048"/>
      <c r="T25" s="3048"/>
      <c r="U25" s="3048"/>
      <c r="V25" s="3048"/>
      <c r="W25" s="3048"/>
      <c r="X25" s="1622"/>
      <c r="Y25" s="1622"/>
      <c r="Z25" s="1622"/>
      <c r="AA25" s="1622"/>
      <c r="AB25" s="1622"/>
      <c r="AC25" s="1622"/>
      <c r="AD25" s="1622"/>
      <c r="AE25" s="1622"/>
      <c r="AF25" s="1622"/>
    </row>
    <row r="26" spans="1:35" ht="15">
      <c r="A26" s="1702"/>
      <c r="B26" s="2071" t="s">
        <v>2610</v>
      </c>
      <c r="C26" s="2888">
        <f>IF(B21="容积率修正",E29+SUM(E33:E39),SUM(V2:V16)+SUM(E33:E39))</f>
        <v>3072779</v>
      </c>
      <c r="D26" s="2229"/>
      <c r="E26" s="2168"/>
      <c r="F26" s="1478"/>
      <c r="G26" s="2168"/>
      <c r="H26" s="2168"/>
      <c r="I26" s="2168"/>
      <c r="J26" s="2230"/>
      <c r="K26" s="3048"/>
      <c r="L26" s="3054" t="s">
        <v>2570</v>
      </c>
      <c r="M26" s="2131" t="s">
        <v>2571</v>
      </c>
      <c r="N26" s="2131" t="s">
        <v>2572</v>
      </c>
      <c r="O26" s="2131" t="s">
        <v>2573</v>
      </c>
      <c r="P26" s="3055" t="s">
        <v>2574</v>
      </c>
      <c r="Q26" s="3048"/>
      <c r="R26" s="3048"/>
      <c r="S26" s="3048"/>
      <c r="T26" s="3048"/>
      <c r="U26" s="3048"/>
      <c r="V26" s="3048"/>
      <c r="W26" s="3048"/>
      <c r="X26" s="1622"/>
      <c r="Y26" s="1622"/>
      <c r="Z26" s="1622"/>
      <c r="AA26" s="1622"/>
      <c r="AB26" s="1622"/>
      <c r="AC26" s="1622"/>
      <c r="AD26" s="1622"/>
      <c r="AE26" s="1622"/>
      <c r="AF26" s="1622"/>
    </row>
    <row r="27" spans="1:35" ht="15.75" thickBot="1">
      <c r="A27" s="1702"/>
      <c r="B27" s="1618" t="s">
        <v>2611</v>
      </c>
      <c r="C27" s="2231">
        <f>E30+SUM(I33:I39)</f>
        <v>93609</v>
      </c>
      <c r="D27" s="2180"/>
      <c r="E27" s="2232"/>
      <c r="F27" s="2233"/>
      <c r="G27" s="2232"/>
      <c r="H27" s="2232"/>
      <c r="I27" s="2232"/>
      <c r="J27" s="2234"/>
      <c r="K27" s="3048"/>
      <c r="L27" s="2235" t="s">
        <v>2577</v>
      </c>
      <c r="M27" s="2144">
        <v>0.25</v>
      </c>
      <c r="N27" s="2144">
        <v>0.2</v>
      </c>
      <c r="O27" s="2144">
        <v>0.15</v>
      </c>
      <c r="P27" s="2236">
        <v>0.1</v>
      </c>
      <c r="Q27" s="3048"/>
      <c r="R27" s="3048"/>
      <c r="S27" s="3048"/>
      <c r="T27" s="3048"/>
      <c r="U27" s="3048"/>
      <c r="V27" s="3048"/>
      <c r="W27" s="3048"/>
      <c r="X27" s="1622"/>
      <c r="Y27" s="1622"/>
      <c r="Z27" s="1622"/>
      <c r="AA27" s="1622"/>
      <c r="AB27" s="1622"/>
      <c r="AC27" s="1622"/>
      <c r="AD27" s="1622"/>
      <c r="AE27" s="1622"/>
      <c r="AF27" s="1622"/>
    </row>
    <row r="28" spans="1:35" ht="15.75" thickBot="1">
      <c r="A28" s="1717"/>
      <c r="B28" s="2237" t="s">
        <v>2612</v>
      </c>
      <c r="C28" s="2238" t="s">
        <v>2613</v>
      </c>
      <c r="D28" s="2238" t="s">
        <v>2614</v>
      </c>
      <c r="E28" s="1617" t="s">
        <v>2615</v>
      </c>
      <c r="F28" s="2239"/>
      <c r="G28" s="2155"/>
      <c r="H28" s="2155"/>
      <c r="I28" s="2155"/>
      <c r="J28" s="2156"/>
      <c r="K28" s="3048"/>
      <c r="L28" s="2240" t="s">
        <v>2580</v>
      </c>
      <c r="M28" s="2241">
        <f>ROUND($E$20*(1+M27),3)</f>
        <v>5.3999999999999999E-2</v>
      </c>
      <c r="N28" s="2241">
        <f>ROUND($E$20*(1+N27),3)</f>
        <v>5.1999999999999998E-2</v>
      </c>
      <c r="O28" s="2241">
        <f>ROUND($E$20*(1+O27),3)</f>
        <v>0.05</v>
      </c>
      <c r="P28" s="2159">
        <f>ROUND($E$20*(1+P27),3)</f>
        <v>4.8000000000000001E-2</v>
      </c>
      <c r="Q28" s="3048"/>
      <c r="R28" s="3048"/>
      <c r="S28" s="3048"/>
      <c r="T28" s="3048"/>
      <c r="U28" s="3048"/>
      <c r="V28" s="3048"/>
      <c r="W28" s="3048"/>
      <c r="X28" s="1622"/>
      <c r="Y28" s="1622"/>
      <c r="Z28" s="1622"/>
      <c r="AA28" s="1622"/>
      <c r="AB28" s="1622"/>
      <c r="AC28" s="1622"/>
      <c r="AD28" s="1622"/>
      <c r="AE28" s="1622"/>
      <c r="AF28" s="1622"/>
    </row>
    <row r="29" spans="1:35">
      <c r="A29" s="2242"/>
      <c r="B29" s="1619" t="s">
        <v>2616</v>
      </c>
      <c r="C29" s="54">
        <f>ROUND(C5*C18*C19*C20*C21*C24,0)</f>
        <v>2252</v>
      </c>
      <c r="D29" s="2243">
        <f>项目基本情况!C12</f>
        <v>1088.48</v>
      </c>
      <c r="E29" s="2030">
        <f>ROUND(C29*D29,0)</f>
        <v>2451257</v>
      </c>
      <c r="F29" s="2244" t="s">
        <v>2617</v>
      </c>
      <c r="G29" s="2245"/>
      <c r="H29" s="2245"/>
      <c r="I29" s="2245"/>
      <c r="J29" s="2246"/>
      <c r="K29" s="3048"/>
      <c r="L29" s="3048"/>
      <c r="M29" s="3048"/>
      <c r="N29" s="3048"/>
      <c r="O29" s="3048"/>
      <c r="P29" s="3048"/>
      <c r="Q29" s="3048"/>
      <c r="R29" s="3048"/>
      <c r="S29" s="3048"/>
      <c r="T29" s="3048"/>
      <c r="U29" s="3048"/>
      <c r="V29" s="3048"/>
      <c r="W29" s="3048"/>
      <c r="X29" s="1622"/>
      <c r="Y29" s="1622"/>
      <c r="Z29" s="1622"/>
      <c r="AA29" s="1622"/>
      <c r="AB29" s="1622"/>
      <c r="AC29" s="1622"/>
      <c r="AD29" s="1622"/>
      <c r="AE29" s="1622"/>
      <c r="AF29" s="1622"/>
    </row>
    <row r="30" spans="1:35" ht="25.5" thickBot="1">
      <c r="A30" s="2247"/>
      <c r="B30" s="1620" t="s">
        <v>2618</v>
      </c>
      <c r="C30" s="2171">
        <f>ROUND(IF(E2="工业",C29*M39,C29*M38),0)</f>
        <v>338</v>
      </c>
      <c r="D30" s="2248"/>
      <c r="E30" s="2030">
        <f>ROUND(C30*D30,0)</f>
        <v>0</v>
      </c>
      <c r="F30" s="2249" t="s">
        <v>2619</v>
      </c>
      <c r="G30" s="2250"/>
      <c r="H30" s="2250"/>
      <c r="I30" s="2250"/>
      <c r="J30" s="2251"/>
      <c r="K30" s="3048"/>
      <c r="L30" s="3048"/>
      <c r="M30" s="3048"/>
      <c r="N30" s="3048"/>
      <c r="O30" s="3048"/>
      <c r="P30" s="3048"/>
      <c r="Q30" s="3048"/>
      <c r="R30" s="3048"/>
      <c r="S30" s="3048"/>
      <c r="T30" s="3048"/>
      <c r="U30" s="3048"/>
      <c r="V30" s="3048"/>
      <c r="W30" s="3048"/>
      <c r="X30" s="1622"/>
      <c r="Y30" s="1622"/>
      <c r="Z30" s="1622"/>
      <c r="AA30" s="1622"/>
      <c r="AB30" s="1622"/>
      <c r="AC30" s="1622"/>
      <c r="AD30" s="1622"/>
      <c r="AE30" s="1622"/>
      <c r="AF30" s="1622"/>
    </row>
    <row r="31" spans="1:35">
      <c r="A31" s="2252"/>
      <c r="B31" s="1621" t="s">
        <v>2620</v>
      </c>
      <c r="C31" s="2253" t="s">
        <v>2621</v>
      </c>
      <c r="D31" s="2155"/>
      <c r="E31" s="2253"/>
      <c r="F31" s="2253"/>
      <c r="G31" s="2154" t="s">
        <v>2622</v>
      </c>
      <c r="H31" s="2155"/>
      <c r="I31" s="2254"/>
      <c r="J31" s="2156"/>
      <c r="K31" s="3048"/>
      <c r="L31" s="3048"/>
      <c r="M31" s="3048"/>
      <c r="N31" s="3048"/>
      <c r="O31" s="3048"/>
      <c r="P31" s="3048"/>
      <c r="Q31" s="3048"/>
      <c r="R31" s="3048"/>
      <c r="S31" s="3048"/>
      <c r="T31" s="3048"/>
      <c r="U31" s="3048"/>
      <c r="V31" s="3048"/>
      <c r="W31" s="3048"/>
      <c r="X31" s="1622"/>
      <c r="Y31" s="1622"/>
      <c r="Z31" s="1622"/>
      <c r="AA31" s="1622"/>
      <c r="AB31" s="1622"/>
      <c r="AC31" s="1622"/>
      <c r="AD31" s="1622"/>
      <c r="AE31" s="1622"/>
      <c r="AF31" s="1622"/>
    </row>
    <row r="32" spans="1:35" ht="24">
      <c r="A32" s="2242"/>
      <c r="B32" s="2255"/>
      <c r="C32" s="1810" t="s">
        <v>2613</v>
      </c>
      <c r="D32" s="1807" t="s">
        <v>2614</v>
      </c>
      <c r="E32" s="1807" t="s">
        <v>2615</v>
      </c>
      <c r="F32" s="50" t="s">
        <v>2623</v>
      </c>
      <c r="G32" s="2216" t="s">
        <v>2613</v>
      </c>
      <c r="H32" s="2216" t="s">
        <v>2614</v>
      </c>
      <c r="I32" s="2216" t="s">
        <v>2615</v>
      </c>
      <c r="J32" s="2068"/>
      <c r="K32" s="3048"/>
      <c r="L32" s="3048"/>
      <c r="M32" s="3048"/>
      <c r="N32" s="3048"/>
      <c r="O32" s="3048"/>
      <c r="P32" s="3048"/>
      <c r="Q32" s="3048"/>
      <c r="R32" s="3048"/>
      <c r="S32" s="3048"/>
      <c r="T32" s="3048"/>
      <c r="U32" s="3048"/>
      <c r="V32" s="3048"/>
      <c r="W32" s="3048"/>
      <c r="X32" s="1622"/>
      <c r="Y32" s="1622"/>
      <c r="Z32" s="1622"/>
      <c r="AA32" s="1622"/>
      <c r="AB32" s="1622"/>
      <c r="AC32" s="1622"/>
      <c r="AD32" s="1622"/>
      <c r="AE32" s="1622"/>
      <c r="AF32" s="1622"/>
    </row>
    <row r="33" spans="1:33">
      <c r="A33" s="4804" t="s">
        <v>2624</v>
      </c>
      <c r="B33" s="2256" t="s">
        <v>2625</v>
      </c>
      <c r="C33" s="54">
        <f>ROUND(D5*C19*C20*C24*F33,0)</f>
        <v>1946</v>
      </c>
      <c r="D33" s="2243"/>
      <c r="E33" s="50">
        <f t="shared" ref="E33:E39" si="6">ROUND(C33*D33,0)</f>
        <v>0</v>
      </c>
      <c r="F33" s="50">
        <f>SUMIF(修正!A45:A56,G2,修正!B45:B56)</f>
        <v>0.7</v>
      </c>
      <c r="G33" s="50">
        <f t="shared" ref="G33" si="7">ROUND(IF(E2="工业",C33*$M$39,C33*$M$38),0)</f>
        <v>292</v>
      </c>
      <c r="H33" s="50">
        <f>D33</f>
        <v>0</v>
      </c>
      <c r="I33" s="50">
        <f t="shared" ref="I33:I39" si="8">ROUND(G33*H33,0)</f>
        <v>0</v>
      </c>
      <c r="J33" s="2230"/>
      <c r="K33" s="3048"/>
      <c r="L33" s="3048"/>
      <c r="M33" s="3048"/>
      <c r="N33" s="3048"/>
      <c r="O33" s="3048"/>
      <c r="P33" s="3048"/>
      <c r="Q33" s="3048"/>
      <c r="R33" s="3048"/>
      <c r="S33" s="3048"/>
      <c r="T33" s="3048"/>
      <c r="U33" s="3048"/>
      <c r="V33" s="3048"/>
      <c r="W33" s="3048"/>
      <c r="X33" s="1622"/>
      <c r="Y33" s="1622"/>
      <c r="Z33" s="1622"/>
      <c r="AA33" s="1622"/>
      <c r="AB33" s="1622"/>
      <c r="AC33" s="1622"/>
      <c r="AD33" s="1622"/>
      <c r="AE33" s="1622"/>
      <c r="AF33" s="1622"/>
    </row>
    <row r="34" spans="1:33">
      <c r="A34" s="4805"/>
      <c r="B34" s="2161" t="s">
        <v>2626</v>
      </c>
      <c r="C34" s="54">
        <f>ROUND(D5*C19*C20*C24*F34,0)</f>
        <v>1112</v>
      </c>
      <c r="D34" s="2243"/>
      <c r="E34" s="50">
        <f t="shared" si="6"/>
        <v>0</v>
      </c>
      <c r="F34" s="50">
        <f>SUMIF(修正!A45:A56,G2,修正!C45:C56)</f>
        <v>0.4</v>
      </c>
      <c r="G34" s="50">
        <f>ROUND(IF(E2="工业",C34*$M$39,C34*$M$38),0)</f>
        <v>167</v>
      </c>
      <c r="H34" s="50">
        <f t="shared" ref="H34:H39" si="9">D34</f>
        <v>0</v>
      </c>
      <c r="I34" s="50">
        <f t="shared" si="8"/>
        <v>0</v>
      </c>
      <c r="J34" s="2230"/>
      <c r="K34" s="3048"/>
      <c r="L34" s="3048"/>
      <c r="M34" s="3048"/>
      <c r="N34" s="3048"/>
      <c r="O34" s="3048"/>
      <c r="P34" s="3048"/>
      <c r="Q34" s="3048"/>
      <c r="R34" s="3048"/>
      <c r="S34" s="3048"/>
      <c r="T34" s="3048"/>
      <c r="U34" s="3048"/>
      <c r="V34" s="3048"/>
      <c r="W34" s="3048"/>
      <c r="X34" s="1622"/>
      <c r="Y34" s="1622"/>
      <c r="Z34" s="1622"/>
      <c r="AA34" s="1622"/>
      <c r="AB34" s="1622"/>
      <c r="AC34" s="1622"/>
      <c r="AD34" s="1622"/>
      <c r="AE34" s="1622"/>
      <c r="AF34" s="1622"/>
    </row>
    <row r="35" spans="1:33">
      <c r="A35" s="4805"/>
      <c r="B35" s="2161" t="s">
        <v>2627</v>
      </c>
      <c r="C35" s="54">
        <f>ROUND(D5*C19*C20*C24*F35,0)</f>
        <v>778</v>
      </c>
      <c r="D35" s="2243"/>
      <c r="E35" s="50">
        <f t="shared" si="6"/>
        <v>0</v>
      </c>
      <c r="F35" s="50">
        <f>SUMIF(修正!A45:A56,G2,修正!D45:D56)</f>
        <v>0.28000000000000003</v>
      </c>
      <c r="G35" s="50">
        <f>ROUND(IF(E2="工业",C35*$M$39,C35*$M$38),0)</f>
        <v>117</v>
      </c>
      <c r="H35" s="50">
        <f t="shared" si="9"/>
        <v>0</v>
      </c>
      <c r="I35" s="50">
        <f t="shared" si="8"/>
        <v>0</v>
      </c>
      <c r="J35" s="2230"/>
      <c r="K35" s="3048"/>
      <c r="L35" s="3048"/>
      <c r="M35" s="3048"/>
      <c r="N35" s="3048"/>
      <c r="O35" s="3048"/>
      <c r="P35" s="3048"/>
      <c r="Q35" s="3048"/>
      <c r="R35" s="3048"/>
      <c r="S35" s="3048"/>
      <c r="T35" s="3048"/>
      <c r="U35" s="3048"/>
      <c r="V35" s="3048"/>
      <c r="W35" s="3048"/>
      <c r="X35" s="1622"/>
      <c r="Y35" s="1622"/>
      <c r="Z35" s="1622"/>
      <c r="AA35" s="1622"/>
      <c r="AB35" s="1622"/>
      <c r="AC35" s="1622"/>
      <c r="AD35" s="1622"/>
      <c r="AE35" s="1622"/>
      <c r="AF35" s="1622"/>
    </row>
    <row r="36" spans="1:33" ht="13.5" thickBot="1">
      <c r="A36" s="4806"/>
      <c r="B36" s="2161" t="s">
        <v>2628</v>
      </c>
      <c r="C36" s="54">
        <f>ROUND(D5*C19*C20*C24*F36,0)</f>
        <v>695</v>
      </c>
      <c r="D36" s="2243"/>
      <c r="E36" s="50">
        <f t="shared" si="6"/>
        <v>0</v>
      </c>
      <c r="F36" s="50">
        <f>SUMIF(修正!A45:A56,G2,修正!E45:E56)</f>
        <v>0.25</v>
      </c>
      <c r="G36" s="50">
        <f>ROUND(IF(E2="工业",C36*$M$39,C36*$M$38),0)</f>
        <v>104</v>
      </c>
      <c r="H36" s="50">
        <f t="shared" si="9"/>
        <v>0</v>
      </c>
      <c r="I36" s="50">
        <f t="shared" si="8"/>
        <v>0</v>
      </c>
      <c r="J36" s="2230"/>
      <c r="K36" s="3048"/>
      <c r="L36" s="3048"/>
      <c r="M36" s="3048"/>
      <c r="N36" s="3048"/>
      <c r="O36" s="3048"/>
      <c r="P36" s="3048"/>
      <c r="Q36" s="3048"/>
      <c r="R36" s="3048"/>
      <c r="S36" s="3048"/>
      <c r="T36" s="3048"/>
      <c r="U36" s="3048"/>
      <c r="V36" s="3048"/>
      <c r="W36" s="3048"/>
      <c r="X36" s="1622"/>
      <c r="Y36" s="1622"/>
      <c r="Z36" s="1622"/>
      <c r="AA36" s="1622"/>
      <c r="AB36" s="1622"/>
      <c r="AC36" s="1622"/>
      <c r="AD36" s="1622"/>
      <c r="AE36" s="1622"/>
      <c r="AF36" s="1622"/>
    </row>
    <row r="37" spans="1:33">
      <c r="A37" s="2257"/>
      <c r="B37" s="2161" t="s">
        <v>2629</v>
      </c>
      <c r="C37" s="50">
        <f>ROUND(D5*C19*C20*C24*F37,0)</f>
        <v>695</v>
      </c>
      <c r="D37" s="2243"/>
      <c r="E37" s="50">
        <f t="shared" si="6"/>
        <v>0</v>
      </c>
      <c r="F37" s="54">
        <f>SUMIF(修正!A45:A56,G2,修正!F45:F56)</f>
        <v>0.25</v>
      </c>
      <c r="G37" s="50">
        <f>ROUND(IF(E2="工业",C37*$M$39,C37*$M$38),0)</f>
        <v>104</v>
      </c>
      <c r="H37" s="50">
        <f t="shared" si="9"/>
        <v>0</v>
      </c>
      <c r="I37" s="50">
        <f t="shared" si="8"/>
        <v>0</v>
      </c>
      <c r="J37" s="2230"/>
      <c r="K37" s="3048"/>
      <c r="L37" s="2258" t="s">
        <v>2630</v>
      </c>
      <c r="M37" s="2134"/>
      <c r="N37" s="3048"/>
      <c r="O37" s="3048"/>
      <c r="P37" s="3048"/>
      <c r="Q37" s="3048"/>
      <c r="R37" s="3048"/>
      <c r="S37" s="3048"/>
      <c r="T37" s="3048"/>
      <c r="U37" s="3048"/>
      <c r="V37" s="3048"/>
      <c r="W37" s="3048"/>
      <c r="X37" s="1622"/>
      <c r="Y37" s="1622"/>
      <c r="Z37" s="1622"/>
      <c r="AA37" s="1622"/>
      <c r="AB37" s="1622"/>
      <c r="AC37" s="1622"/>
      <c r="AD37" s="1622"/>
      <c r="AE37" s="1622"/>
      <c r="AF37" s="1622"/>
    </row>
    <row r="38" spans="1:33">
      <c r="A38" s="2257"/>
      <c r="B38" s="2161" t="s">
        <v>2631</v>
      </c>
      <c r="C38" s="50">
        <f>ROUND(D5*C19*C41*C24*F38,0)</f>
        <v>714</v>
      </c>
      <c r="D38" s="2243"/>
      <c r="E38" s="50">
        <f t="shared" si="6"/>
        <v>0</v>
      </c>
      <c r="F38" s="54">
        <f>SUMIF(修正!A45:A56,G2,修正!G45:G56)</f>
        <v>0.25</v>
      </c>
      <c r="G38" s="50">
        <f>ROUND(IF(E2="工业",C38*$M$39,C38*$M$38),0)</f>
        <v>107</v>
      </c>
      <c r="H38" s="50">
        <f t="shared" si="9"/>
        <v>0</v>
      </c>
      <c r="I38" s="50">
        <f t="shared" si="8"/>
        <v>0</v>
      </c>
      <c r="J38" s="2230"/>
      <c r="K38" s="3048"/>
      <c r="L38" s="2259" t="s">
        <v>2632</v>
      </c>
      <c r="M38" s="2260">
        <v>0.25</v>
      </c>
      <c r="N38" s="3048"/>
      <c r="O38" s="3048"/>
      <c r="P38" s="3048"/>
      <c r="Q38" s="3048"/>
      <c r="R38" s="3048"/>
      <c r="S38" s="3048"/>
      <c r="T38" s="3048"/>
      <c r="U38" s="3048"/>
      <c r="V38" s="3048"/>
      <c r="W38" s="3048"/>
      <c r="X38" s="1622"/>
      <c r="Y38" s="1622"/>
      <c r="Z38" s="1622"/>
      <c r="AA38" s="1622"/>
      <c r="AB38" s="1622"/>
      <c r="AC38" s="1622"/>
      <c r="AD38" s="1622"/>
      <c r="AE38" s="1622"/>
      <c r="AF38" s="1622"/>
    </row>
    <row r="39" spans="1:33" ht="13.5" thickBot="1">
      <c r="A39" s="2247"/>
      <c r="B39" s="2261" t="s">
        <v>2633</v>
      </c>
      <c r="C39" s="2171">
        <f>ROUND(D5*C19*C41*C24*F39,0)</f>
        <v>571</v>
      </c>
      <c r="D39" s="2248">
        <f>D29</f>
        <v>1088.48</v>
      </c>
      <c r="E39" s="2171">
        <f t="shared" si="6"/>
        <v>621522</v>
      </c>
      <c r="F39" s="56">
        <f>SUMIF(修正!A45:A56,G2,修正!H45:H56)</f>
        <v>0.2</v>
      </c>
      <c r="G39" s="2171">
        <f>ROUND(IF(E2="工业",C39*$M$39,C39*$M$38),0)</f>
        <v>86</v>
      </c>
      <c r="H39" s="2171">
        <f t="shared" si="9"/>
        <v>1088.48</v>
      </c>
      <c r="I39" s="2171">
        <f t="shared" si="8"/>
        <v>93609</v>
      </c>
      <c r="J39" s="2234"/>
      <c r="K39" s="3048"/>
      <c r="L39" s="2262" t="s">
        <v>2574</v>
      </c>
      <c r="M39" s="2263">
        <v>0.15</v>
      </c>
      <c r="N39" s="3048"/>
      <c r="O39" s="3048"/>
      <c r="P39" s="3048"/>
      <c r="Q39" s="3048"/>
      <c r="R39" s="3048"/>
      <c r="S39" s="3048"/>
      <c r="T39" s="3048"/>
      <c r="U39" s="3048"/>
      <c r="V39" s="3048"/>
      <c r="W39" s="3048"/>
      <c r="X39" s="1622"/>
      <c r="Y39" s="1622"/>
      <c r="Z39" s="1622"/>
      <c r="AA39" s="1622"/>
      <c r="AB39" s="1622"/>
      <c r="AC39" s="1622"/>
      <c r="AD39" s="1622"/>
      <c r="AE39" s="1622"/>
      <c r="AF39" s="1622"/>
    </row>
    <row r="40" spans="1:33" s="2264" customFormat="1">
      <c r="A40" s="1622"/>
      <c r="B40" s="1622"/>
      <c r="C40" s="1622"/>
      <c r="D40" s="1622"/>
      <c r="E40" s="1622"/>
      <c r="F40" s="1622"/>
      <c r="G40" s="1622"/>
      <c r="H40" s="1622"/>
      <c r="I40" s="1622"/>
      <c r="J40" s="1622"/>
      <c r="K40" s="3048"/>
      <c r="L40" s="3048"/>
      <c r="M40" s="3048"/>
      <c r="N40" s="3048"/>
      <c r="O40" s="3048"/>
      <c r="P40" s="3048"/>
      <c r="Q40" s="3048"/>
      <c r="R40" s="3048"/>
      <c r="S40" s="3048"/>
      <c r="T40" s="3048"/>
      <c r="U40" s="3048"/>
      <c r="V40" s="3048"/>
      <c r="W40" s="3048"/>
      <c r="X40" s="1622"/>
      <c r="Y40" s="1622"/>
      <c r="Z40" s="1622"/>
      <c r="AA40" s="1622"/>
      <c r="AB40" s="1622"/>
      <c r="AC40" s="1622"/>
      <c r="AD40" s="1622"/>
      <c r="AE40" s="1622"/>
      <c r="AF40" s="1622"/>
    </row>
    <row r="41" spans="1:33" s="2264" customFormat="1">
      <c r="A41" s="1622"/>
      <c r="B41" s="2265" t="s">
        <v>2713</v>
      </c>
      <c r="C41" s="50">
        <f>ROUND(POWER(1+E41,H41-G41)*(POWER(1+E41,G41)-1)/(POWER(1+E41,H41)-1),4)</f>
        <v>0.8085</v>
      </c>
      <c r="D41" s="50" t="s">
        <v>2711</v>
      </c>
      <c r="E41" s="2266">
        <f>G20</f>
        <v>4.8000000000000001E-2</v>
      </c>
      <c r="F41" s="50" t="s">
        <v>2712</v>
      </c>
      <c r="G41" s="2267">
        <v>28</v>
      </c>
      <c r="H41" s="50">
        <v>50</v>
      </c>
      <c r="I41" s="1622"/>
      <c r="J41" s="1622"/>
      <c r="K41" s="3048"/>
      <c r="L41" s="3048"/>
      <c r="M41" s="3048"/>
      <c r="N41" s="3048"/>
      <c r="O41" s="3048"/>
      <c r="P41" s="3048"/>
      <c r="Q41" s="3048"/>
      <c r="R41" s="3048"/>
      <c r="S41" s="3048"/>
      <c r="T41" s="3048"/>
      <c r="U41" s="3048"/>
      <c r="V41" s="3048"/>
      <c r="W41" s="3048"/>
      <c r="X41" s="1622"/>
      <c r="Y41" s="1622"/>
      <c r="Z41" s="1622"/>
      <c r="AA41" s="1622"/>
      <c r="AB41" s="1622"/>
      <c r="AC41" s="1622"/>
      <c r="AD41" s="1622"/>
      <c r="AE41" s="1622"/>
      <c r="AF41" s="1622"/>
    </row>
    <row r="42" spans="1:33" s="2264" customFormat="1">
      <c r="A42" s="3048"/>
      <c r="B42" s="3048"/>
      <c r="C42" s="3048"/>
      <c r="D42" s="3048"/>
      <c r="E42" s="3048"/>
      <c r="F42" s="3048"/>
      <c r="G42" s="3048"/>
      <c r="H42" s="3048"/>
      <c r="I42" s="3048"/>
      <c r="J42" s="3048"/>
      <c r="K42" s="3048"/>
      <c r="L42" s="3048"/>
      <c r="M42" s="3048"/>
      <c r="N42" s="3048"/>
      <c r="O42" s="3048"/>
      <c r="P42" s="3048"/>
      <c r="Q42" s="3048"/>
      <c r="R42" s="3048"/>
      <c r="S42" s="3048"/>
      <c r="T42" s="3048"/>
      <c r="U42" s="3048"/>
      <c r="V42" s="3048"/>
      <c r="W42" s="3048"/>
      <c r="X42" s="1622"/>
      <c r="Y42" s="1622"/>
      <c r="Z42" s="1622"/>
      <c r="AA42" s="1622"/>
      <c r="AB42" s="1622"/>
      <c r="AC42" s="1622"/>
      <c r="AD42" s="1622"/>
      <c r="AE42" s="1622"/>
      <c r="AF42" s="1622"/>
    </row>
    <row r="43" spans="1:33" s="2264" customFormat="1">
      <c r="A43" s="3048"/>
      <c r="B43" s="3048"/>
      <c r="C43" s="3048"/>
      <c r="D43" s="3048"/>
      <c r="E43" s="3048"/>
      <c r="F43" s="3048"/>
      <c r="G43" s="3048"/>
      <c r="H43" s="3048"/>
      <c r="I43" s="3048"/>
      <c r="J43" s="3048"/>
      <c r="K43" s="3048"/>
      <c r="L43" s="3048"/>
      <c r="M43" s="3048"/>
      <c r="N43" s="3048"/>
      <c r="O43" s="3048"/>
      <c r="P43" s="3048"/>
      <c r="Q43" s="3048"/>
      <c r="R43" s="3048"/>
      <c r="S43" s="3048"/>
      <c r="T43" s="3048"/>
      <c r="U43" s="3048"/>
      <c r="V43" s="3048"/>
      <c r="W43" s="3048"/>
      <c r="X43" s="1622"/>
      <c r="Y43" s="1622"/>
      <c r="Z43" s="1622"/>
      <c r="AA43" s="1622"/>
      <c r="AB43" s="1622"/>
      <c r="AC43" s="1622"/>
      <c r="AD43" s="1622"/>
      <c r="AE43" s="1622"/>
      <c r="AF43" s="1622"/>
    </row>
    <row r="44" spans="1:33" s="2264" customFormat="1">
      <c r="A44" s="3048"/>
      <c r="B44" s="3048"/>
      <c r="C44" s="3048"/>
      <c r="D44" s="3048"/>
      <c r="E44" s="3048"/>
      <c r="F44" s="3048"/>
      <c r="G44" s="3048"/>
      <c r="H44" s="3048"/>
      <c r="I44" s="3048"/>
      <c r="J44" s="3048"/>
      <c r="K44" s="3048"/>
      <c r="L44" s="3048"/>
      <c r="M44" s="3048"/>
      <c r="N44" s="3048"/>
      <c r="O44" s="3048"/>
      <c r="P44" s="3048"/>
      <c r="Q44" s="3048"/>
      <c r="R44" s="3048"/>
      <c r="S44" s="3048"/>
      <c r="T44" s="3048"/>
      <c r="U44" s="3048"/>
      <c r="V44" s="3048"/>
      <c r="W44" s="3048"/>
      <c r="X44" s="1622"/>
      <c r="Y44" s="1622"/>
      <c r="Z44" s="1622"/>
      <c r="AA44" s="1622"/>
      <c r="AB44" s="1622"/>
      <c r="AC44" s="1622"/>
      <c r="AD44" s="1622"/>
      <c r="AE44" s="1622"/>
      <c r="AF44" s="1622"/>
    </row>
    <row r="45" spans="1:33" s="2264" customFormat="1" ht="15.75" thickBot="1">
      <c r="A45" s="2268" t="s">
        <v>2634</v>
      </c>
      <c r="B45" s="2269"/>
      <c r="C45" s="608"/>
      <c r="D45" s="608"/>
      <c r="E45" s="608"/>
      <c r="F45" s="608"/>
      <c r="G45" s="608"/>
      <c r="H45" s="608"/>
      <c r="I45" s="608"/>
      <c r="J45" s="608"/>
      <c r="K45" s="608"/>
      <c r="L45" s="608"/>
      <c r="M45" s="608"/>
      <c r="N45" s="2099"/>
      <c r="O45" s="1622"/>
      <c r="P45" s="1622"/>
      <c r="Q45" s="3048"/>
      <c r="R45" s="3048"/>
      <c r="S45" s="3048"/>
      <c r="T45" s="3048"/>
      <c r="U45" s="3048"/>
      <c r="V45" s="3048"/>
      <c r="W45" s="3048"/>
      <c r="X45" s="1622"/>
      <c r="Y45" s="1622"/>
      <c r="Z45" s="1622"/>
      <c r="AA45" s="1622"/>
      <c r="AB45" s="1622"/>
      <c r="AC45" s="1622"/>
      <c r="AD45" s="1622"/>
      <c r="AE45" s="1622"/>
      <c r="AF45" s="1622"/>
    </row>
    <row r="46" spans="1:33" s="2264" customFormat="1" ht="15" hidden="1">
      <c r="A46" s="2270" t="s">
        <v>2635</v>
      </c>
      <c r="B46" s="2271">
        <f>1+E48</f>
        <v>1</v>
      </c>
      <c r="C46" s="2272"/>
      <c r="D46" s="2273"/>
      <c r="E46" s="2274"/>
      <c r="F46" s="2275"/>
      <c r="G46" s="608"/>
      <c r="H46" s="608"/>
      <c r="I46" s="608"/>
      <c r="J46" s="608"/>
      <c r="K46" s="608"/>
      <c r="L46" s="608"/>
      <c r="M46" s="2099"/>
      <c r="N46" s="2276"/>
      <c r="O46" s="1622"/>
      <c r="P46" s="1622"/>
      <c r="Q46" s="3048"/>
      <c r="R46" s="3048"/>
      <c r="S46" s="3048"/>
      <c r="T46" s="3048"/>
      <c r="U46" s="3048"/>
      <c r="V46" s="3048"/>
      <c r="W46" s="3048"/>
      <c r="X46" s="1622"/>
      <c r="Y46" s="1622"/>
      <c r="Z46" s="1622"/>
      <c r="AA46" s="1622"/>
      <c r="AB46" s="1622"/>
      <c r="AC46" s="1622"/>
      <c r="AD46" s="1622"/>
      <c r="AE46" s="1622"/>
    </row>
    <row r="47" spans="1:33" s="2264" customFormat="1" ht="24.75" hidden="1">
      <c r="A47" s="2277" t="s">
        <v>2636</v>
      </c>
      <c r="B47" s="2278" t="s">
        <v>2637</v>
      </c>
      <c r="C47" s="2278" t="s">
        <v>2638</v>
      </c>
      <c r="D47" s="2278" t="s">
        <v>2639</v>
      </c>
      <c r="E47" s="2279" t="s">
        <v>2640</v>
      </c>
      <c r="F47" s="2229" t="s">
        <v>2641</v>
      </c>
      <c r="G47" s="2278" t="s">
        <v>2642</v>
      </c>
      <c r="H47" s="2280" t="s">
        <v>2643</v>
      </c>
      <c r="I47" s="2278" t="s">
        <v>2644</v>
      </c>
      <c r="J47" s="1905" t="s">
        <v>2645</v>
      </c>
      <c r="K47" s="1905" t="s">
        <v>2646</v>
      </c>
      <c r="L47" s="1905" t="s">
        <v>2647</v>
      </c>
      <c r="M47" s="1905" t="s">
        <v>2648</v>
      </c>
      <c r="N47" s="1905" t="s">
        <v>2649</v>
      </c>
      <c r="O47" s="1622"/>
      <c r="P47" s="1622"/>
      <c r="Q47" s="3048"/>
      <c r="R47" s="3048"/>
      <c r="S47" s="3048"/>
      <c r="T47" s="3048"/>
      <c r="U47" s="3048"/>
      <c r="V47" s="3048"/>
      <c r="W47" s="3048"/>
      <c r="X47" s="1622"/>
      <c r="Y47" s="1622"/>
      <c r="Z47" s="1622"/>
      <c r="AA47" s="1622"/>
      <c r="AB47" s="1622"/>
      <c r="AC47" s="1622"/>
      <c r="AD47" s="1622"/>
      <c r="AE47" s="1622"/>
      <c r="AF47" s="1622"/>
      <c r="AG47" s="1622"/>
    </row>
    <row r="48" spans="1:33" s="2264" customFormat="1" ht="38.25" hidden="1">
      <c r="A48" s="2277" t="s">
        <v>2650</v>
      </c>
      <c r="B48" s="2281" t="str">
        <f>估价对象房地状况!C16</f>
        <v>估价对象位于XX商圈，周边商业氛围成熟，人流量大，商业繁华度好</v>
      </c>
      <c r="C48" s="2165"/>
      <c r="D48" s="2282">
        <f t="shared" ref="D48:D56" si="10">SUMIF($J$47:$N$47,C48,J48:N48)</f>
        <v>0</v>
      </c>
      <c r="E48" s="2283">
        <f>ROUND(SUM(D48:D56),4)</f>
        <v>0</v>
      </c>
      <c r="F48" s="2284" t="str">
        <f>IF(E2="商业",SUMIF(L1:L12,G2,N1:N12),"——")</f>
        <v>——</v>
      </c>
      <c r="G48" s="2285"/>
      <c r="H48" s="2286" t="str">
        <f t="shared" ref="H48:H56" si="11">IFERROR(ROUNDDOWN($F$48*I48/2,4),"——")</f>
        <v>——</v>
      </c>
      <c r="I48" s="2287">
        <v>0.33</v>
      </c>
      <c r="J48" s="2288">
        <f t="shared" ref="J48:J56" si="12">K48+$G48</f>
        <v>0</v>
      </c>
      <c r="K48" s="2288">
        <f t="shared" ref="K48:K56" si="13">$L48+$G48</f>
        <v>0</v>
      </c>
      <c r="L48" s="2288">
        <v>0</v>
      </c>
      <c r="M48" s="2288">
        <f t="shared" ref="M48:N56" si="14">L48-$G48</f>
        <v>0</v>
      </c>
      <c r="N48" s="2288">
        <f t="shared" si="14"/>
        <v>0</v>
      </c>
      <c r="O48" s="1622"/>
      <c r="P48" s="1622"/>
      <c r="Q48" s="3048"/>
      <c r="R48" s="3048"/>
      <c r="S48" s="3048"/>
      <c r="T48" s="3048"/>
      <c r="U48" s="3048"/>
      <c r="V48" s="3048"/>
      <c r="W48" s="3048"/>
      <c r="X48" s="1622"/>
      <c r="Y48" s="1622"/>
      <c r="Z48" s="1622"/>
      <c r="AA48" s="1622"/>
      <c r="AB48" s="1622"/>
      <c r="AC48" s="1622"/>
      <c r="AD48" s="1622"/>
      <c r="AE48" s="1622"/>
      <c r="AF48" s="1622"/>
      <c r="AG48" s="1622"/>
    </row>
    <row r="49" spans="1:33" s="2264" customFormat="1" ht="114.75" hidden="1">
      <c r="A49" s="2277" t="s">
        <v>2651</v>
      </c>
      <c r="B49" s="2289" t="str">
        <f>估价对象房地状况!C18</f>
        <v>估价对象临近高速路-京新高速，紧邻城市主干道-信息路，距离清河火车站、地铁昌平线、13号线清河站约900米，周边有320路、365路、446路、447路、495路等公交线路通达，停车便捷程度较好，综合评价交通便捷度好。</v>
      </c>
      <c r="C49" s="2165"/>
      <c r="D49" s="2282">
        <f t="shared" si="10"/>
        <v>0</v>
      </c>
      <c r="E49" s="2290"/>
      <c r="F49" s="2284"/>
      <c r="G49" s="2285"/>
      <c r="H49" s="2286" t="str">
        <f t="shared" si="11"/>
        <v>——</v>
      </c>
      <c r="I49" s="2287">
        <v>0.25</v>
      </c>
      <c r="J49" s="2288">
        <f t="shared" si="12"/>
        <v>0</v>
      </c>
      <c r="K49" s="2288">
        <f t="shared" si="13"/>
        <v>0</v>
      </c>
      <c r="L49" s="2288">
        <v>0</v>
      </c>
      <c r="M49" s="2288">
        <f t="shared" si="14"/>
        <v>0</v>
      </c>
      <c r="N49" s="2288">
        <f t="shared" si="14"/>
        <v>0</v>
      </c>
      <c r="O49" s="1622"/>
      <c r="P49" s="1622"/>
      <c r="Q49" s="3048"/>
      <c r="R49" s="3048"/>
      <c r="S49" s="3048"/>
      <c r="T49" s="3048"/>
      <c r="U49" s="3048"/>
      <c r="V49" s="3048"/>
      <c r="W49" s="3048"/>
      <c r="X49" s="1622"/>
      <c r="Y49" s="1622"/>
      <c r="Z49" s="1622"/>
      <c r="AA49" s="1622"/>
      <c r="AB49" s="1622"/>
      <c r="AC49" s="1622"/>
      <c r="AD49" s="1622"/>
      <c r="AE49" s="1622"/>
      <c r="AF49" s="1622"/>
      <c r="AG49" s="1622"/>
    </row>
    <row r="50" spans="1:33" s="2264" customFormat="1" ht="24" hidden="1">
      <c r="A50" s="2277" t="s">
        <v>2652</v>
      </c>
      <c r="B50" s="2289">
        <f>估价对象房地状况!C19</f>
        <v>0</v>
      </c>
      <c r="C50" s="2165"/>
      <c r="D50" s="2282">
        <f t="shared" si="10"/>
        <v>0</v>
      </c>
      <c r="E50" s="2290"/>
      <c r="F50" s="2284"/>
      <c r="G50" s="2285"/>
      <c r="H50" s="2286" t="str">
        <f t="shared" si="11"/>
        <v>——</v>
      </c>
      <c r="I50" s="2287">
        <v>0.05</v>
      </c>
      <c r="J50" s="2288">
        <f t="shared" si="12"/>
        <v>0</v>
      </c>
      <c r="K50" s="2288">
        <f t="shared" si="13"/>
        <v>0</v>
      </c>
      <c r="L50" s="2288">
        <v>0</v>
      </c>
      <c r="M50" s="2288">
        <f t="shared" si="14"/>
        <v>0</v>
      </c>
      <c r="N50" s="2288">
        <f t="shared" si="14"/>
        <v>0</v>
      </c>
      <c r="O50" s="1622"/>
      <c r="P50" s="1622"/>
      <c r="Q50" s="3048"/>
      <c r="R50" s="3048"/>
      <c r="S50" s="3048"/>
      <c r="T50" s="3048"/>
      <c r="U50" s="3048"/>
      <c r="V50" s="3048"/>
      <c r="W50" s="3048"/>
      <c r="X50" s="1622"/>
      <c r="Y50" s="1622"/>
      <c r="Z50" s="1622"/>
      <c r="AA50" s="1622"/>
      <c r="AB50" s="1622"/>
      <c r="AC50" s="1622"/>
      <c r="AD50" s="1622"/>
      <c r="AE50" s="1622"/>
      <c r="AF50" s="1622"/>
      <c r="AG50" s="1622"/>
    </row>
    <row r="51" spans="1:33" s="2264" customFormat="1" ht="36.75" hidden="1">
      <c r="A51" s="2277" t="s">
        <v>2653</v>
      </c>
      <c r="B51" s="2291" t="s">
        <v>2654</v>
      </c>
      <c r="C51" s="2165"/>
      <c r="D51" s="2282">
        <f t="shared" si="10"/>
        <v>0</v>
      </c>
      <c r="E51" s="2290"/>
      <c r="F51" s="2284"/>
      <c r="G51" s="2285"/>
      <c r="H51" s="2286" t="str">
        <f t="shared" si="11"/>
        <v>——</v>
      </c>
      <c r="I51" s="2287">
        <v>0.05</v>
      </c>
      <c r="J51" s="2288">
        <f t="shared" si="12"/>
        <v>0</v>
      </c>
      <c r="K51" s="2288">
        <f t="shared" si="13"/>
        <v>0</v>
      </c>
      <c r="L51" s="2288">
        <v>0</v>
      </c>
      <c r="M51" s="2288">
        <f t="shared" si="14"/>
        <v>0</v>
      </c>
      <c r="N51" s="2288">
        <f t="shared" si="14"/>
        <v>0</v>
      </c>
      <c r="O51" s="1622"/>
      <c r="P51" s="1622"/>
      <c r="Q51" s="3048"/>
      <c r="R51" s="3048"/>
      <c r="S51" s="3048"/>
      <c r="T51" s="3048"/>
      <c r="U51" s="3048"/>
      <c r="V51" s="3048"/>
      <c r="W51" s="3048"/>
      <c r="X51" s="1622"/>
      <c r="Y51" s="1622"/>
      <c r="Z51" s="1622"/>
      <c r="AA51" s="1622"/>
      <c r="AB51" s="1622"/>
      <c r="AC51" s="1622"/>
      <c r="AD51" s="1622"/>
      <c r="AE51" s="1622"/>
      <c r="AF51" s="1622"/>
      <c r="AG51" s="1622"/>
    </row>
    <row r="52" spans="1:33" s="2264" customFormat="1" ht="24" hidden="1">
      <c r="A52" s="2277" t="s">
        <v>2655</v>
      </c>
      <c r="B52" s="2289" t="str">
        <f>估价对象房地状况!C24</f>
        <v>城市主干道-信息路</v>
      </c>
      <c r="C52" s="2165"/>
      <c r="D52" s="2282">
        <f t="shared" si="10"/>
        <v>0</v>
      </c>
      <c r="E52" s="2290"/>
      <c r="F52" s="2284"/>
      <c r="G52" s="2285"/>
      <c r="H52" s="2286" t="str">
        <f t="shared" si="11"/>
        <v>——</v>
      </c>
      <c r="I52" s="2287">
        <v>0.08</v>
      </c>
      <c r="J52" s="2288">
        <f t="shared" si="12"/>
        <v>0</v>
      </c>
      <c r="K52" s="2288">
        <f t="shared" si="13"/>
        <v>0</v>
      </c>
      <c r="L52" s="2288">
        <v>0</v>
      </c>
      <c r="M52" s="2288">
        <f t="shared" si="14"/>
        <v>0</v>
      </c>
      <c r="N52" s="2288">
        <f t="shared" si="14"/>
        <v>0</v>
      </c>
      <c r="O52" s="1622"/>
      <c r="P52" s="1622"/>
      <c r="Q52" s="3048"/>
      <c r="R52" s="3048"/>
      <c r="S52" s="3048"/>
      <c r="T52" s="3048"/>
      <c r="U52" s="3048"/>
      <c r="V52" s="3048"/>
      <c r="W52" s="3048"/>
      <c r="X52" s="1622"/>
      <c r="Y52" s="1622"/>
      <c r="Z52" s="1622"/>
      <c r="AA52" s="1622"/>
      <c r="AB52" s="1622"/>
      <c r="AC52" s="1622"/>
      <c r="AD52" s="1622"/>
      <c r="AE52" s="1622"/>
      <c r="AF52" s="1622"/>
      <c r="AG52" s="1622"/>
    </row>
    <row r="53" spans="1:33" s="2264" customFormat="1" ht="24" hidden="1">
      <c r="A53" s="2277" t="s">
        <v>2656</v>
      </c>
      <c r="B53" s="2292" t="s">
        <v>2657</v>
      </c>
      <c r="C53" s="2165"/>
      <c r="D53" s="2282">
        <f t="shared" si="10"/>
        <v>0</v>
      </c>
      <c r="E53" s="2290"/>
      <c r="F53" s="2284"/>
      <c r="G53" s="2285"/>
      <c r="H53" s="2286" t="str">
        <f t="shared" si="11"/>
        <v>——</v>
      </c>
      <c r="I53" s="2287">
        <v>0.03</v>
      </c>
      <c r="J53" s="2288">
        <f t="shared" si="12"/>
        <v>0</v>
      </c>
      <c r="K53" s="2288">
        <f t="shared" si="13"/>
        <v>0</v>
      </c>
      <c r="L53" s="2288">
        <v>0</v>
      </c>
      <c r="M53" s="2288">
        <f t="shared" si="14"/>
        <v>0</v>
      </c>
      <c r="N53" s="2288">
        <f t="shared" si="14"/>
        <v>0</v>
      </c>
      <c r="O53" s="1622"/>
      <c r="P53" s="1622"/>
      <c r="Q53" s="3048"/>
      <c r="R53" s="3048"/>
      <c r="S53" s="3048"/>
      <c r="T53" s="3048"/>
      <c r="U53" s="3048"/>
      <c r="V53" s="3048"/>
      <c r="W53" s="3048"/>
      <c r="X53" s="1622"/>
      <c r="Y53" s="1622"/>
      <c r="Z53" s="1622"/>
      <c r="AA53" s="1622"/>
      <c r="AB53" s="1622"/>
      <c r="AC53" s="1622"/>
      <c r="AD53" s="1622"/>
      <c r="AE53" s="1622"/>
      <c r="AF53" s="1622"/>
      <c r="AG53" s="1622"/>
    </row>
    <row r="54" spans="1:33" s="2264" customFormat="1" ht="267.75" hidden="1">
      <c r="A54" s="2293" t="s">
        <v>2658</v>
      </c>
      <c r="B54" s="2294" t="str">
        <f>估价对象房地状况!C21</f>
        <v>银行：农村商业银行、北京银行（上地支行）、中国工商银行（北京中关村支行）、中国银行（北京上地信息路支行）等金融场所；
商业设施：北京华联上地购物中心、数字山谷下沉商业广场等商业设施；
教育机构：北京八维研修学院、北京市上地实验学校、中关村第一小学（西二旗分校）、北京市海淀区第二实验小学（当代校区）、美和园幼儿园（智学苑分园）等教育机构；
医疗机构：北京市上地医院、北京市海淀区清河街道西二旗社区卫生服务站等医疗机构；
估价对象所在区域公共配套设施齐备情况较好。</v>
      </c>
      <c r="C54" s="2165"/>
      <c r="D54" s="2282">
        <f t="shared" si="10"/>
        <v>0</v>
      </c>
      <c r="E54" s="2290"/>
      <c r="F54" s="2284"/>
      <c r="G54" s="2285"/>
      <c r="H54" s="2286" t="str">
        <f t="shared" si="11"/>
        <v>——</v>
      </c>
      <c r="I54" s="2287">
        <v>0.05</v>
      </c>
      <c r="J54" s="2288">
        <f t="shared" si="12"/>
        <v>0</v>
      </c>
      <c r="K54" s="2288">
        <f t="shared" si="13"/>
        <v>0</v>
      </c>
      <c r="L54" s="2288">
        <v>0</v>
      </c>
      <c r="M54" s="2288">
        <f t="shared" si="14"/>
        <v>0</v>
      </c>
      <c r="N54" s="2288">
        <f t="shared" si="14"/>
        <v>0</v>
      </c>
      <c r="O54" s="1622"/>
      <c r="P54" s="1622"/>
      <c r="Q54" s="3048"/>
      <c r="R54" s="3048"/>
      <c r="S54" s="3048"/>
      <c r="T54" s="3048"/>
      <c r="U54" s="3048"/>
      <c r="V54" s="3048"/>
      <c r="W54" s="3048"/>
      <c r="X54" s="1622"/>
      <c r="Y54" s="1622"/>
      <c r="Z54" s="1622"/>
      <c r="AA54" s="1622"/>
      <c r="AB54" s="1622"/>
      <c r="AC54" s="1622"/>
      <c r="AD54" s="1622"/>
      <c r="AE54" s="1622"/>
      <c r="AF54" s="1622"/>
      <c r="AG54" s="1622"/>
    </row>
    <row r="55" spans="1:33" s="2264" customFormat="1" ht="25.5" hidden="1">
      <c r="A55" s="2293" t="s">
        <v>2659</v>
      </c>
      <c r="B55" s="2289" t="str">
        <f>估价对象房地状况!C22</f>
        <v>估价对象所在区域基础设施水平-七通</v>
      </c>
      <c r="C55" s="2165"/>
      <c r="D55" s="2282">
        <f t="shared" si="10"/>
        <v>0</v>
      </c>
      <c r="E55" s="2290"/>
      <c r="F55" s="2284"/>
      <c r="G55" s="2285"/>
      <c r="H55" s="2286" t="str">
        <f t="shared" si="11"/>
        <v>——</v>
      </c>
      <c r="I55" s="2287">
        <v>0.1</v>
      </c>
      <c r="J55" s="2288">
        <f t="shared" si="12"/>
        <v>0</v>
      </c>
      <c r="K55" s="2288">
        <f t="shared" si="13"/>
        <v>0</v>
      </c>
      <c r="L55" s="2288">
        <v>0</v>
      </c>
      <c r="M55" s="2288">
        <f t="shared" si="14"/>
        <v>0</v>
      </c>
      <c r="N55" s="2288">
        <f t="shared" si="14"/>
        <v>0</v>
      </c>
      <c r="O55" s="1622"/>
      <c r="P55" s="1622"/>
      <c r="Q55" s="3048"/>
      <c r="R55" s="3048"/>
      <c r="S55" s="3048"/>
      <c r="T55" s="3048"/>
      <c r="U55" s="3048"/>
      <c r="V55" s="3048"/>
      <c r="W55" s="3048"/>
      <c r="X55" s="1622"/>
      <c r="Y55" s="1622"/>
      <c r="Z55" s="1622"/>
      <c r="AA55" s="1622"/>
      <c r="AB55" s="1622"/>
      <c r="AC55" s="1622"/>
      <c r="AD55" s="1622"/>
      <c r="AE55" s="1622"/>
      <c r="AF55" s="1622"/>
      <c r="AG55" s="1622"/>
    </row>
    <row r="56" spans="1:33" s="2264" customFormat="1" ht="64.5" hidden="1" thickBot="1">
      <c r="A56" s="2295" t="s">
        <v>2660</v>
      </c>
      <c r="B56" s="2296" t="str">
        <f>估价对象房地状况!C20</f>
        <v>区域自然环境：上地公园、快乐成长家庭人口文化园等；人文环境；周边人文设施较少；
综合评价环境状况一般。</v>
      </c>
      <c r="C56" s="2165"/>
      <c r="D56" s="2282">
        <f t="shared" si="10"/>
        <v>0</v>
      </c>
      <c r="E56" s="2297"/>
      <c r="F56" s="2284"/>
      <c r="G56" s="2285"/>
      <c r="H56" s="2286" t="str">
        <f t="shared" si="11"/>
        <v>——</v>
      </c>
      <c r="I56" s="2298">
        <v>0.06</v>
      </c>
      <c r="J56" s="2288">
        <f t="shared" si="12"/>
        <v>0</v>
      </c>
      <c r="K56" s="2288">
        <f t="shared" si="13"/>
        <v>0</v>
      </c>
      <c r="L56" s="2288">
        <v>0</v>
      </c>
      <c r="M56" s="2288">
        <f t="shared" si="14"/>
        <v>0</v>
      </c>
      <c r="N56" s="2288">
        <f t="shared" si="14"/>
        <v>0</v>
      </c>
      <c r="O56" s="1622"/>
      <c r="P56" s="1622"/>
      <c r="Q56" s="3048"/>
      <c r="R56" s="3048"/>
      <c r="S56" s="3048"/>
      <c r="T56" s="3048"/>
      <c r="U56" s="3048"/>
      <c r="V56" s="3048"/>
      <c r="W56" s="3048"/>
      <c r="X56" s="1622"/>
      <c r="Y56" s="1622"/>
      <c r="Z56" s="1622"/>
      <c r="AA56" s="1622"/>
      <c r="AB56" s="1622"/>
      <c r="AC56" s="1622"/>
      <c r="AD56" s="1622"/>
      <c r="AE56" s="1622"/>
      <c r="AF56" s="1622"/>
      <c r="AG56" s="1622"/>
    </row>
    <row r="57" spans="1:33" s="2264" customFormat="1" ht="15" hidden="1">
      <c r="A57" s="2270" t="s">
        <v>2661</v>
      </c>
      <c r="B57" s="2299">
        <f>1+E59</f>
        <v>1.0663</v>
      </c>
      <c r="C57" s="2273"/>
      <c r="D57" s="2273"/>
      <c r="E57" s="2274"/>
      <c r="F57" s="2275"/>
      <c r="G57" s="608"/>
      <c r="H57" s="608"/>
      <c r="I57" s="608"/>
      <c r="J57" s="608"/>
      <c r="K57" s="608"/>
      <c r="L57" s="608"/>
      <c r="M57" s="608"/>
      <c r="N57" s="608"/>
      <c r="O57" s="1622"/>
      <c r="P57" s="1622"/>
      <c r="Q57" s="3048"/>
      <c r="R57" s="3048"/>
      <c r="S57" s="3048"/>
      <c r="T57" s="3048"/>
      <c r="U57" s="3048"/>
      <c r="V57" s="3048"/>
      <c r="W57" s="3048"/>
      <c r="X57" s="1622"/>
      <c r="Y57" s="1622"/>
      <c r="Z57" s="1622"/>
      <c r="AA57" s="1622"/>
      <c r="AB57" s="1622"/>
      <c r="AC57" s="1622"/>
      <c r="AD57" s="1622"/>
      <c r="AE57" s="1622"/>
      <c r="AF57" s="1622"/>
      <c r="AG57" s="1622"/>
    </row>
    <row r="58" spans="1:33" s="2264" customFormat="1" ht="24.75" hidden="1">
      <c r="A58" s="2277" t="s">
        <v>2636</v>
      </c>
      <c r="B58" s="2289"/>
      <c r="C58" s="2278" t="s">
        <v>2638</v>
      </c>
      <c r="D58" s="2278" t="s">
        <v>2639</v>
      </c>
      <c r="E58" s="2279" t="s">
        <v>2640</v>
      </c>
      <c r="F58" s="2229" t="s">
        <v>2641</v>
      </c>
      <c r="G58" s="2278" t="s">
        <v>2662</v>
      </c>
      <c r="H58" s="2280" t="s">
        <v>2663</v>
      </c>
      <c r="I58" s="2278" t="s">
        <v>2664</v>
      </c>
      <c r="J58" s="1905" t="s">
        <v>2307</v>
      </c>
      <c r="K58" s="1905" t="s">
        <v>2308</v>
      </c>
      <c r="L58" s="1905" t="s">
        <v>2309</v>
      </c>
      <c r="M58" s="1905" t="s">
        <v>2310</v>
      </c>
      <c r="N58" s="1905" t="s">
        <v>2311</v>
      </c>
      <c r="O58" s="1622"/>
      <c r="P58" s="1622"/>
      <c r="Q58" s="3048"/>
      <c r="R58" s="3048"/>
      <c r="S58" s="3048"/>
      <c r="T58" s="3048"/>
      <c r="U58" s="3048"/>
      <c r="V58" s="3048"/>
      <c r="W58" s="3048"/>
      <c r="X58" s="1622"/>
      <c r="Y58" s="1622"/>
      <c r="Z58" s="1622"/>
      <c r="AA58" s="1622"/>
      <c r="AB58" s="1622"/>
      <c r="AC58" s="1622"/>
      <c r="AD58" s="1622"/>
      <c r="AE58" s="1622"/>
      <c r="AF58" s="1622"/>
      <c r="AG58" s="1622"/>
    </row>
    <row r="59" spans="1:33" s="2264" customFormat="1" ht="76.5" hidden="1">
      <c r="A59" s="2277" t="s">
        <v>2665</v>
      </c>
      <c r="B59" s="2281" t="str">
        <f>估价对象房地状况!C17</f>
        <v>估价对象位于上地商圈，周边办公楼项目有上地研华科技大厦、许继大厦、华为大厦、华环大厦、自主创新大厦等，入驻率高，办公集聚程度较好。</v>
      </c>
      <c r="C59" s="3722" t="s">
        <v>30</v>
      </c>
      <c r="D59" s="2282">
        <f t="shared" ref="D59:D67" si="15">SUMIF($J$58:$N$58,C59,J59:N59)</f>
        <v>1.12E-2</v>
      </c>
      <c r="E59" s="2283">
        <f>ROUND(SUM(D59:D67),4)</f>
        <v>6.6299999999999998E-2</v>
      </c>
      <c r="F59" s="2284" t="str">
        <f>IF(E2="办公",SUMIF(L1:L12,G2,N1:N12),"——")</f>
        <v>——</v>
      </c>
      <c r="G59" s="2285">
        <v>1.12E-2</v>
      </c>
      <c r="H59" s="2286" t="str">
        <f t="shared" ref="H59:H67" si="16">IFERROR(ROUNDDOWN($F$59*I59/2,4),"——")</f>
        <v>——</v>
      </c>
      <c r="I59" s="2287">
        <v>0.24</v>
      </c>
      <c r="J59" s="2288">
        <f t="shared" ref="J59:J67" si="17">K59+$G59</f>
        <v>2.24E-2</v>
      </c>
      <c r="K59" s="2288">
        <f t="shared" ref="K59:K67" si="18">$L59+$G59</f>
        <v>1.12E-2</v>
      </c>
      <c r="L59" s="2288">
        <v>0</v>
      </c>
      <c r="M59" s="2288">
        <f t="shared" ref="M59:N67" si="19">L59-$G59</f>
        <v>-1.12E-2</v>
      </c>
      <c r="N59" s="2288">
        <f t="shared" si="19"/>
        <v>-2.24E-2</v>
      </c>
      <c r="O59" s="1622"/>
      <c r="P59" s="1622"/>
      <c r="Q59" s="3048"/>
      <c r="R59" s="3048"/>
      <c r="S59" s="3048"/>
      <c r="T59" s="3048"/>
      <c r="U59" s="3048"/>
      <c r="V59" s="3048"/>
      <c r="W59" s="3048"/>
      <c r="X59" s="1622"/>
      <c r="Y59" s="1622"/>
      <c r="Z59" s="1622"/>
      <c r="AA59" s="1622"/>
      <c r="AB59" s="1622"/>
      <c r="AC59" s="1622"/>
      <c r="AD59" s="1622"/>
      <c r="AE59" s="1622"/>
      <c r="AF59" s="1622"/>
      <c r="AG59" s="1622"/>
    </row>
    <row r="60" spans="1:33" s="2264" customFormat="1" ht="114.75" hidden="1">
      <c r="A60" s="2277" t="s">
        <v>2651</v>
      </c>
      <c r="B60" s="2289" t="str">
        <f>估价对象房地状况!C18</f>
        <v>估价对象临近高速路-京新高速，紧邻城市主干道-信息路，距离清河火车站、地铁昌平线、13号线清河站约900米，周边有320路、365路、446路、447路、495路等公交线路通达，停车便捷程度较好，综合评价交通便捷度好。</v>
      </c>
      <c r="C60" s="3722" t="s">
        <v>29</v>
      </c>
      <c r="D60" s="2282">
        <f t="shared" si="15"/>
        <v>2.8199999999999999E-2</v>
      </c>
      <c r="E60" s="2290"/>
      <c r="F60" s="2284"/>
      <c r="G60" s="2285">
        <v>1.41E-2</v>
      </c>
      <c r="H60" s="2286" t="str">
        <f t="shared" si="16"/>
        <v>——</v>
      </c>
      <c r="I60" s="2287">
        <v>0.3</v>
      </c>
      <c r="J60" s="2288">
        <f t="shared" si="17"/>
        <v>2.8199999999999999E-2</v>
      </c>
      <c r="K60" s="2288">
        <f t="shared" si="18"/>
        <v>1.41E-2</v>
      </c>
      <c r="L60" s="2288">
        <v>0</v>
      </c>
      <c r="M60" s="2288">
        <f t="shared" si="19"/>
        <v>-1.41E-2</v>
      </c>
      <c r="N60" s="2288">
        <f t="shared" si="19"/>
        <v>-2.8199999999999999E-2</v>
      </c>
      <c r="O60" s="1622"/>
      <c r="P60" s="1622"/>
      <c r="Q60" s="3048"/>
      <c r="R60" s="3048"/>
      <c r="S60" s="3048"/>
      <c r="T60" s="3048"/>
      <c r="U60" s="3048"/>
      <c r="V60" s="3048"/>
      <c r="W60" s="3048"/>
      <c r="X60" s="1622"/>
      <c r="Y60" s="1622"/>
      <c r="Z60" s="1622"/>
      <c r="AA60" s="1622"/>
      <c r="AB60" s="1622"/>
      <c r="AC60" s="1622"/>
      <c r="AD60" s="1622"/>
      <c r="AE60" s="1622"/>
      <c r="AF60" s="1622"/>
      <c r="AG60" s="1622"/>
    </row>
    <row r="61" spans="1:33" s="2264" customFormat="1" ht="24" hidden="1">
      <c r="A61" s="2277" t="s">
        <v>2652</v>
      </c>
      <c r="B61" s="2289">
        <f>估价对象房地状况!C19</f>
        <v>0</v>
      </c>
      <c r="C61" s="3722" t="s">
        <v>30</v>
      </c>
      <c r="D61" s="2282">
        <f t="shared" si="15"/>
        <v>3.7000000000000002E-3</v>
      </c>
      <c r="E61" s="2290"/>
      <c r="F61" s="2284"/>
      <c r="G61" s="2285">
        <v>3.7000000000000002E-3</v>
      </c>
      <c r="H61" s="2286" t="str">
        <f t="shared" si="16"/>
        <v>——</v>
      </c>
      <c r="I61" s="2287">
        <v>0.08</v>
      </c>
      <c r="J61" s="2288">
        <f t="shared" si="17"/>
        <v>7.4000000000000003E-3</v>
      </c>
      <c r="K61" s="2288">
        <f t="shared" si="18"/>
        <v>3.7000000000000002E-3</v>
      </c>
      <c r="L61" s="2288">
        <v>0</v>
      </c>
      <c r="M61" s="2288">
        <f t="shared" si="19"/>
        <v>-3.7000000000000002E-3</v>
      </c>
      <c r="N61" s="2288">
        <f t="shared" si="19"/>
        <v>-7.4000000000000003E-3</v>
      </c>
      <c r="O61" s="1622"/>
      <c r="P61" s="1622"/>
      <c r="Q61" s="3048"/>
      <c r="R61" s="3048"/>
      <c r="S61" s="3048"/>
      <c r="T61" s="3048"/>
      <c r="U61" s="3048"/>
      <c r="V61" s="3048"/>
      <c r="W61" s="3048"/>
      <c r="X61" s="1622"/>
      <c r="Y61" s="1622"/>
      <c r="Z61" s="1622"/>
      <c r="AA61" s="1622"/>
      <c r="AB61" s="1622"/>
      <c r="AC61" s="1622"/>
      <c r="AD61" s="1622"/>
      <c r="AE61" s="1622"/>
      <c r="AF61" s="1622"/>
      <c r="AG61" s="1622"/>
    </row>
    <row r="62" spans="1:33" s="2264" customFormat="1" ht="36.75" hidden="1">
      <c r="A62" s="2277" t="s">
        <v>2653</v>
      </c>
      <c r="B62" s="2291" t="s">
        <v>2654</v>
      </c>
      <c r="C62" s="3722" t="s">
        <v>30</v>
      </c>
      <c r="D62" s="2282">
        <f t="shared" si="15"/>
        <v>1.8E-3</v>
      </c>
      <c r="E62" s="2290"/>
      <c r="F62" s="2284"/>
      <c r="G62" s="2285">
        <v>1.8E-3</v>
      </c>
      <c r="H62" s="2286" t="str">
        <f t="shared" si="16"/>
        <v>——</v>
      </c>
      <c r="I62" s="2287">
        <v>0.04</v>
      </c>
      <c r="J62" s="2288">
        <f t="shared" si="17"/>
        <v>3.5999999999999999E-3</v>
      </c>
      <c r="K62" s="2288">
        <f t="shared" si="18"/>
        <v>1.8E-3</v>
      </c>
      <c r="L62" s="2288">
        <v>0</v>
      </c>
      <c r="M62" s="2288">
        <f t="shared" si="19"/>
        <v>-1.8E-3</v>
      </c>
      <c r="N62" s="2288">
        <f t="shared" si="19"/>
        <v>-3.5999999999999999E-3</v>
      </c>
      <c r="O62" s="1622"/>
      <c r="P62" s="1622"/>
      <c r="Q62" s="3048"/>
      <c r="R62" s="3048"/>
      <c r="S62" s="3048"/>
      <c r="T62" s="3048"/>
      <c r="U62" s="3048"/>
      <c r="V62" s="3048"/>
      <c r="W62" s="3048"/>
      <c r="X62" s="1622"/>
      <c r="Y62" s="1622"/>
      <c r="Z62" s="1622"/>
      <c r="AA62" s="1622"/>
      <c r="AB62" s="1622"/>
      <c r="AC62" s="1622"/>
      <c r="AD62" s="1622"/>
      <c r="AE62" s="1622"/>
      <c r="AF62" s="1622"/>
      <c r="AG62" s="1622"/>
    </row>
    <row r="63" spans="1:33" s="2264" customFormat="1" ht="24" hidden="1">
      <c r="A63" s="2277" t="s">
        <v>2655</v>
      </c>
      <c r="B63" s="2289" t="str">
        <f>估价对象房地状况!C24</f>
        <v>城市主干道-信息路</v>
      </c>
      <c r="C63" s="3722" t="s">
        <v>30</v>
      </c>
      <c r="D63" s="2282">
        <f t="shared" si="15"/>
        <v>2.3E-3</v>
      </c>
      <c r="E63" s="2290"/>
      <c r="F63" s="2284"/>
      <c r="G63" s="2285">
        <v>2.3E-3</v>
      </c>
      <c r="H63" s="2286" t="str">
        <f t="shared" si="16"/>
        <v>——</v>
      </c>
      <c r="I63" s="2287">
        <v>0.05</v>
      </c>
      <c r="J63" s="2288">
        <f t="shared" si="17"/>
        <v>4.5999999999999999E-3</v>
      </c>
      <c r="K63" s="2288">
        <f t="shared" si="18"/>
        <v>2.3E-3</v>
      </c>
      <c r="L63" s="2288">
        <v>0</v>
      </c>
      <c r="M63" s="2288">
        <f t="shared" si="19"/>
        <v>-2.3E-3</v>
      </c>
      <c r="N63" s="2288">
        <f t="shared" si="19"/>
        <v>-4.5999999999999999E-3</v>
      </c>
      <c r="O63" s="1622"/>
      <c r="P63" s="1622"/>
      <c r="Q63" s="3048"/>
      <c r="R63" s="3048"/>
      <c r="S63" s="3048"/>
      <c r="T63" s="3048"/>
      <c r="U63" s="3048"/>
      <c r="V63" s="3048"/>
      <c r="W63" s="3048"/>
      <c r="X63" s="1622"/>
      <c r="Y63" s="1622"/>
      <c r="Z63" s="1622"/>
      <c r="AA63" s="1622"/>
      <c r="AB63" s="1622"/>
      <c r="AC63" s="1622"/>
      <c r="AD63" s="1622"/>
      <c r="AE63" s="1622"/>
      <c r="AF63" s="1622"/>
      <c r="AG63" s="1622"/>
    </row>
    <row r="64" spans="1:33" s="2264" customFormat="1" ht="24" hidden="1">
      <c r="A64" s="2277" t="s">
        <v>2656</v>
      </c>
      <c r="B64" s="2292" t="s">
        <v>2657</v>
      </c>
      <c r="C64" s="3722" t="s">
        <v>30</v>
      </c>
      <c r="D64" s="2282">
        <f t="shared" si="15"/>
        <v>2.3E-3</v>
      </c>
      <c r="E64" s="2290"/>
      <c r="F64" s="2284"/>
      <c r="G64" s="2285">
        <v>2.3E-3</v>
      </c>
      <c r="H64" s="2286" t="str">
        <f t="shared" si="16"/>
        <v>——</v>
      </c>
      <c r="I64" s="2287">
        <v>0.05</v>
      </c>
      <c r="J64" s="2288">
        <f t="shared" si="17"/>
        <v>4.5999999999999999E-3</v>
      </c>
      <c r="K64" s="2288">
        <f t="shared" si="18"/>
        <v>2.3E-3</v>
      </c>
      <c r="L64" s="2288">
        <v>0</v>
      </c>
      <c r="M64" s="2288">
        <f t="shared" si="19"/>
        <v>-2.3E-3</v>
      </c>
      <c r="N64" s="2288">
        <f t="shared" si="19"/>
        <v>-4.5999999999999999E-3</v>
      </c>
      <c r="O64" s="1622"/>
      <c r="P64" s="1622"/>
      <c r="Q64" s="3048"/>
      <c r="R64" s="3048"/>
      <c r="S64" s="3048"/>
      <c r="T64" s="3048"/>
      <c r="U64" s="3048"/>
      <c r="V64" s="3048"/>
      <c r="W64" s="3048"/>
      <c r="X64" s="1622"/>
      <c r="Y64" s="1622"/>
      <c r="Z64" s="1622"/>
      <c r="AA64" s="1622"/>
      <c r="AB64" s="1622"/>
      <c r="AC64" s="1622"/>
      <c r="AD64" s="1622"/>
      <c r="AE64" s="1622"/>
      <c r="AF64" s="1622"/>
      <c r="AG64" s="1622"/>
    </row>
    <row r="65" spans="1:33" s="2264" customFormat="1" ht="267.75" hidden="1">
      <c r="A65" s="2277" t="s">
        <v>2658</v>
      </c>
      <c r="B65" s="2294" t="str">
        <f>估价对象房地状况!C21</f>
        <v>银行：农村商业银行、北京银行（上地支行）、中国工商银行（北京中关村支行）、中国银行（北京上地信息路支行）等金融场所；
商业设施：北京华联上地购物中心、数字山谷下沉商业广场等商业设施；
教育机构：北京八维研修学院、北京市上地实验学校、中关村第一小学（西二旗分校）、北京市海淀区第二实验小学（当代校区）、美和园幼儿园（智学苑分园）等教育机构；
医疗机构：北京市上地医院、北京市海淀区清河街道西二旗社区卫生服务站等医疗机构；
估价对象所在区域公共配套设施齐备情况较好。</v>
      </c>
      <c r="C65" s="3722" t="s">
        <v>30</v>
      </c>
      <c r="D65" s="2282">
        <f t="shared" si="15"/>
        <v>2.8E-3</v>
      </c>
      <c r="E65" s="2290"/>
      <c r="F65" s="2284"/>
      <c r="G65" s="2285">
        <v>2.8E-3</v>
      </c>
      <c r="H65" s="2286" t="str">
        <f t="shared" si="16"/>
        <v>——</v>
      </c>
      <c r="I65" s="2287">
        <v>0.06</v>
      </c>
      <c r="J65" s="2288">
        <f t="shared" si="17"/>
        <v>5.5999999999999999E-3</v>
      </c>
      <c r="K65" s="2288">
        <f t="shared" si="18"/>
        <v>2.8E-3</v>
      </c>
      <c r="L65" s="2288">
        <v>0</v>
      </c>
      <c r="M65" s="2288">
        <f t="shared" si="19"/>
        <v>-2.8E-3</v>
      </c>
      <c r="N65" s="2288">
        <f t="shared" si="19"/>
        <v>-5.5999999999999999E-3</v>
      </c>
      <c r="O65" s="1622"/>
      <c r="P65" s="1622"/>
      <c r="Q65" s="3048"/>
      <c r="R65" s="3048"/>
      <c r="S65" s="3048"/>
      <c r="T65" s="3048"/>
      <c r="U65" s="3048"/>
      <c r="V65" s="3048"/>
      <c r="W65" s="3048"/>
      <c r="X65" s="1622"/>
      <c r="Y65" s="1622"/>
      <c r="Z65" s="1622"/>
      <c r="AA65" s="1622"/>
      <c r="AB65" s="1622"/>
      <c r="AC65" s="1622"/>
      <c r="AD65" s="1622"/>
      <c r="AE65" s="1622"/>
      <c r="AF65" s="1622"/>
      <c r="AG65" s="1622"/>
    </row>
    <row r="66" spans="1:33" s="2264" customFormat="1" ht="25.5" hidden="1">
      <c r="A66" s="2277" t="s">
        <v>2659</v>
      </c>
      <c r="B66" s="2294" t="str">
        <f>估价对象房地状况!C22</f>
        <v>估价对象所在区域基础设施水平-七通</v>
      </c>
      <c r="C66" s="3722" t="s">
        <v>29</v>
      </c>
      <c r="D66" s="2282">
        <f t="shared" si="15"/>
        <v>1.12E-2</v>
      </c>
      <c r="E66" s="2290"/>
      <c r="F66" s="2284"/>
      <c r="G66" s="2285">
        <v>5.5999999999999999E-3</v>
      </c>
      <c r="H66" s="2286" t="str">
        <f t="shared" si="16"/>
        <v>——</v>
      </c>
      <c r="I66" s="2287">
        <v>0.12</v>
      </c>
      <c r="J66" s="2288">
        <f t="shared" si="17"/>
        <v>1.12E-2</v>
      </c>
      <c r="K66" s="2288">
        <f t="shared" si="18"/>
        <v>5.5999999999999999E-3</v>
      </c>
      <c r="L66" s="2288">
        <v>0</v>
      </c>
      <c r="M66" s="2288">
        <f t="shared" si="19"/>
        <v>-5.5999999999999999E-3</v>
      </c>
      <c r="N66" s="2288">
        <f t="shared" si="19"/>
        <v>-1.12E-2</v>
      </c>
      <c r="O66" s="1622"/>
      <c r="P66" s="1622"/>
      <c r="Q66" s="3048"/>
      <c r="R66" s="3048"/>
      <c r="S66" s="3048"/>
      <c r="T66" s="3048"/>
      <c r="U66" s="3048"/>
      <c r="V66" s="3048"/>
      <c r="W66" s="3048"/>
      <c r="X66" s="1622"/>
      <c r="Y66" s="1622"/>
      <c r="Z66" s="1622"/>
      <c r="AA66" s="1622"/>
      <c r="AB66" s="1622"/>
      <c r="AC66" s="1622"/>
      <c r="AD66" s="1622"/>
      <c r="AE66" s="1622"/>
      <c r="AF66" s="1622"/>
      <c r="AG66" s="1622"/>
    </row>
    <row r="67" spans="1:33" s="2264" customFormat="1" ht="64.5" hidden="1" thickBot="1">
      <c r="A67" s="2295" t="s">
        <v>2660</v>
      </c>
      <c r="B67" s="2300" t="str">
        <f>估价对象房地状况!C20</f>
        <v>区域自然环境：上地公园、快乐成长家庭人口文化园等；人文环境；周边人文设施较少；
综合评价环境状况一般。</v>
      </c>
      <c r="C67" s="3722" t="s">
        <v>30</v>
      </c>
      <c r="D67" s="2282">
        <f t="shared" si="15"/>
        <v>2.8E-3</v>
      </c>
      <c r="E67" s="2297"/>
      <c r="F67" s="2284"/>
      <c r="G67" s="2285">
        <v>2.8E-3</v>
      </c>
      <c r="H67" s="2286" t="str">
        <f t="shared" si="16"/>
        <v>——</v>
      </c>
      <c r="I67" s="2298">
        <v>0.06</v>
      </c>
      <c r="J67" s="2288">
        <f t="shared" si="17"/>
        <v>5.5999999999999999E-3</v>
      </c>
      <c r="K67" s="2288">
        <f t="shared" si="18"/>
        <v>2.8E-3</v>
      </c>
      <c r="L67" s="2288">
        <v>0</v>
      </c>
      <c r="M67" s="2288">
        <f t="shared" si="19"/>
        <v>-2.8E-3</v>
      </c>
      <c r="N67" s="2288">
        <f t="shared" si="19"/>
        <v>-5.5999999999999999E-3</v>
      </c>
      <c r="O67" s="1622"/>
      <c r="P67" s="1622"/>
      <c r="Q67" s="3048"/>
      <c r="R67" s="3048"/>
      <c r="S67" s="3048"/>
      <c r="T67" s="3048"/>
      <c r="U67" s="3048"/>
      <c r="V67" s="3048"/>
      <c r="W67" s="3048"/>
      <c r="X67" s="1622"/>
      <c r="Y67" s="1622"/>
      <c r="Z67" s="1622"/>
      <c r="AA67" s="1622"/>
      <c r="AB67" s="1622"/>
      <c r="AC67" s="1622"/>
      <c r="AD67" s="1622"/>
      <c r="AE67" s="1622"/>
      <c r="AF67" s="1622"/>
      <c r="AG67" s="1622"/>
    </row>
    <row r="68" spans="1:33" s="2264" customFormat="1" ht="15" hidden="1">
      <c r="A68" s="2270" t="s">
        <v>2666</v>
      </c>
      <c r="B68" s="2299">
        <f>1+E70</f>
        <v>1.054</v>
      </c>
      <c r="C68" s="2273"/>
      <c r="D68" s="2273"/>
      <c r="E68" s="2274"/>
      <c r="F68" s="2275"/>
      <c r="G68" s="608"/>
      <c r="H68" s="608"/>
      <c r="I68" s="608"/>
      <c r="J68" s="608"/>
      <c r="K68" s="608"/>
      <c r="L68" s="608"/>
      <c r="M68" s="608"/>
      <c r="N68" s="608"/>
      <c r="O68" s="1622"/>
      <c r="P68" s="1622"/>
      <c r="Q68" s="3048"/>
      <c r="R68" s="3048"/>
      <c r="S68" s="3048"/>
      <c r="T68" s="3048"/>
      <c r="U68" s="3048"/>
      <c r="V68" s="3048"/>
      <c r="W68" s="3048"/>
      <c r="X68" s="1622"/>
      <c r="Y68" s="1622"/>
      <c r="Z68" s="1622"/>
      <c r="AA68" s="1622"/>
      <c r="AB68" s="1622"/>
      <c r="AC68" s="1622"/>
      <c r="AD68" s="1622"/>
      <c r="AE68" s="1622"/>
      <c r="AF68" s="1622"/>
      <c r="AG68" s="1622"/>
    </row>
    <row r="69" spans="1:33" s="2264" customFormat="1" ht="24.75" hidden="1">
      <c r="A69" s="2277" t="s">
        <v>2636</v>
      </c>
      <c r="B69" s="2289"/>
      <c r="C69" s="2278" t="s">
        <v>2638</v>
      </c>
      <c r="D69" s="2278" t="s">
        <v>2639</v>
      </c>
      <c r="E69" s="2279" t="s">
        <v>2640</v>
      </c>
      <c r="F69" s="2229" t="s">
        <v>2641</v>
      </c>
      <c r="G69" s="2278" t="s">
        <v>2662</v>
      </c>
      <c r="H69" s="2280" t="s">
        <v>2663</v>
      </c>
      <c r="I69" s="2278" t="s">
        <v>2664</v>
      </c>
      <c r="J69" s="1905" t="s">
        <v>2307</v>
      </c>
      <c r="K69" s="1905" t="s">
        <v>2308</v>
      </c>
      <c r="L69" s="1905" t="s">
        <v>2309</v>
      </c>
      <c r="M69" s="1905" t="s">
        <v>2310</v>
      </c>
      <c r="N69" s="1905" t="s">
        <v>2311</v>
      </c>
      <c r="O69" s="1622"/>
      <c r="P69" s="1622"/>
      <c r="Q69" s="3048"/>
      <c r="R69" s="3048"/>
      <c r="S69" s="3048"/>
      <c r="T69" s="3048"/>
      <c r="U69" s="3048"/>
      <c r="V69" s="3048"/>
      <c r="W69" s="3048"/>
      <c r="X69" s="1622"/>
      <c r="Y69" s="1622"/>
      <c r="Z69" s="1622"/>
      <c r="AA69" s="1622"/>
      <c r="AB69" s="1622"/>
      <c r="AC69" s="1622"/>
      <c r="AD69" s="1622"/>
      <c r="AE69" s="1622"/>
      <c r="AF69" s="1622"/>
      <c r="AG69" s="1622"/>
    </row>
    <row r="70" spans="1:33" s="2264" customFormat="1" ht="63" hidden="1" customHeight="1">
      <c r="A70" s="2277" t="s">
        <v>2667</v>
      </c>
      <c r="B70" s="2281" t="str">
        <f>估价对象房地状况!C15</f>
        <v>估价对象周边居住用地比例、居住小区规模和社区发展完善程度，综合评价居住社区成熟度一般</v>
      </c>
      <c r="C70" s="2165" t="s">
        <v>30</v>
      </c>
      <c r="D70" s="2282">
        <f t="shared" ref="D70:D78" si="20">SUMIF($J$69:$N$69,C70,J70:N70)</f>
        <v>4.5999999999999999E-3</v>
      </c>
      <c r="E70" s="2283">
        <f>ROUND(SUM(D70:D78),4)</f>
        <v>5.3999999999999999E-2</v>
      </c>
      <c r="F70" s="2284" t="str">
        <f>IF(E2="住宅",SUMIF(L1:L12,G2,N1:N12),"——")</f>
        <v>——</v>
      </c>
      <c r="G70" s="2285">
        <v>4.5999999999999999E-3</v>
      </c>
      <c r="H70" s="2286" t="str">
        <f t="shared" ref="H70:H78" si="21">IFERROR(ROUNDDOWN($F$70*I70/2,4),"——")</f>
        <v>——</v>
      </c>
      <c r="I70" s="2287">
        <v>0.14000000000000001</v>
      </c>
      <c r="J70" s="2288">
        <f t="shared" ref="J70:J78" si="22">K70+$G70</f>
        <v>9.1999999999999998E-3</v>
      </c>
      <c r="K70" s="2288">
        <f t="shared" ref="K70:K78" si="23">$L70+$G70</f>
        <v>4.5999999999999999E-3</v>
      </c>
      <c r="L70" s="2288">
        <v>0</v>
      </c>
      <c r="M70" s="2288">
        <f t="shared" ref="M70:N78" si="24">L70-$G70</f>
        <v>-4.5999999999999999E-3</v>
      </c>
      <c r="N70" s="2288">
        <f t="shared" si="24"/>
        <v>-9.1999999999999998E-3</v>
      </c>
      <c r="O70" s="1622"/>
      <c r="P70" s="1622"/>
      <c r="Q70" s="3048"/>
      <c r="R70" s="3048"/>
      <c r="S70" s="3048"/>
      <c r="T70" s="3048"/>
      <c r="U70" s="3048"/>
      <c r="V70" s="3048"/>
      <c r="W70" s="3048"/>
      <c r="X70" s="1622"/>
      <c r="Y70" s="1622"/>
      <c r="Z70" s="1622"/>
      <c r="AA70" s="1622"/>
      <c r="AB70" s="1622"/>
      <c r="AC70" s="1622"/>
      <c r="AD70" s="1622"/>
      <c r="AE70" s="1622"/>
      <c r="AF70" s="1622"/>
      <c r="AG70" s="1622"/>
    </row>
    <row r="71" spans="1:33" s="2264" customFormat="1" ht="63.75" hidden="1" customHeight="1">
      <c r="A71" s="2277" t="s">
        <v>2651</v>
      </c>
      <c r="B71" s="2289" t="str">
        <f>估价对象房地状况!C18</f>
        <v>估价对象临近高速路-京新高速，紧邻城市主干道-信息路，距离清河火车站、地铁昌平线、13号线清河站约900米，周边有320路、365路、446路、447路、495路等公交线路通达，停车便捷程度较好，综合评价交通便捷度好。</v>
      </c>
      <c r="C71" s="2165" t="s">
        <v>29</v>
      </c>
      <c r="D71" s="2282">
        <f t="shared" si="20"/>
        <v>1.9800000000000002E-2</v>
      </c>
      <c r="E71" s="2290"/>
      <c r="F71" s="2284"/>
      <c r="G71" s="2285">
        <v>9.9000000000000008E-3</v>
      </c>
      <c r="H71" s="2286" t="str">
        <f t="shared" si="21"/>
        <v>——</v>
      </c>
      <c r="I71" s="2287">
        <v>0.3</v>
      </c>
      <c r="J71" s="2288">
        <f t="shared" si="22"/>
        <v>1.9800000000000002E-2</v>
      </c>
      <c r="K71" s="2288">
        <f t="shared" si="23"/>
        <v>9.9000000000000008E-3</v>
      </c>
      <c r="L71" s="2288">
        <v>0</v>
      </c>
      <c r="M71" s="2288">
        <f t="shared" si="24"/>
        <v>-9.9000000000000008E-3</v>
      </c>
      <c r="N71" s="2288">
        <f t="shared" si="24"/>
        <v>-1.9800000000000002E-2</v>
      </c>
      <c r="O71" s="1622"/>
      <c r="P71" s="1622"/>
      <c r="Q71" s="3048"/>
      <c r="R71" s="3048"/>
      <c r="S71" s="3048"/>
      <c r="T71" s="3048"/>
      <c r="U71" s="3048"/>
      <c r="V71" s="3048"/>
      <c r="W71" s="3048"/>
      <c r="X71" s="1622"/>
      <c r="Y71" s="1622"/>
      <c r="Z71" s="1622"/>
      <c r="AA71" s="1622"/>
      <c r="AB71" s="1622"/>
      <c r="AC71" s="1622"/>
      <c r="AD71" s="1622"/>
      <c r="AE71" s="1622"/>
      <c r="AF71" s="1622"/>
      <c r="AG71" s="1622"/>
    </row>
    <row r="72" spans="1:33" s="2264" customFormat="1" ht="24" hidden="1">
      <c r="A72" s="2277" t="s">
        <v>2652</v>
      </c>
      <c r="B72" s="2289">
        <f>估价对象房地状况!C19</f>
        <v>0</v>
      </c>
      <c r="C72" s="2165" t="s">
        <v>30</v>
      </c>
      <c r="D72" s="2282">
        <f t="shared" si="20"/>
        <v>2.5999999999999999E-3</v>
      </c>
      <c r="E72" s="2290"/>
      <c r="F72" s="2284"/>
      <c r="G72" s="2285">
        <v>2.5999999999999999E-3</v>
      </c>
      <c r="H72" s="2286" t="str">
        <f t="shared" si="21"/>
        <v>——</v>
      </c>
      <c r="I72" s="2287">
        <v>0.08</v>
      </c>
      <c r="J72" s="2288">
        <f t="shared" si="22"/>
        <v>5.1999999999999998E-3</v>
      </c>
      <c r="K72" s="2288">
        <f t="shared" si="23"/>
        <v>2.5999999999999999E-3</v>
      </c>
      <c r="L72" s="2288">
        <v>0</v>
      </c>
      <c r="M72" s="2288">
        <f t="shared" si="24"/>
        <v>-2.5999999999999999E-3</v>
      </c>
      <c r="N72" s="2288">
        <f t="shared" si="24"/>
        <v>-5.1999999999999998E-3</v>
      </c>
      <c r="O72" s="1622"/>
      <c r="P72" s="1622"/>
      <c r="Q72" s="3048"/>
      <c r="R72" s="3048"/>
      <c r="S72" s="3048"/>
      <c r="T72" s="3048"/>
      <c r="U72" s="3048"/>
      <c r="V72" s="3048"/>
      <c r="W72" s="3048"/>
      <c r="X72" s="1622"/>
      <c r="Y72" s="1622"/>
      <c r="Z72" s="1622"/>
      <c r="AA72" s="1622"/>
      <c r="AB72" s="1622"/>
      <c r="AC72" s="1622"/>
      <c r="AD72" s="1622"/>
      <c r="AE72" s="1622"/>
      <c r="AF72" s="1622"/>
      <c r="AG72" s="1622"/>
    </row>
    <row r="73" spans="1:33" s="2264" customFormat="1" ht="14.25" hidden="1">
      <c r="A73" s="2277" t="s">
        <v>2668</v>
      </c>
      <c r="B73" s="2289" t="str">
        <f>估价对象房地状况!C24</f>
        <v>城市主干道-信息路</v>
      </c>
      <c r="C73" s="2165" t="s">
        <v>30</v>
      </c>
      <c r="D73" s="2282">
        <f t="shared" si="20"/>
        <v>1.2999999999999999E-3</v>
      </c>
      <c r="E73" s="2290"/>
      <c r="F73" s="2284"/>
      <c r="G73" s="2285">
        <v>1.2999999999999999E-3</v>
      </c>
      <c r="H73" s="2286" t="str">
        <f t="shared" si="21"/>
        <v>——</v>
      </c>
      <c r="I73" s="2287">
        <v>0.04</v>
      </c>
      <c r="J73" s="2288">
        <f t="shared" si="22"/>
        <v>2.5999999999999999E-3</v>
      </c>
      <c r="K73" s="2288">
        <f t="shared" si="23"/>
        <v>1.2999999999999999E-3</v>
      </c>
      <c r="L73" s="2288">
        <v>0</v>
      </c>
      <c r="M73" s="2288">
        <f t="shared" si="24"/>
        <v>-1.2999999999999999E-3</v>
      </c>
      <c r="N73" s="2288">
        <f t="shared" si="24"/>
        <v>-2.5999999999999999E-3</v>
      </c>
      <c r="O73" s="1622"/>
      <c r="P73" s="1622"/>
      <c r="Q73" s="3048"/>
      <c r="R73" s="3048"/>
      <c r="S73" s="3048"/>
      <c r="T73" s="3048"/>
      <c r="U73" s="3048"/>
      <c r="V73" s="3048"/>
      <c r="W73" s="3048"/>
      <c r="X73" s="1622"/>
      <c r="Y73" s="1622"/>
      <c r="Z73" s="1622"/>
      <c r="AA73" s="1622"/>
      <c r="AB73" s="1622"/>
      <c r="AC73" s="1622"/>
      <c r="AD73" s="1622"/>
      <c r="AE73" s="1622"/>
      <c r="AF73" s="1622"/>
      <c r="AG73" s="1622"/>
    </row>
    <row r="74" spans="1:33" s="2264" customFormat="1" ht="74.25" hidden="1" customHeight="1">
      <c r="A74" s="2277" t="s">
        <v>2658</v>
      </c>
      <c r="B74" s="2294" t="str">
        <f>估价对象房地状况!C21</f>
        <v>银行：农村商业银行、北京银行（上地支行）、中国工商银行（北京中关村支行）、中国银行（北京上地信息路支行）等金融场所；
商业设施：北京华联上地购物中心、数字山谷下沉商业广场等商业设施；
教育机构：北京八维研修学院、北京市上地实验学校、中关村第一小学（西二旗分校）、北京市海淀区第二实验小学（当代校区）、美和园幼儿园（智学苑分园）等教育机构；
医疗机构：北京市上地医院、北京市海淀区清河街道西二旗社区卫生服务站等医疗机构；
估价对象所在区域公共配套设施齐备情况较好。</v>
      </c>
      <c r="C74" s="2165" t="s">
        <v>29</v>
      </c>
      <c r="D74" s="2282">
        <f t="shared" si="20"/>
        <v>5.1999999999999998E-3</v>
      </c>
      <c r="E74" s="2290"/>
      <c r="F74" s="2284"/>
      <c r="G74" s="2285">
        <v>2.5999999999999999E-3</v>
      </c>
      <c r="H74" s="2286" t="str">
        <f t="shared" si="21"/>
        <v>——</v>
      </c>
      <c r="I74" s="2287">
        <v>0.08</v>
      </c>
      <c r="J74" s="2288">
        <f t="shared" si="22"/>
        <v>5.1999999999999998E-3</v>
      </c>
      <c r="K74" s="2288">
        <f t="shared" si="23"/>
        <v>2.5999999999999999E-3</v>
      </c>
      <c r="L74" s="2288">
        <v>0</v>
      </c>
      <c r="M74" s="2288">
        <f t="shared" si="24"/>
        <v>-2.5999999999999999E-3</v>
      </c>
      <c r="N74" s="2288">
        <f t="shared" si="24"/>
        <v>-5.1999999999999998E-3</v>
      </c>
      <c r="O74" s="1622"/>
      <c r="P74" s="1622"/>
      <c r="Q74" s="3048"/>
      <c r="R74" s="3048"/>
      <c r="S74" s="3048"/>
      <c r="T74" s="3048"/>
      <c r="U74" s="3048"/>
      <c r="V74" s="3048"/>
      <c r="W74" s="3048"/>
      <c r="X74" s="1622"/>
      <c r="Y74" s="1622"/>
      <c r="Z74" s="1622"/>
      <c r="AA74" s="1622"/>
      <c r="AB74" s="1622"/>
      <c r="AC74" s="1622"/>
      <c r="AD74" s="1622"/>
      <c r="AE74" s="1622"/>
      <c r="AF74" s="1622"/>
      <c r="AG74" s="1622"/>
    </row>
    <row r="75" spans="1:33" s="2264" customFormat="1" ht="25.5" hidden="1">
      <c r="A75" s="2277" t="s">
        <v>2659</v>
      </c>
      <c r="B75" s="2294" t="str">
        <f>估价对象房地状况!C22</f>
        <v>估价对象所在区域基础设施水平-七通</v>
      </c>
      <c r="C75" s="2165" t="s">
        <v>29</v>
      </c>
      <c r="D75" s="2282">
        <f t="shared" si="20"/>
        <v>7.7999999999999996E-3</v>
      </c>
      <c r="E75" s="2290"/>
      <c r="F75" s="2284"/>
      <c r="G75" s="2285">
        <v>3.8999999999999998E-3</v>
      </c>
      <c r="H75" s="2286" t="str">
        <f t="shared" si="21"/>
        <v>——</v>
      </c>
      <c r="I75" s="2287">
        <v>0.12</v>
      </c>
      <c r="J75" s="2288">
        <f t="shared" si="22"/>
        <v>7.7999999999999996E-3</v>
      </c>
      <c r="K75" s="2288">
        <f t="shared" si="23"/>
        <v>3.8999999999999998E-3</v>
      </c>
      <c r="L75" s="2288">
        <v>0</v>
      </c>
      <c r="M75" s="2288">
        <f t="shared" si="24"/>
        <v>-3.8999999999999998E-3</v>
      </c>
      <c r="N75" s="2288">
        <f t="shared" si="24"/>
        <v>-7.7999999999999996E-3</v>
      </c>
      <c r="O75" s="1622"/>
      <c r="P75" s="1622"/>
      <c r="Q75" s="3048"/>
      <c r="R75" s="3048"/>
      <c r="S75" s="3048"/>
      <c r="T75" s="3048"/>
      <c r="U75" s="3048"/>
      <c r="V75" s="3048"/>
      <c r="W75" s="3048"/>
      <c r="X75" s="1622"/>
      <c r="Y75" s="1622"/>
      <c r="Z75" s="1622"/>
      <c r="AA75" s="1622"/>
      <c r="AB75" s="1622"/>
      <c r="AC75" s="1622"/>
      <c r="AD75" s="1622"/>
      <c r="AE75" s="1622"/>
      <c r="AF75" s="1622"/>
      <c r="AG75" s="1622"/>
    </row>
    <row r="76" spans="1:33" ht="24" hidden="1">
      <c r="A76" s="2277" t="s">
        <v>2656</v>
      </c>
      <c r="B76" s="2292" t="s">
        <v>2657</v>
      </c>
      <c r="C76" s="2165" t="s">
        <v>30</v>
      </c>
      <c r="D76" s="2282">
        <f t="shared" si="20"/>
        <v>1.6000000000000001E-3</v>
      </c>
      <c r="E76" s="2290"/>
      <c r="F76" s="2284"/>
      <c r="G76" s="2285">
        <v>1.6000000000000001E-3</v>
      </c>
      <c r="H76" s="2286" t="str">
        <f t="shared" si="21"/>
        <v>——</v>
      </c>
      <c r="I76" s="2287">
        <v>0.05</v>
      </c>
      <c r="J76" s="2288">
        <f t="shared" si="22"/>
        <v>3.2000000000000002E-3</v>
      </c>
      <c r="K76" s="2288">
        <f t="shared" si="23"/>
        <v>1.6000000000000001E-3</v>
      </c>
      <c r="L76" s="2288">
        <v>0</v>
      </c>
      <c r="M76" s="2288">
        <f t="shared" si="24"/>
        <v>-1.6000000000000001E-3</v>
      </c>
      <c r="N76" s="2288">
        <f t="shared" si="24"/>
        <v>-3.2000000000000002E-3</v>
      </c>
      <c r="Q76" s="3056"/>
      <c r="R76" s="3056"/>
      <c r="S76" s="3056"/>
      <c r="T76" s="3056"/>
      <c r="U76" s="3056"/>
      <c r="V76" s="3056"/>
      <c r="W76" s="3056"/>
      <c r="AA76" s="1623"/>
      <c r="AG76" s="2264"/>
    </row>
    <row r="77" spans="1:33" ht="63.75" hidden="1">
      <c r="A77" s="2277" t="s">
        <v>2660</v>
      </c>
      <c r="B77" s="2281" t="str">
        <f>估价对象房地状况!C20</f>
        <v>区域自然环境：上地公园、快乐成长家庭人口文化园等；人文环境；周边人文设施较少；
综合评价环境状况一般。</v>
      </c>
      <c r="C77" s="2165" t="s">
        <v>29</v>
      </c>
      <c r="D77" s="2282">
        <f t="shared" si="20"/>
        <v>9.7999999999999997E-3</v>
      </c>
      <c r="E77" s="2290"/>
      <c r="F77" s="2284"/>
      <c r="G77" s="2285">
        <v>4.8999999999999998E-3</v>
      </c>
      <c r="H77" s="2286" t="str">
        <f t="shared" si="21"/>
        <v>——</v>
      </c>
      <c r="I77" s="2287">
        <v>0.15</v>
      </c>
      <c r="J77" s="2288">
        <f t="shared" si="22"/>
        <v>9.7999999999999997E-3</v>
      </c>
      <c r="K77" s="2288">
        <f t="shared" si="23"/>
        <v>4.8999999999999998E-3</v>
      </c>
      <c r="L77" s="2288">
        <v>0</v>
      </c>
      <c r="M77" s="2288">
        <f t="shared" si="24"/>
        <v>-4.8999999999999998E-3</v>
      </c>
      <c r="N77" s="2288">
        <f t="shared" si="24"/>
        <v>-9.7999999999999997E-3</v>
      </c>
      <c r="Q77" s="3056"/>
      <c r="R77" s="3056"/>
      <c r="S77" s="3056"/>
      <c r="T77" s="3056"/>
      <c r="U77" s="3056"/>
      <c r="V77" s="3056"/>
      <c r="W77" s="3056"/>
      <c r="AA77" s="1623"/>
      <c r="AG77" s="2264"/>
    </row>
    <row r="78" spans="1:33" ht="24.75" hidden="1" thickBot="1">
      <c r="A78" s="2295" t="s">
        <v>2669</v>
      </c>
      <c r="B78" s="2301"/>
      <c r="C78" s="2165" t="s">
        <v>30</v>
      </c>
      <c r="D78" s="2282">
        <f t="shared" si="20"/>
        <v>1.2999999999999999E-3</v>
      </c>
      <c r="E78" s="2297"/>
      <c r="F78" s="2284"/>
      <c r="G78" s="2285">
        <v>1.2999999999999999E-3</v>
      </c>
      <c r="H78" s="2286" t="str">
        <f t="shared" si="21"/>
        <v>——</v>
      </c>
      <c r="I78" s="2298">
        <v>0.04</v>
      </c>
      <c r="J78" s="2288">
        <f t="shared" si="22"/>
        <v>2.5999999999999999E-3</v>
      </c>
      <c r="K78" s="2288">
        <f t="shared" si="23"/>
        <v>1.2999999999999999E-3</v>
      </c>
      <c r="L78" s="2288">
        <v>0</v>
      </c>
      <c r="M78" s="2288">
        <f t="shared" si="24"/>
        <v>-1.2999999999999999E-3</v>
      </c>
      <c r="N78" s="2288">
        <f t="shared" si="24"/>
        <v>-2.5999999999999999E-3</v>
      </c>
      <c r="Q78" s="3056"/>
      <c r="R78" s="3056"/>
      <c r="S78" s="3056"/>
      <c r="T78" s="3056"/>
      <c r="U78" s="3056"/>
      <c r="V78" s="3056"/>
      <c r="W78" s="3056"/>
      <c r="AA78" s="1623"/>
      <c r="AG78" s="2264"/>
    </row>
    <row r="79" spans="1:33" ht="15">
      <c r="A79" s="2270" t="s">
        <v>2670</v>
      </c>
      <c r="B79" s="2299">
        <f>1+E81</f>
        <v>1.071</v>
      </c>
      <c r="C79" s="2273"/>
      <c r="D79" s="2273"/>
      <c r="E79" s="2274"/>
      <c r="F79" s="2275"/>
      <c r="G79" s="608"/>
      <c r="H79" s="608"/>
      <c r="I79" s="608"/>
      <c r="J79" s="608"/>
      <c r="K79" s="608"/>
      <c r="L79" s="608"/>
      <c r="M79" s="608"/>
      <c r="N79" s="608"/>
      <c r="Q79" s="3056"/>
      <c r="R79" s="3056"/>
      <c r="S79" s="3056"/>
      <c r="T79" s="3056"/>
      <c r="U79" s="3056"/>
      <c r="V79" s="3056"/>
      <c r="W79" s="3056"/>
      <c r="AA79" s="1623"/>
      <c r="AG79" s="2264"/>
    </row>
    <row r="80" spans="1:33" ht="24.75">
      <c r="A80" s="2277" t="s">
        <v>2636</v>
      </c>
      <c r="B80" s="2289"/>
      <c r="C80" s="2278" t="s">
        <v>2638</v>
      </c>
      <c r="D80" s="2278" t="s">
        <v>2639</v>
      </c>
      <c r="E80" s="2279" t="s">
        <v>2640</v>
      </c>
      <c r="F80" s="2229" t="s">
        <v>2641</v>
      </c>
      <c r="G80" s="2278" t="s">
        <v>2662</v>
      </c>
      <c r="H80" s="2280" t="s">
        <v>2663</v>
      </c>
      <c r="I80" s="2278" t="s">
        <v>2664</v>
      </c>
      <c r="J80" s="1905" t="s">
        <v>2307</v>
      </c>
      <c r="K80" s="1905" t="s">
        <v>2308</v>
      </c>
      <c r="L80" s="1905" t="s">
        <v>2309</v>
      </c>
      <c r="M80" s="1905" t="s">
        <v>2310</v>
      </c>
      <c r="N80" s="1905" t="s">
        <v>2311</v>
      </c>
      <c r="Q80" s="3056"/>
      <c r="R80" s="3056"/>
      <c r="S80" s="3056"/>
      <c r="T80" s="3056"/>
      <c r="U80" s="3056"/>
      <c r="V80" s="3056"/>
      <c r="W80" s="3056"/>
      <c r="AA80" s="1623"/>
      <c r="AG80" s="2264"/>
    </row>
    <row r="81" spans="1:33" ht="38.25">
      <c r="A81" s="2277" t="s">
        <v>2671</v>
      </c>
      <c r="B81" s="2289" t="str">
        <f>估价对象房地状况!G15</f>
        <v>估价对象位于XX开发区，园区建设成熟度XX，产业集聚程度XX</v>
      </c>
      <c r="C81" s="2165" t="s">
        <v>30</v>
      </c>
      <c r="D81" s="2282">
        <f t="shared" ref="D81:D88" si="25">SUMIF($J$80:$N$80,C81,J81:N81)</f>
        <v>1.2999999999999999E-2</v>
      </c>
      <c r="E81" s="2283">
        <f>ROUND(SUM(D81:D88),4)</f>
        <v>7.0999999999999994E-2</v>
      </c>
      <c r="F81" s="2284">
        <f>IF(E2="工业",SUMIF(L1:L12,G2,N1:N12),"——")</f>
        <v>0.1</v>
      </c>
      <c r="G81" s="2285">
        <f>H81</f>
        <v>1.2999999999999999E-2</v>
      </c>
      <c r="H81" s="2286">
        <f t="shared" ref="H81:H88" si="26">IFERROR(ROUNDDOWN($F$81*I81/2,4),"——")</f>
        <v>1.2999999999999999E-2</v>
      </c>
      <c r="I81" s="2287">
        <v>0.26</v>
      </c>
      <c r="J81" s="2288">
        <f t="shared" ref="J81:J88" si="27">K81+$G81</f>
        <v>2.5999999999999999E-2</v>
      </c>
      <c r="K81" s="2288">
        <f t="shared" ref="K81:K88" si="28">$L81+$G81</f>
        <v>1.2999999999999999E-2</v>
      </c>
      <c r="L81" s="2288">
        <v>0</v>
      </c>
      <c r="M81" s="2288">
        <f t="shared" ref="M81:N88" si="29">L81-$G81</f>
        <v>-1.2999999999999999E-2</v>
      </c>
      <c r="N81" s="2288">
        <f t="shared" si="29"/>
        <v>-2.5999999999999999E-2</v>
      </c>
      <c r="Q81" s="3056"/>
      <c r="R81" s="3056"/>
      <c r="S81" s="3056"/>
      <c r="T81" s="3056"/>
      <c r="U81" s="3056"/>
      <c r="V81" s="3056"/>
      <c r="W81" s="3056"/>
      <c r="AA81" s="1623"/>
      <c r="AG81" s="2264"/>
    </row>
    <row r="82" spans="1:33" ht="51">
      <c r="A82" s="2277" t="s">
        <v>2651</v>
      </c>
      <c r="B82" s="2289" t="str">
        <f>估价对象房地状况!G16</f>
        <v>估价对象周边道路状况、公共交通通达情况、停车便捷程度，综合评价交通便捷度较好</v>
      </c>
      <c r="C82" s="2165" t="s">
        <v>29</v>
      </c>
      <c r="D82" s="2282">
        <f t="shared" si="25"/>
        <v>3.3000000000000002E-2</v>
      </c>
      <c r="E82" s="2290"/>
      <c r="F82" s="2284"/>
      <c r="G82" s="2285">
        <f t="shared" ref="G82:G88" si="30">H82</f>
        <v>1.6500000000000001E-2</v>
      </c>
      <c r="H82" s="2286">
        <f t="shared" si="26"/>
        <v>1.6500000000000001E-2</v>
      </c>
      <c r="I82" s="2287">
        <v>0.33</v>
      </c>
      <c r="J82" s="2288">
        <f t="shared" si="27"/>
        <v>3.3000000000000002E-2</v>
      </c>
      <c r="K82" s="2288">
        <f t="shared" si="28"/>
        <v>1.6500000000000001E-2</v>
      </c>
      <c r="L82" s="2288">
        <v>0</v>
      </c>
      <c r="M82" s="2288">
        <f t="shared" si="29"/>
        <v>-1.6500000000000001E-2</v>
      </c>
      <c r="N82" s="2288">
        <f t="shared" si="29"/>
        <v>-3.3000000000000002E-2</v>
      </c>
      <c r="Q82" s="3056"/>
      <c r="R82" s="3056"/>
      <c r="S82" s="3056"/>
      <c r="T82" s="3056"/>
      <c r="U82" s="3056"/>
      <c r="V82" s="3056"/>
      <c r="W82" s="3056"/>
      <c r="AA82" s="1623"/>
      <c r="AG82" s="2264"/>
    </row>
    <row r="83" spans="1:33" ht="24">
      <c r="A83" s="2277" t="s">
        <v>2652</v>
      </c>
      <c r="B83" s="2289">
        <f>估价对象房地状况!G17</f>
        <v>0</v>
      </c>
      <c r="C83" s="2165" t="s">
        <v>30</v>
      </c>
      <c r="D83" s="2282">
        <f t="shared" si="25"/>
        <v>2.5000000000000001E-3</v>
      </c>
      <c r="E83" s="2290"/>
      <c r="F83" s="2284"/>
      <c r="G83" s="2285">
        <f t="shared" si="30"/>
        <v>2.5000000000000001E-3</v>
      </c>
      <c r="H83" s="2286">
        <f t="shared" si="26"/>
        <v>2.5000000000000001E-3</v>
      </c>
      <c r="I83" s="2287">
        <v>0.05</v>
      </c>
      <c r="J83" s="2288">
        <f t="shared" si="27"/>
        <v>5.0000000000000001E-3</v>
      </c>
      <c r="K83" s="2288">
        <f t="shared" si="28"/>
        <v>2.5000000000000001E-3</v>
      </c>
      <c r="L83" s="2288">
        <v>0</v>
      </c>
      <c r="M83" s="2288">
        <f t="shared" si="29"/>
        <v>-2.5000000000000001E-3</v>
      </c>
      <c r="N83" s="2288">
        <f t="shared" si="29"/>
        <v>-5.0000000000000001E-3</v>
      </c>
      <c r="Q83" s="3056"/>
      <c r="R83" s="3056"/>
      <c r="S83" s="3056"/>
      <c r="T83" s="3056"/>
      <c r="U83" s="3056"/>
      <c r="V83" s="3056"/>
      <c r="W83" s="3056"/>
      <c r="AA83" s="1623"/>
      <c r="AG83" s="2264"/>
    </row>
    <row r="84" spans="1:33" ht="14.25">
      <c r="A84" s="2277" t="s">
        <v>2668</v>
      </c>
      <c r="B84" s="2289">
        <f>估价对象房地状况!G22</f>
        <v>0</v>
      </c>
      <c r="C84" s="2165" t="s">
        <v>30</v>
      </c>
      <c r="D84" s="2282">
        <f t="shared" si="25"/>
        <v>2E-3</v>
      </c>
      <c r="E84" s="2290"/>
      <c r="F84" s="2284"/>
      <c r="G84" s="2285">
        <f t="shared" si="30"/>
        <v>2E-3</v>
      </c>
      <c r="H84" s="2286">
        <f t="shared" si="26"/>
        <v>2E-3</v>
      </c>
      <c r="I84" s="2287">
        <v>0.04</v>
      </c>
      <c r="J84" s="2288">
        <f t="shared" si="27"/>
        <v>4.0000000000000001E-3</v>
      </c>
      <c r="K84" s="2288">
        <f t="shared" si="28"/>
        <v>2E-3</v>
      </c>
      <c r="L84" s="2288">
        <v>0</v>
      </c>
      <c r="M84" s="2288">
        <f t="shared" si="29"/>
        <v>-2E-3</v>
      </c>
      <c r="N84" s="2288">
        <f t="shared" si="29"/>
        <v>-4.0000000000000001E-3</v>
      </c>
      <c r="Q84" s="3056"/>
      <c r="R84" s="3056"/>
      <c r="S84" s="3056"/>
      <c r="T84" s="3056"/>
      <c r="U84" s="3056"/>
      <c r="V84" s="3056"/>
      <c r="W84" s="3056"/>
      <c r="AA84" s="1623"/>
      <c r="AG84" s="2264"/>
    </row>
    <row r="85" spans="1:33" ht="25.5">
      <c r="A85" s="2277" t="s">
        <v>2658</v>
      </c>
      <c r="B85" s="2294" t="str">
        <f>估价对象房地状况!G19</f>
        <v>估价对象所在区域公共配套设施齐备情况</v>
      </c>
      <c r="C85" s="2165" t="s">
        <v>30</v>
      </c>
      <c r="D85" s="2282">
        <f t="shared" si="25"/>
        <v>3.0000000000000001E-3</v>
      </c>
      <c r="E85" s="2290"/>
      <c r="F85" s="2284"/>
      <c r="G85" s="2285">
        <f t="shared" si="30"/>
        <v>3.0000000000000001E-3</v>
      </c>
      <c r="H85" s="2286">
        <f t="shared" si="26"/>
        <v>3.0000000000000001E-3</v>
      </c>
      <c r="I85" s="2287">
        <v>0.06</v>
      </c>
      <c r="J85" s="2288">
        <f t="shared" si="27"/>
        <v>6.0000000000000001E-3</v>
      </c>
      <c r="K85" s="2288">
        <f t="shared" si="28"/>
        <v>3.0000000000000001E-3</v>
      </c>
      <c r="L85" s="2288">
        <v>0</v>
      </c>
      <c r="M85" s="2288">
        <f t="shared" si="29"/>
        <v>-3.0000000000000001E-3</v>
      </c>
      <c r="N85" s="2288">
        <f t="shared" si="29"/>
        <v>-6.0000000000000001E-3</v>
      </c>
      <c r="Q85" s="3056"/>
      <c r="R85" s="3056"/>
      <c r="S85" s="3056"/>
      <c r="T85" s="3056"/>
      <c r="U85" s="3056"/>
      <c r="V85" s="3056"/>
      <c r="W85" s="3056"/>
      <c r="AA85" s="1623"/>
      <c r="AG85" s="2264"/>
    </row>
    <row r="86" spans="1:33" ht="25.5">
      <c r="A86" s="2277" t="s">
        <v>2659</v>
      </c>
      <c r="B86" s="2294" t="str">
        <f>估价对象房地状况!G20</f>
        <v>估价对象所在区域基础设施水平</v>
      </c>
      <c r="C86" s="2165" t="s">
        <v>29</v>
      </c>
      <c r="D86" s="2282">
        <f t="shared" si="25"/>
        <v>1.4999999999999999E-2</v>
      </c>
      <c r="E86" s="2290"/>
      <c r="F86" s="2284"/>
      <c r="G86" s="2285">
        <f t="shared" si="30"/>
        <v>7.4999999999999997E-3</v>
      </c>
      <c r="H86" s="2286">
        <f t="shared" si="26"/>
        <v>7.4999999999999997E-3</v>
      </c>
      <c r="I86" s="2287">
        <v>0.15</v>
      </c>
      <c r="J86" s="2288">
        <f t="shared" si="27"/>
        <v>1.4999999999999999E-2</v>
      </c>
      <c r="K86" s="2288">
        <f t="shared" si="28"/>
        <v>7.4999999999999997E-3</v>
      </c>
      <c r="L86" s="2288">
        <v>0</v>
      </c>
      <c r="M86" s="2288">
        <f t="shared" si="29"/>
        <v>-7.4999999999999997E-3</v>
      </c>
      <c r="N86" s="2288">
        <f t="shared" si="29"/>
        <v>-1.4999999999999999E-2</v>
      </c>
      <c r="Q86" s="3056"/>
      <c r="R86" s="3056"/>
      <c r="S86" s="3056"/>
      <c r="T86" s="3056"/>
      <c r="U86" s="3056"/>
      <c r="V86" s="3056"/>
      <c r="W86" s="3056"/>
      <c r="AA86" s="1623"/>
      <c r="AG86" s="2264"/>
    </row>
    <row r="87" spans="1:33" ht="24">
      <c r="A87" s="2277" t="s">
        <v>2656</v>
      </c>
      <c r="B87" s="2292" t="s">
        <v>2657</v>
      </c>
      <c r="C87" s="2165" t="s">
        <v>30</v>
      </c>
      <c r="D87" s="2282">
        <f t="shared" si="25"/>
        <v>2.5000000000000001E-3</v>
      </c>
      <c r="E87" s="2290"/>
      <c r="F87" s="2284"/>
      <c r="G87" s="2285">
        <f t="shared" si="30"/>
        <v>2.5000000000000001E-3</v>
      </c>
      <c r="H87" s="2286">
        <f t="shared" si="26"/>
        <v>2.5000000000000001E-3</v>
      </c>
      <c r="I87" s="2287">
        <v>0.05</v>
      </c>
      <c r="J87" s="2288">
        <f t="shared" si="27"/>
        <v>5.0000000000000001E-3</v>
      </c>
      <c r="K87" s="2288">
        <f t="shared" si="28"/>
        <v>2.5000000000000001E-3</v>
      </c>
      <c r="L87" s="2288">
        <v>0</v>
      </c>
      <c r="M87" s="2288">
        <f t="shared" si="29"/>
        <v>-2.5000000000000001E-3</v>
      </c>
      <c r="N87" s="2288">
        <f t="shared" si="29"/>
        <v>-5.0000000000000001E-3</v>
      </c>
      <c r="Q87" s="3056"/>
      <c r="R87" s="3056"/>
      <c r="S87" s="3056"/>
      <c r="T87" s="3056"/>
      <c r="U87" s="3056"/>
      <c r="V87" s="3056"/>
      <c r="W87" s="3056"/>
      <c r="AA87" s="1623"/>
      <c r="AG87" s="2264"/>
    </row>
    <row r="88" spans="1:33" ht="39" thickBot="1">
      <c r="A88" s="2295" t="s">
        <v>2672</v>
      </c>
      <c r="B88" s="2302" t="str">
        <f>估价对象房地状况!G18</f>
        <v>该园区内是否有污染型企业，绿化情况，卫生条件，整体环境状况判断</v>
      </c>
      <c r="C88" s="2165" t="s">
        <v>31</v>
      </c>
      <c r="D88" s="2303">
        <f t="shared" si="25"/>
        <v>0</v>
      </c>
      <c r="E88" s="2297"/>
      <c r="F88" s="2284"/>
      <c r="G88" s="2285">
        <f t="shared" si="30"/>
        <v>3.0000000000000001E-3</v>
      </c>
      <c r="H88" s="2286">
        <f t="shared" si="26"/>
        <v>3.0000000000000001E-3</v>
      </c>
      <c r="I88" s="2298">
        <v>0.06</v>
      </c>
      <c r="J88" s="2288">
        <f t="shared" si="27"/>
        <v>6.0000000000000001E-3</v>
      </c>
      <c r="K88" s="2288">
        <f t="shared" si="28"/>
        <v>3.0000000000000001E-3</v>
      </c>
      <c r="L88" s="2288">
        <v>0</v>
      </c>
      <c r="M88" s="2288">
        <f t="shared" si="29"/>
        <v>-3.0000000000000001E-3</v>
      </c>
      <c r="N88" s="2288">
        <f t="shared" si="29"/>
        <v>-6.0000000000000001E-3</v>
      </c>
      <c r="Q88" s="3056"/>
      <c r="R88" s="3056"/>
      <c r="S88" s="3056"/>
      <c r="T88" s="3056"/>
      <c r="U88" s="3056"/>
      <c r="V88" s="3056"/>
      <c r="W88" s="3056"/>
      <c r="AA88" s="1623"/>
      <c r="AG88" s="2264"/>
    </row>
    <row r="89" spans="1:33">
      <c r="Q89" s="3056"/>
      <c r="R89" s="3056"/>
      <c r="S89" s="3056"/>
      <c r="T89" s="3056"/>
      <c r="U89" s="3056"/>
      <c r="V89" s="3056"/>
      <c r="W89" s="3056"/>
    </row>
    <row r="90" spans="1:33">
      <c r="A90" s="4796" t="s">
        <v>2673</v>
      </c>
      <c r="B90" s="4796"/>
      <c r="C90" s="4796"/>
      <c r="D90" s="4796"/>
      <c r="E90" s="4796"/>
      <c r="F90" s="4796"/>
      <c r="G90" s="4796"/>
      <c r="H90" s="4796"/>
      <c r="I90" s="4796"/>
      <c r="J90" s="4796"/>
      <c r="K90" s="2304"/>
      <c r="L90" s="2304"/>
      <c r="M90" s="2304"/>
      <c r="N90" s="2304"/>
      <c r="Q90" s="3056"/>
      <c r="R90" s="3056"/>
      <c r="S90" s="3056"/>
      <c r="T90" s="3056"/>
      <c r="U90" s="3056"/>
      <c r="V90" s="3056"/>
      <c r="W90" s="3056"/>
    </row>
    <row r="91" spans="1:33">
      <c r="A91" s="4798" t="s">
        <v>2674</v>
      </c>
      <c r="B91" s="4798" t="s">
        <v>2675</v>
      </c>
      <c r="C91" s="2244" t="s">
        <v>2676</v>
      </c>
      <c r="D91" s="2245"/>
      <c r="E91" s="2245"/>
      <c r="F91" s="2245"/>
      <c r="G91" s="2245"/>
      <c r="H91" s="2245"/>
      <c r="I91" s="2245"/>
      <c r="J91" s="2306"/>
      <c r="K91" s="2067"/>
      <c r="L91" s="2067"/>
      <c r="M91" s="2067"/>
      <c r="N91" s="2067"/>
      <c r="Q91" s="3056"/>
      <c r="R91" s="3056"/>
      <c r="S91" s="3056"/>
      <c r="T91" s="3056"/>
      <c r="U91" s="3056"/>
      <c r="V91" s="3056"/>
      <c r="W91" s="3056"/>
    </row>
    <row r="92" spans="1:33">
      <c r="A92" s="4798"/>
      <c r="B92" s="4798"/>
      <c r="C92" s="2030" t="s">
        <v>2532</v>
      </c>
      <c r="D92" s="2030" t="s">
        <v>2533</v>
      </c>
      <c r="E92" s="2030" t="s">
        <v>2534</v>
      </c>
      <c r="F92" s="2030" t="s">
        <v>2535</v>
      </c>
      <c r="G92" s="2030" t="s">
        <v>2536</v>
      </c>
      <c r="H92" s="2030" t="s">
        <v>2537</v>
      </c>
      <c r="I92" s="2030" t="s">
        <v>2538</v>
      </c>
      <c r="J92" s="2030" t="s">
        <v>2539</v>
      </c>
      <c r="K92" s="2030" t="s">
        <v>2540</v>
      </c>
      <c r="L92" s="2030" t="s">
        <v>2541</v>
      </c>
      <c r="M92" s="2030" t="s">
        <v>2542</v>
      </c>
      <c r="N92" s="2030" t="s">
        <v>2543</v>
      </c>
      <c r="Q92" s="3056"/>
      <c r="R92" s="3056"/>
      <c r="S92" s="3056"/>
      <c r="T92" s="3056"/>
      <c r="U92" s="3056"/>
      <c r="V92" s="3056"/>
      <c r="W92" s="3056"/>
    </row>
    <row r="93" spans="1:33">
      <c r="A93" s="4799" t="s">
        <v>2677</v>
      </c>
      <c r="B93" s="2307">
        <v>1</v>
      </c>
      <c r="C93" s="2308">
        <v>1.9361999999999999</v>
      </c>
      <c r="D93" s="2308">
        <v>1.9361999999999999</v>
      </c>
      <c r="E93" s="2308">
        <v>1.8629</v>
      </c>
      <c r="F93" s="2308">
        <v>1.8629</v>
      </c>
      <c r="G93" s="2308">
        <v>1.8629</v>
      </c>
      <c r="H93" s="2308">
        <v>1.8629</v>
      </c>
      <c r="I93" s="2308">
        <v>1.8629</v>
      </c>
      <c r="J93" s="2308">
        <v>1.9419999999999999</v>
      </c>
      <c r="K93" s="2308">
        <v>1.9419999999999999</v>
      </c>
      <c r="L93" s="2308">
        <v>1.9419999999999999</v>
      </c>
      <c r="M93" s="2308">
        <v>1.9419999999999999</v>
      </c>
      <c r="N93" s="2308">
        <v>1.9419999999999999</v>
      </c>
      <c r="Q93" s="3056"/>
      <c r="R93" s="3056"/>
      <c r="S93" s="3056"/>
      <c r="T93" s="3056"/>
      <c r="U93" s="3056"/>
      <c r="V93" s="3056"/>
      <c r="W93" s="3056"/>
    </row>
    <row r="94" spans="1:33">
      <c r="A94" s="4800"/>
      <c r="B94" s="2307">
        <v>2</v>
      </c>
      <c r="C94" s="2308">
        <v>1.4198</v>
      </c>
      <c r="D94" s="2308">
        <v>1.4198</v>
      </c>
      <c r="E94" s="2308">
        <v>1.3371999999999999</v>
      </c>
      <c r="F94" s="2308">
        <v>1.3371999999999999</v>
      </c>
      <c r="G94" s="2308">
        <v>1.3371999999999999</v>
      </c>
      <c r="H94" s="2308">
        <v>1.3371999999999999</v>
      </c>
      <c r="I94" s="2308">
        <v>1.3371999999999999</v>
      </c>
      <c r="J94" s="2308">
        <v>1.2799</v>
      </c>
      <c r="K94" s="2308">
        <v>1.2799</v>
      </c>
      <c r="L94" s="2308">
        <v>1.2799</v>
      </c>
      <c r="M94" s="2308">
        <v>1.2799</v>
      </c>
      <c r="N94" s="2308">
        <v>1.2799</v>
      </c>
      <c r="Q94" s="3056"/>
      <c r="R94" s="3056"/>
      <c r="S94" s="3056"/>
      <c r="T94" s="3056"/>
      <c r="U94" s="3056"/>
      <c r="V94" s="3056"/>
      <c r="W94" s="3056"/>
    </row>
    <row r="95" spans="1:33">
      <c r="A95" s="4800"/>
      <c r="B95" s="2307">
        <v>3</v>
      </c>
      <c r="C95" s="2308">
        <v>1.1594</v>
      </c>
      <c r="D95" s="2308">
        <v>1.1594</v>
      </c>
      <c r="E95" s="2308">
        <v>1.0788</v>
      </c>
      <c r="F95" s="2308">
        <v>1.0788</v>
      </c>
      <c r="G95" s="2308">
        <v>1.0788</v>
      </c>
      <c r="H95" s="2308">
        <v>1.0788</v>
      </c>
      <c r="I95" s="2308">
        <v>1.0788</v>
      </c>
      <c r="J95" s="2308">
        <v>1.0072000000000001</v>
      </c>
      <c r="K95" s="2308">
        <v>1.0072000000000001</v>
      </c>
      <c r="L95" s="2308">
        <v>1.0072000000000001</v>
      </c>
      <c r="M95" s="2308">
        <v>1.0072000000000001</v>
      </c>
      <c r="N95" s="2308">
        <v>1.0072000000000001</v>
      </c>
      <c r="Q95" s="3056"/>
      <c r="R95" s="3056"/>
      <c r="S95" s="3056"/>
      <c r="T95" s="3056"/>
      <c r="U95" s="3056"/>
      <c r="V95" s="3056"/>
      <c r="W95" s="3056"/>
    </row>
    <row r="96" spans="1:33">
      <c r="A96" s="4800"/>
      <c r="B96" s="2307">
        <v>4</v>
      </c>
      <c r="C96" s="2308">
        <v>0.96220000000000006</v>
      </c>
      <c r="D96" s="2308">
        <v>0.96220000000000006</v>
      </c>
      <c r="E96" s="2308">
        <v>0.86560000000000004</v>
      </c>
      <c r="F96" s="2308">
        <v>0.86560000000000004</v>
      </c>
      <c r="G96" s="2308">
        <v>0.86560000000000004</v>
      </c>
      <c r="H96" s="2308">
        <v>0.86560000000000004</v>
      </c>
      <c r="I96" s="2308">
        <v>0.86560000000000004</v>
      </c>
      <c r="J96" s="2308">
        <v>0.75249999999999995</v>
      </c>
      <c r="K96" s="2308">
        <v>0.75249999999999995</v>
      </c>
      <c r="L96" s="2308">
        <v>0.75249999999999995</v>
      </c>
      <c r="M96" s="2308">
        <v>0.75249999999999995</v>
      </c>
      <c r="N96" s="2308">
        <v>0.75249999999999995</v>
      </c>
      <c r="Q96" s="3056"/>
      <c r="R96" s="3056"/>
      <c r="S96" s="3056"/>
      <c r="T96" s="3056"/>
      <c r="U96" s="3056"/>
      <c r="V96" s="3056"/>
      <c r="W96" s="3056"/>
    </row>
    <row r="97" spans="1:23">
      <c r="A97" s="4800"/>
      <c r="B97" s="2307">
        <v>5</v>
      </c>
      <c r="C97" s="2308">
        <v>0.8417</v>
      </c>
      <c r="D97" s="2308">
        <v>0.8417</v>
      </c>
      <c r="E97" s="2308">
        <v>0.73709999999999998</v>
      </c>
      <c r="F97" s="2308">
        <v>0.73709999999999998</v>
      </c>
      <c r="G97" s="2308">
        <v>0.73709999999999998</v>
      </c>
      <c r="H97" s="2308">
        <v>0.73709999999999998</v>
      </c>
      <c r="I97" s="2308">
        <v>0.73709999999999998</v>
      </c>
      <c r="J97" s="2308">
        <v>0.56589999999999996</v>
      </c>
      <c r="K97" s="2308">
        <v>0.56589999999999996</v>
      </c>
      <c r="L97" s="2308">
        <v>0.56589999999999996</v>
      </c>
      <c r="M97" s="2308">
        <v>0.56589999999999996</v>
      </c>
      <c r="N97" s="2308">
        <v>0.56589999999999996</v>
      </c>
      <c r="Q97" s="3056"/>
      <c r="R97" s="3056"/>
      <c r="S97" s="3056"/>
      <c r="T97" s="3056"/>
      <c r="U97" s="3056"/>
      <c r="V97" s="3056"/>
      <c r="W97" s="3056"/>
    </row>
    <row r="98" spans="1:23">
      <c r="A98" s="4800"/>
      <c r="B98" s="2307">
        <v>6</v>
      </c>
      <c r="C98" s="2308">
        <v>0.76080000000000003</v>
      </c>
      <c r="D98" s="2308">
        <v>0.76080000000000003</v>
      </c>
      <c r="E98" s="2308">
        <v>0.6482</v>
      </c>
      <c r="F98" s="2308">
        <v>0.6482</v>
      </c>
      <c r="G98" s="2308">
        <v>0.6482</v>
      </c>
      <c r="H98" s="2308">
        <v>0.6482</v>
      </c>
      <c r="I98" s="2308">
        <v>0.6482</v>
      </c>
      <c r="J98" s="2308">
        <v>0.45250000000000001</v>
      </c>
      <c r="K98" s="2308">
        <v>0.45250000000000001</v>
      </c>
      <c r="L98" s="2308">
        <v>0.45250000000000001</v>
      </c>
      <c r="M98" s="2308">
        <v>0.45250000000000001</v>
      </c>
      <c r="N98" s="2308">
        <v>0.45250000000000001</v>
      </c>
      <c r="Q98" s="3056"/>
      <c r="R98" s="3056"/>
      <c r="S98" s="3056"/>
      <c r="T98" s="3056"/>
      <c r="U98" s="3056"/>
      <c r="V98" s="3056"/>
      <c r="W98" s="3056"/>
    </row>
    <row r="99" spans="1:23">
      <c r="A99" s="4800"/>
      <c r="B99" s="2307" t="s">
        <v>2548</v>
      </c>
      <c r="C99" s="2309">
        <f>$I$3</f>
        <v>0</v>
      </c>
      <c r="D99" s="2309">
        <f t="shared" ref="D99:M99" si="31">$I$3</f>
        <v>0</v>
      </c>
      <c r="E99" s="2309">
        <f t="shared" si="31"/>
        <v>0</v>
      </c>
      <c r="F99" s="2309">
        <f t="shared" si="31"/>
        <v>0</v>
      </c>
      <c r="G99" s="2309">
        <f t="shared" si="31"/>
        <v>0</v>
      </c>
      <c r="H99" s="2309">
        <f t="shared" si="31"/>
        <v>0</v>
      </c>
      <c r="I99" s="2309">
        <f t="shared" si="31"/>
        <v>0</v>
      </c>
      <c r="J99" s="2309">
        <f t="shared" si="31"/>
        <v>0</v>
      </c>
      <c r="K99" s="2309">
        <f t="shared" si="31"/>
        <v>0</v>
      </c>
      <c r="L99" s="2309">
        <f t="shared" si="31"/>
        <v>0</v>
      </c>
      <c r="M99" s="2309">
        <f t="shared" si="31"/>
        <v>0</v>
      </c>
      <c r="N99" s="2309">
        <f>$I$3</f>
        <v>0</v>
      </c>
      <c r="Q99" s="3056"/>
      <c r="R99" s="3056"/>
      <c r="S99" s="3056"/>
      <c r="T99" s="3056"/>
      <c r="U99" s="3056"/>
      <c r="V99" s="3056"/>
      <c r="W99" s="3056"/>
    </row>
    <row r="100" spans="1:23">
      <c r="A100" s="4801"/>
      <c r="B100" s="2307">
        <v>7</v>
      </c>
      <c r="C100" s="2310">
        <f>(-0.163*(C99^2)-0.59*C99+7617)*(10^(-4))</f>
        <v>0.76170000000000004</v>
      </c>
      <c r="D100" s="2310">
        <f>(-0.163*(D99^2)-0.59*D99+7617)*(10^(-4))</f>
        <v>0.76170000000000004</v>
      </c>
      <c r="E100" s="2310">
        <f>(-0.161*(E99^2)-7.509*E99+6533)*(10^(-4))</f>
        <v>0.65329999999999999</v>
      </c>
      <c r="F100" s="2310">
        <f>(-0.161*(F99^2)-7.509*F99+6533)*(10^(-4))</f>
        <v>0.65329999999999999</v>
      </c>
      <c r="G100" s="2310">
        <f>(-0.161*(G99^2)-7.509*G99+6533)*(10^(-4))</f>
        <v>0.65329999999999999</v>
      </c>
      <c r="H100" s="2310">
        <f>(-0.161*(H99^2)-7.509*H99+6533)*(10^(-4))</f>
        <v>0.65329999999999999</v>
      </c>
      <c r="I100" s="2310">
        <f>(-0.161*(I99^2)-7.509*I99+6533)*(10^(-4))</f>
        <v>0.65329999999999999</v>
      </c>
      <c r="J100" s="2310">
        <f>(-0.214*(J99^2)-21.991*J99+4665)*(10^(-4))</f>
        <v>0.46650000000000003</v>
      </c>
      <c r="K100" s="2310">
        <f>(-0.214*(K99^2)-21.991*K99+4665)*(10^(-4))</f>
        <v>0.46650000000000003</v>
      </c>
      <c r="L100" s="2310">
        <f>(-0.214*(L99^2)-21.991*L99+4665)*(10^(-4))</f>
        <v>0.46650000000000003</v>
      </c>
      <c r="M100" s="2310">
        <f>(-0.214*(M99^2)-21.991*M99+4665)*(10^(-4))</f>
        <v>0.46650000000000003</v>
      </c>
      <c r="N100" s="2310">
        <f>(-0.214*(N99^2)-21.991*N99+4665)*(10^(-4))</f>
        <v>0.46650000000000003</v>
      </c>
      <c r="Q100" s="3056"/>
      <c r="R100" s="3056"/>
      <c r="S100" s="3056"/>
      <c r="T100" s="3056"/>
      <c r="U100" s="3056"/>
      <c r="V100" s="3056"/>
      <c r="W100" s="3056"/>
    </row>
    <row r="101" spans="1:23">
      <c r="A101" s="4799" t="s">
        <v>2678</v>
      </c>
      <c r="B101" s="2311" t="s">
        <v>2679</v>
      </c>
      <c r="C101" s="2312">
        <f>$G$3</f>
        <v>2.5</v>
      </c>
      <c r="D101" s="2312">
        <f t="shared" ref="D101:N101" si="32">$G$3</f>
        <v>2.5</v>
      </c>
      <c r="E101" s="2312">
        <f t="shared" si="32"/>
        <v>2.5</v>
      </c>
      <c r="F101" s="2312">
        <f t="shared" si="32"/>
        <v>2.5</v>
      </c>
      <c r="G101" s="2312">
        <f t="shared" si="32"/>
        <v>2.5</v>
      </c>
      <c r="H101" s="2312">
        <f t="shared" si="32"/>
        <v>2.5</v>
      </c>
      <c r="I101" s="2312">
        <f t="shared" si="32"/>
        <v>2.5</v>
      </c>
      <c r="J101" s="2312">
        <f t="shared" si="32"/>
        <v>2.5</v>
      </c>
      <c r="K101" s="2312">
        <f t="shared" si="32"/>
        <v>2.5</v>
      </c>
      <c r="L101" s="2312">
        <f t="shared" si="32"/>
        <v>2.5</v>
      </c>
      <c r="M101" s="2312">
        <f t="shared" si="32"/>
        <v>2.5</v>
      </c>
      <c r="N101" s="2312">
        <f t="shared" si="32"/>
        <v>2.5</v>
      </c>
      <c r="Q101" s="3056"/>
      <c r="R101" s="3056"/>
      <c r="S101" s="3056"/>
      <c r="T101" s="3056"/>
      <c r="U101" s="3056"/>
      <c r="V101" s="3056"/>
      <c r="W101" s="3056"/>
    </row>
    <row r="102" spans="1:23">
      <c r="A102" s="4800"/>
      <c r="B102" s="2307">
        <v>1</v>
      </c>
      <c r="C102" s="2308">
        <f>1.9362/C101</f>
        <v>0.77447999999999995</v>
      </c>
      <c r="D102" s="2308">
        <f>1.9362/D101</f>
        <v>0.77447999999999995</v>
      </c>
      <c r="E102" s="2308">
        <f>1.8629/E101</f>
        <v>0.74516000000000004</v>
      </c>
      <c r="F102" s="2308">
        <f>1.8629/F101</f>
        <v>0.74516000000000004</v>
      </c>
      <c r="G102" s="2308">
        <f>1.8629/G101</f>
        <v>0.74516000000000004</v>
      </c>
      <c r="H102" s="2308">
        <f>1.8629/H101</f>
        <v>0.74516000000000004</v>
      </c>
      <c r="I102" s="2308">
        <f>1.8629/I101</f>
        <v>0.74516000000000004</v>
      </c>
      <c r="J102" s="2308">
        <f>1.942/J101</f>
        <v>0.77679999999999993</v>
      </c>
      <c r="K102" s="2308">
        <f>1.942/K101</f>
        <v>0.77679999999999993</v>
      </c>
      <c r="L102" s="2308">
        <f>1.942/L101</f>
        <v>0.77679999999999993</v>
      </c>
      <c r="M102" s="2308">
        <f>1.942/M101</f>
        <v>0.77679999999999993</v>
      </c>
      <c r="N102" s="2308">
        <f>1.942/N101</f>
        <v>0.77679999999999993</v>
      </c>
      <c r="Q102" s="3056"/>
      <c r="R102" s="3056"/>
      <c r="S102" s="3056"/>
      <c r="T102" s="3056"/>
      <c r="U102" s="3056"/>
      <c r="V102" s="3056"/>
      <c r="W102" s="3056"/>
    </row>
    <row r="103" spans="1:23">
      <c r="A103" s="4800"/>
      <c r="B103" s="2307">
        <v>2</v>
      </c>
      <c r="C103" s="2308">
        <f>1.4198/C101</f>
        <v>0.56791999999999998</v>
      </c>
      <c r="D103" s="2308">
        <f>1.4198/D101</f>
        <v>0.56791999999999998</v>
      </c>
      <c r="E103" s="2308">
        <f>1.3372/E101</f>
        <v>0.53488000000000002</v>
      </c>
      <c r="F103" s="2308">
        <f>1.3372/F101</f>
        <v>0.53488000000000002</v>
      </c>
      <c r="G103" s="2308">
        <f>1.3372/G101</f>
        <v>0.53488000000000002</v>
      </c>
      <c r="H103" s="2308">
        <f>1.3372/H101</f>
        <v>0.53488000000000002</v>
      </c>
      <c r="I103" s="2308">
        <f>1.3372/I101</f>
        <v>0.53488000000000002</v>
      </c>
      <c r="J103" s="2308">
        <f>1.2799/J101</f>
        <v>0.51195999999999997</v>
      </c>
      <c r="K103" s="2308">
        <f>1.2799/K101</f>
        <v>0.51195999999999997</v>
      </c>
      <c r="L103" s="2308">
        <f>1.2799/L101</f>
        <v>0.51195999999999997</v>
      </c>
      <c r="M103" s="2308">
        <f>1.2799/M101</f>
        <v>0.51195999999999997</v>
      </c>
      <c r="N103" s="2308">
        <f>1.2799/N101</f>
        <v>0.51195999999999997</v>
      </c>
      <c r="Q103" s="3056"/>
      <c r="R103" s="3056"/>
      <c r="S103" s="3056"/>
      <c r="T103" s="3056"/>
      <c r="U103" s="3056"/>
      <c r="V103" s="3056"/>
      <c r="W103" s="3056"/>
    </row>
    <row r="104" spans="1:23">
      <c r="A104" s="4800"/>
      <c r="B104" s="2307">
        <v>3</v>
      </c>
      <c r="C104" s="2308">
        <f>1.1594/C101</f>
        <v>0.46376000000000001</v>
      </c>
      <c r="D104" s="2308">
        <f>1.1594/D101</f>
        <v>0.46376000000000001</v>
      </c>
      <c r="E104" s="2308">
        <f>1.0788/E101</f>
        <v>0.43152000000000001</v>
      </c>
      <c r="F104" s="2308">
        <f>1.0788/F101</f>
        <v>0.43152000000000001</v>
      </c>
      <c r="G104" s="2308">
        <f>1.0788/G101</f>
        <v>0.43152000000000001</v>
      </c>
      <c r="H104" s="2308">
        <f>1.0788/H101</f>
        <v>0.43152000000000001</v>
      </c>
      <c r="I104" s="2308">
        <f>1.0788/I101</f>
        <v>0.43152000000000001</v>
      </c>
      <c r="J104" s="2308">
        <f>1.0072/J101</f>
        <v>0.40288000000000002</v>
      </c>
      <c r="K104" s="2308">
        <f>1.0072/K101</f>
        <v>0.40288000000000002</v>
      </c>
      <c r="L104" s="2308">
        <f>1.0072/L101</f>
        <v>0.40288000000000002</v>
      </c>
      <c r="M104" s="2308">
        <f>1.0072/M101</f>
        <v>0.40288000000000002</v>
      </c>
      <c r="N104" s="2308">
        <f>1.0072/N101</f>
        <v>0.40288000000000002</v>
      </c>
      <c r="Q104" s="3056"/>
      <c r="R104" s="3056"/>
      <c r="S104" s="3056"/>
      <c r="T104" s="3056"/>
      <c r="U104" s="3056"/>
      <c r="V104" s="3056"/>
      <c r="W104" s="3056"/>
    </row>
    <row r="105" spans="1:23">
      <c r="A105" s="4800"/>
      <c r="B105" s="2307">
        <v>4</v>
      </c>
      <c r="C105" s="2308">
        <f>0.9622/C101</f>
        <v>0.38488</v>
      </c>
      <c r="D105" s="2308">
        <f>0.9622/D101</f>
        <v>0.38488</v>
      </c>
      <c r="E105" s="2308">
        <f>0.8656/E101</f>
        <v>0.34623999999999999</v>
      </c>
      <c r="F105" s="2308">
        <f>0.8656/F101</f>
        <v>0.34623999999999999</v>
      </c>
      <c r="G105" s="2308">
        <f>0.8656/G101</f>
        <v>0.34623999999999999</v>
      </c>
      <c r="H105" s="2308">
        <f>0.8656/H101</f>
        <v>0.34623999999999999</v>
      </c>
      <c r="I105" s="2308">
        <f>0.8656/I101</f>
        <v>0.34623999999999999</v>
      </c>
      <c r="J105" s="2308">
        <f>0.7525/J101</f>
        <v>0.30099999999999999</v>
      </c>
      <c r="K105" s="2308">
        <f>0.7525/K101</f>
        <v>0.30099999999999999</v>
      </c>
      <c r="L105" s="2308">
        <f>0.7525/L101</f>
        <v>0.30099999999999999</v>
      </c>
      <c r="M105" s="2308">
        <f>0.7525/M101</f>
        <v>0.30099999999999999</v>
      </c>
      <c r="N105" s="2308">
        <f>0.7525/N101</f>
        <v>0.30099999999999999</v>
      </c>
      <c r="Q105" s="3056"/>
      <c r="R105" s="3056"/>
      <c r="S105" s="3056"/>
      <c r="T105" s="3056"/>
      <c r="U105" s="3056"/>
      <c r="V105" s="3056"/>
      <c r="W105" s="3056"/>
    </row>
    <row r="106" spans="1:23">
      <c r="A106" s="4800"/>
      <c r="B106" s="2307">
        <v>5</v>
      </c>
      <c r="C106" s="2308">
        <f>0.8417/C101</f>
        <v>0.33667999999999998</v>
      </c>
      <c r="D106" s="2308">
        <f>0.8417/D101</f>
        <v>0.33667999999999998</v>
      </c>
      <c r="E106" s="2308">
        <f>0.7371/E101</f>
        <v>0.29483999999999999</v>
      </c>
      <c r="F106" s="2308">
        <f>0.7371/F101</f>
        <v>0.29483999999999999</v>
      </c>
      <c r="G106" s="2308">
        <f>0.7371/G101</f>
        <v>0.29483999999999999</v>
      </c>
      <c r="H106" s="2308">
        <f>0.7371/H101</f>
        <v>0.29483999999999999</v>
      </c>
      <c r="I106" s="2308">
        <f>0.7371/I101</f>
        <v>0.29483999999999999</v>
      </c>
      <c r="J106" s="2308">
        <f>0.5659/J101</f>
        <v>0.22635999999999998</v>
      </c>
      <c r="K106" s="2308">
        <f>0.5659/K101</f>
        <v>0.22635999999999998</v>
      </c>
      <c r="L106" s="2308">
        <f>0.5659/L101</f>
        <v>0.22635999999999998</v>
      </c>
      <c r="M106" s="2308">
        <f>0.5659/M101</f>
        <v>0.22635999999999998</v>
      </c>
      <c r="N106" s="2308">
        <f>0.5659/N101</f>
        <v>0.22635999999999998</v>
      </c>
      <c r="Q106" s="3056"/>
      <c r="R106" s="3056"/>
      <c r="S106" s="3056"/>
      <c r="T106" s="3056"/>
      <c r="U106" s="3056"/>
      <c r="V106" s="3056"/>
      <c r="W106" s="3056"/>
    </row>
    <row r="107" spans="1:23">
      <c r="A107" s="4800"/>
      <c r="B107" s="2307">
        <v>6</v>
      </c>
      <c r="C107" s="2308">
        <f>0.7608/C101</f>
        <v>0.30432000000000003</v>
      </c>
      <c r="D107" s="2308">
        <f>0.7608/D101</f>
        <v>0.30432000000000003</v>
      </c>
      <c r="E107" s="2308">
        <f>0.6482/E101</f>
        <v>0.25928000000000001</v>
      </c>
      <c r="F107" s="2308">
        <f>0.6482/F101</f>
        <v>0.25928000000000001</v>
      </c>
      <c r="G107" s="2308">
        <f>0.6482/G101</f>
        <v>0.25928000000000001</v>
      </c>
      <c r="H107" s="2308">
        <f>0.6482/H101</f>
        <v>0.25928000000000001</v>
      </c>
      <c r="I107" s="2308">
        <f>0.6482/I101</f>
        <v>0.25928000000000001</v>
      </c>
      <c r="J107" s="2308">
        <f>0.4525/J101</f>
        <v>0.18099999999999999</v>
      </c>
      <c r="K107" s="2308">
        <f>0.4525/K101</f>
        <v>0.18099999999999999</v>
      </c>
      <c r="L107" s="2308">
        <f>0.4525/L101</f>
        <v>0.18099999999999999</v>
      </c>
      <c r="M107" s="2308">
        <f>0.4525/M101</f>
        <v>0.18099999999999999</v>
      </c>
      <c r="N107" s="2308">
        <f>0.4525/N101</f>
        <v>0.18099999999999999</v>
      </c>
      <c r="Q107" s="3056"/>
      <c r="R107" s="3056"/>
      <c r="S107" s="3056"/>
      <c r="T107" s="3056"/>
      <c r="U107" s="3056"/>
      <c r="V107" s="3056"/>
      <c r="W107" s="3056"/>
    </row>
    <row r="108" spans="1:23">
      <c r="A108" s="4800"/>
      <c r="B108" s="4802" t="s">
        <v>2680</v>
      </c>
      <c r="C108" s="2309">
        <f>C99</f>
        <v>0</v>
      </c>
      <c r="D108" s="2309">
        <f t="shared" ref="D108:N108" si="33">D99</f>
        <v>0</v>
      </c>
      <c r="E108" s="2309">
        <f t="shared" si="33"/>
        <v>0</v>
      </c>
      <c r="F108" s="2309">
        <f t="shared" si="33"/>
        <v>0</v>
      </c>
      <c r="G108" s="2309">
        <f t="shared" si="33"/>
        <v>0</v>
      </c>
      <c r="H108" s="2309">
        <f t="shared" si="33"/>
        <v>0</v>
      </c>
      <c r="I108" s="2309">
        <f t="shared" si="33"/>
        <v>0</v>
      </c>
      <c r="J108" s="2309">
        <f t="shared" si="33"/>
        <v>0</v>
      </c>
      <c r="K108" s="2309">
        <f t="shared" si="33"/>
        <v>0</v>
      </c>
      <c r="L108" s="2309">
        <f t="shared" si="33"/>
        <v>0</v>
      </c>
      <c r="M108" s="2309">
        <f t="shared" si="33"/>
        <v>0</v>
      </c>
      <c r="N108" s="2309">
        <f t="shared" si="33"/>
        <v>0</v>
      </c>
      <c r="Q108" s="3056"/>
      <c r="R108" s="3056"/>
      <c r="S108" s="3056"/>
      <c r="T108" s="3056"/>
      <c r="U108" s="3056"/>
      <c r="V108" s="3056"/>
      <c r="W108" s="3056"/>
    </row>
    <row r="109" spans="1:23">
      <c r="A109" s="4801"/>
      <c r="B109" s="4803"/>
      <c r="C109" s="2310">
        <f>(-0.163*(C108^2)-0.59*C108+7617)*(10^(-4))/C101</f>
        <v>0.30468000000000001</v>
      </c>
      <c r="D109" s="2310">
        <f>(-0.163*(D108^2)-0.59*D108+7617)*(10^(-4))/D101</f>
        <v>0.30468000000000001</v>
      </c>
      <c r="E109" s="2310">
        <f>(-0.161*(E108^2)-7.509*E108+6533)*(10^(-4))/E101</f>
        <v>0.26132</v>
      </c>
      <c r="F109" s="2310">
        <f>(-0.161*(F108^2)-7.509*F108+6533)*(10^(-4))/F101</f>
        <v>0.26132</v>
      </c>
      <c r="G109" s="2310">
        <f>(-0.161*(G108^2)-7.509*G108+6533)*(10^(-4))/G101</f>
        <v>0.26132</v>
      </c>
      <c r="H109" s="2310">
        <f>(-0.161*(H108^2)-7.509*H108+6533)*(10^(-4))/H101</f>
        <v>0.26132</v>
      </c>
      <c r="I109" s="2310">
        <f>(-0.161*(I108^2)-7.509*I108+6533)*(10^(-4))/I101</f>
        <v>0.26132</v>
      </c>
      <c r="J109" s="2310">
        <f>(-0.214*(J108^2)-21.991*J108+4665)*(10^(-4))/J101</f>
        <v>0.18660000000000002</v>
      </c>
      <c r="K109" s="2310">
        <f>(-0.214*(K108^2)-21.991*K108+4665)*(10^(-4))/K101</f>
        <v>0.18660000000000002</v>
      </c>
      <c r="L109" s="2310">
        <f>(-0.214*(L108^2)-21.991*L108+4665)*(10^(-4))/L101</f>
        <v>0.18660000000000002</v>
      </c>
      <c r="M109" s="2310">
        <f>(-0.214*(M108^2)-21.991*M108+4665)*(10^(-4))/M101</f>
        <v>0.18660000000000002</v>
      </c>
      <c r="N109" s="2310">
        <f>(-0.214*(N108^2)-21.991*N108+4665)*(10^(-4))/N101</f>
        <v>0.18660000000000002</v>
      </c>
      <c r="Q109" s="3056"/>
      <c r="R109" s="3056"/>
      <c r="S109" s="3056"/>
      <c r="T109" s="3056"/>
      <c r="U109" s="3056"/>
      <c r="V109" s="3056"/>
      <c r="W109" s="3056"/>
    </row>
    <row r="110" spans="1:23">
      <c r="A110" s="4797" t="s">
        <v>2681</v>
      </c>
      <c r="B110" s="4797"/>
      <c r="C110" s="4797"/>
      <c r="D110" s="4797"/>
      <c r="E110" s="4797"/>
      <c r="F110" s="4797"/>
      <c r="G110" s="4797"/>
      <c r="H110" s="4797"/>
      <c r="I110" s="4797"/>
      <c r="J110" s="4797"/>
      <c r="K110" s="2079"/>
      <c r="L110" s="2079"/>
      <c r="M110" s="2079"/>
      <c r="N110" s="2079"/>
      <c r="Q110" s="3056"/>
      <c r="R110" s="3056"/>
      <c r="S110" s="3056"/>
      <c r="T110" s="3056"/>
      <c r="U110" s="3056"/>
      <c r="V110" s="3056"/>
      <c r="W110" s="3056"/>
    </row>
    <row r="112" spans="1:23" ht="13.5" thickBot="1"/>
    <row r="113" spans="1:13" ht="25.5" thickBot="1">
      <c r="A113" s="2313" t="s">
        <v>2682</v>
      </c>
      <c r="B113" s="2314">
        <f>G3</f>
        <v>2.5</v>
      </c>
      <c r="C113" s="2315" t="s">
        <v>2683</v>
      </c>
      <c r="D113" s="2316">
        <f>SUMPRODUCT((A115:A118=F113)*(B114:M114=H113)*B115:M118)</f>
        <v>0.67430000000000001</v>
      </c>
      <c r="E113" s="1601" t="s">
        <v>2570</v>
      </c>
      <c r="F113" s="2317" t="str">
        <f>E2</f>
        <v>工业</v>
      </c>
      <c r="G113" s="1601" t="s">
        <v>2506</v>
      </c>
      <c r="H113" s="2317" t="str">
        <f>G2</f>
        <v>五级</v>
      </c>
      <c r="I113" s="1601"/>
      <c r="J113" s="2318"/>
      <c r="K113" s="2318"/>
      <c r="L113" s="2318"/>
      <c r="M113" s="2318"/>
    </row>
    <row r="114" spans="1:13">
      <c r="A114" s="2319"/>
      <c r="B114" s="2320" t="s">
        <v>2684</v>
      </c>
      <c r="C114" s="2320" t="s">
        <v>2685</v>
      </c>
      <c r="D114" s="2320" t="s">
        <v>2686</v>
      </c>
      <c r="E114" s="2321" t="s">
        <v>2687</v>
      </c>
      <c r="F114" s="2321" t="s">
        <v>2688</v>
      </c>
      <c r="G114" s="2321" t="s">
        <v>2689</v>
      </c>
      <c r="H114" s="2322" t="s">
        <v>2690</v>
      </c>
      <c r="I114" s="2322" t="s">
        <v>2691</v>
      </c>
      <c r="J114" s="2323" t="s">
        <v>2692</v>
      </c>
      <c r="K114" s="2323" t="s">
        <v>2693</v>
      </c>
      <c r="L114" s="2323" t="s">
        <v>2694</v>
      </c>
      <c r="M114" s="2324" t="s">
        <v>2695</v>
      </c>
    </row>
    <row r="115" spans="1:13">
      <c r="A115" s="2325" t="s">
        <v>2571</v>
      </c>
      <c r="B115" s="2326">
        <f>ROUND(0.9335-0.0094*B113,4)</f>
        <v>0.91</v>
      </c>
      <c r="C115" s="2326">
        <f>B115</f>
        <v>0.91</v>
      </c>
      <c r="D115" s="2326">
        <f>ROUND(0.8331-0.0109*B113,4)</f>
        <v>0.80589999999999995</v>
      </c>
      <c r="E115" s="2326">
        <f>D115</f>
        <v>0.80589999999999995</v>
      </c>
      <c r="F115" s="2326">
        <f>E115</f>
        <v>0.80589999999999995</v>
      </c>
      <c r="G115" s="2326">
        <f>F115</f>
        <v>0.80589999999999995</v>
      </c>
      <c r="H115" s="2326">
        <f>G115</f>
        <v>0.80589999999999995</v>
      </c>
      <c r="I115" s="2326">
        <f>ROUND(0.689-0.0155*B113,4)</f>
        <v>0.65029999999999999</v>
      </c>
      <c r="J115" s="2326">
        <f t="shared" ref="J115:M118" si="34">I115</f>
        <v>0.65029999999999999</v>
      </c>
      <c r="K115" s="2326">
        <f t="shared" si="34"/>
        <v>0.65029999999999999</v>
      </c>
      <c r="L115" s="2326">
        <f t="shared" si="34"/>
        <v>0.65029999999999999</v>
      </c>
      <c r="M115" s="2327">
        <f t="shared" si="34"/>
        <v>0.65029999999999999</v>
      </c>
    </row>
    <row r="116" spans="1:13">
      <c r="A116" s="2325" t="s">
        <v>2572</v>
      </c>
      <c r="B116" s="2326">
        <f>ROUND(0.949-0.012*B113,4)</f>
        <v>0.91900000000000004</v>
      </c>
      <c r="C116" s="2326">
        <f>B116</f>
        <v>0.91900000000000004</v>
      </c>
      <c r="D116" s="2326">
        <f>ROUND(0.8567-0.013*B113,4)</f>
        <v>0.82420000000000004</v>
      </c>
      <c r="E116" s="2326">
        <f t="shared" ref="E116:H117" si="35">D116</f>
        <v>0.82420000000000004</v>
      </c>
      <c r="F116" s="2326">
        <f t="shared" si="35"/>
        <v>0.82420000000000004</v>
      </c>
      <c r="G116" s="2326">
        <f t="shared" si="35"/>
        <v>0.82420000000000004</v>
      </c>
      <c r="H116" s="2326">
        <f t="shared" si="35"/>
        <v>0.82420000000000004</v>
      </c>
      <c r="I116" s="2326">
        <f>ROUND(0.7694-0.014*B113,4)</f>
        <v>0.73440000000000005</v>
      </c>
      <c r="J116" s="2326">
        <f t="shared" si="34"/>
        <v>0.73440000000000005</v>
      </c>
      <c r="K116" s="2326">
        <f t="shared" si="34"/>
        <v>0.73440000000000005</v>
      </c>
      <c r="L116" s="2326">
        <f t="shared" si="34"/>
        <v>0.73440000000000005</v>
      </c>
      <c r="M116" s="2327">
        <f t="shared" si="34"/>
        <v>0.73440000000000005</v>
      </c>
    </row>
    <row r="117" spans="1:13">
      <c r="A117" s="2325" t="s">
        <v>2573</v>
      </c>
      <c r="B117" s="2326">
        <f>ROUND(0.8808-0.006*B113,4)</f>
        <v>0.86580000000000001</v>
      </c>
      <c r="C117" s="2326">
        <f>B117</f>
        <v>0.86580000000000001</v>
      </c>
      <c r="D117" s="2326">
        <f>ROUND(0.8748-0.008*B113,4)</f>
        <v>0.8548</v>
      </c>
      <c r="E117" s="2326">
        <f t="shared" si="35"/>
        <v>0.8548</v>
      </c>
      <c r="F117" s="2326">
        <f t="shared" si="35"/>
        <v>0.8548</v>
      </c>
      <c r="G117" s="2326">
        <f t="shared" si="35"/>
        <v>0.8548</v>
      </c>
      <c r="H117" s="2326">
        <f t="shared" si="35"/>
        <v>0.8548</v>
      </c>
      <c r="I117" s="2326">
        <f>ROUND(0.7412-0.0095*B113,4)</f>
        <v>0.71750000000000003</v>
      </c>
      <c r="J117" s="2326">
        <f t="shared" si="34"/>
        <v>0.71750000000000003</v>
      </c>
      <c r="K117" s="2326">
        <f t="shared" si="34"/>
        <v>0.71750000000000003</v>
      </c>
      <c r="L117" s="2326">
        <f t="shared" si="34"/>
        <v>0.71750000000000003</v>
      </c>
      <c r="M117" s="2327">
        <f t="shared" si="34"/>
        <v>0.71750000000000003</v>
      </c>
    </row>
    <row r="118" spans="1:13" ht="13.5" thickBot="1">
      <c r="A118" s="2328" t="s">
        <v>2574</v>
      </c>
      <c r="B118" s="2329">
        <f>ROUND(0.7275-0.01*B113,4)</f>
        <v>0.70250000000000001</v>
      </c>
      <c r="C118" s="2329">
        <f>B118</f>
        <v>0.70250000000000001</v>
      </c>
      <c r="D118" s="2329">
        <f>ROUND(0.7043-0.012*B113,4)</f>
        <v>0.67430000000000001</v>
      </c>
      <c r="E118" s="2329">
        <f>D118</f>
        <v>0.67430000000000001</v>
      </c>
      <c r="F118" s="2329">
        <f>E118</f>
        <v>0.67430000000000001</v>
      </c>
      <c r="G118" s="2329">
        <f>ROUND(0.6299-0.0122*B113,4)</f>
        <v>0.59940000000000004</v>
      </c>
      <c r="H118" s="2329">
        <f>G118</f>
        <v>0.59940000000000004</v>
      </c>
      <c r="I118" s="2329">
        <f>ROUND(0.5667-0.0136*B113,4)</f>
        <v>0.53269999999999995</v>
      </c>
      <c r="J118" s="2329">
        <f t="shared" si="34"/>
        <v>0.53269999999999995</v>
      </c>
      <c r="K118" s="2329">
        <f t="shared" si="34"/>
        <v>0.53269999999999995</v>
      </c>
      <c r="L118" s="2329">
        <f t="shared" si="34"/>
        <v>0.53269999999999995</v>
      </c>
      <c r="M118" s="2330">
        <f t="shared" si="34"/>
        <v>0.53269999999999995</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5"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2800-000000000000}">
      <formula1>"500米范围内,500-1000米,1000米以外"</formula1>
    </dataValidation>
    <dataValidation type="list" allowBlank="1" showInputMessage="1" showErrorMessage="1" sqref="C14:E14" xr:uid="{00000000-0002-0000-2800-000001000000}">
      <formula1>"有,无"</formula1>
    </dataValidation>
    <dataValidation type="list" allowBlank="1" showInputMessage="1" showErrorMessage="1" sqref="B21" xr:uid="{00000000-0002-0000-2800-000002000000}">
      <formula1>"容积率修正,楼层修正"</formula1>
    </dataValidation>
    <dataValidation type="list" allowBlank="1" showInputMessage="1" showErrorMessage="1" sqref="F17" xr:uid="{00000000-0002-0000-2800-000003000000}">
      <formula1>"与级别开发程度一致,与级别开发程度不一致"</formula1>
    </dataValidation>
    <dataValidation type="list" allowBlank="1" showInputMessage="1" showErrorMessage="1" sqref="E2" xr:uid="{00000000-0002-0000-2800-000004000000}">
      <formula1>"商业,办公,住宅,工业"</formula1>
    </dataValidation>
    <dataValidation type="list" allowBlank="1" showInputMessage="1" showErrorMessage="1" sqref="C8" xr:uid="{00000000-0002-0000-2800-000005000000}">
      <formula1>商业街名称</formula1>
    </dataValidation>
    <dataValidation type="list" allowBlank="1" showInputMessage="1" showErrorMessage="1" sqref="E3" xr:uid="{00000000-0002-0000-2800-000006000000}">
      <formula1>二级分类</formula1>
    </dataValidation>
    <dataValidation type="list" allowBlank="1" showInputMessage="1" showErrorMessage="1" sqref="C70:C78 C48:C56 C59:C67 C81:C88" xr:uid="{00000000-0002-0000-2800-000007000000}">
      <formula1>五等判定</formula1>
    </dataValidation>
    <dataValidation type="list" allowBlank="1" showInputMessage="1" showErrorMessage="1" sqref="H19" xr:uid="{00000000-0002-0000-2800-000008000000}">
      <formula1>"地价指数,季度增幅（自定义）,按公示增长率计算"</formula1>
    </dataValidation>
    <dataValidation type="list" allowBlank="1" showInputMessage="1" showErrorMessage="1" sqref="H16:O16" xr:uid="{00000000-0002-0000-2800-000009000000}">
      <formula1>七通一平</formula1>
    </dataValidation>
  </dataValidations>
  <pageMargins left="0.7" right="0.7" top="0.75" bottom="0.75" header="0.3" footer="0.3"/>
  <pageSetup paperSize="9" scale="46"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3"/>
  <dimension ref="A1:K44"/>
  <sheetViews>
    <sheetView workbookViewId="0">
      <selection activeCell="N8" sqref="N8"/>
    </sheetView>
  </sheetViews>
  <sheetFormatPr defaultColWidth="8.875" defaultRowHeight="14.25"/>
  <cols>
    <col min="1" max="1" width="5.625" style="3230" customWidth="1"/>
    <col min="2" max="2" width="6.125" style="3230" customWidth="1"/>
    <col min="3" max="3" width="8.875" style="3230" customWidth="1"/>
    <col min="4" max="4" width="8.125" style="3230" customWidth="1"/>
    <col min="5" max="5" width="12.625" style="3230" customWidth="1"/>
    <col min="6" max="6" width="12.875" style="3230" customWidth="1"/>
    <col min="7" max="7" width="9.625" style="3230" customWidth="1"/>
    <col min="8" max="8" width="13.125" style="3230" customWidth="1"/>
    <col min="9" max="9" width="13.375" style="3230" customWidth="1"/>
    <col min="10" max="256" width="8.875" style="3230"/>
    <col min="257" max="257" width="5.625" style="3230" customWidth="1"/>
    <col min="258" max="258" width="6.125" style="3230" customWidth="1"/>
    <col min="259" max="259" width="8.875" style="3230" customWidth="1"/>
    <col min="260" max="260" width="8.125" style="3230" customWidth="1"/>
    <col min="261" max="261" width="12.625" style="3230" customWidth="1"/>
    <col min="262" max="262" width="12.875" style="3230" customWidth="1"/>
    <col min="263" max="263" width="9.625" style="3230" customWidth="1"/>
    <col min="264" max="264" width="13.125" style="3230" customWidth="1"/>
    <col min="265" max="265" width="13.375" style="3230" customWidth="1"/>
    <col min="266" max="512" width="8.875" style="3230"/>
    <col min="513" max="513" width="5.625" style="3230" customWidth="1"/>
    <col min="514" max="514" width="6.125" style="3230" customWidth="1"/>
    <col min="515" max="515" width="8.875" style="3230" customWidth="1"/>
    <col min="516" max="516" width="8.125" style="3230" customWidth="1"/>
    <col min="517" max="517" width="12.625" style="3230" customWidth="1"/>
    <col min="518" max="518" width="12.875" style="3230" customWidth="1"/>
    <col min="519" max="519" width="9.625" style="3230" customWidth="1"/>
    <col min="520" max="520" width="13.125" style="3230" customWidth="1"/>
    <col min="521" max="521" width="13.375" style="3230" customWidth="1"/>
    <col min="522" max="768" width="8.875" style="3230"/>
    <col min="769" max="769" width="5.625" style="3230" customWidth="1"/>
    <col min="770" max="770" width="6.125" style="3230" customWidth="1"/>
    <col min="771" max="771" width="8.875" style="3230" customWidth="1"/>
    <col min="772" max="772" width="8.125" style="3230" customWidth="1"/>
    <col min="773" max="773" width="12.625" style="3230" customWidth="1"/>
    <col min="774" max="774" width="12.875" style="3230" customWidth="1"/>
    <col min="775" max="775" width="9.625" style="3230" customWidth="1"/>
    <col min="776" max="776" width="13.125" style="3230" customWidth="1"/>
    <col min="777" max="777" width="13.375" style="3230" customWidth="1"/>
    <col min="778" max="1024" width="8.875" style="3230"/>
    <col min="1025" max="1025" width="5.625" style="3230" customWidth="1"/>
    <col min="1026" max="1026" width="6.125" style="3230" customWidth="1"/>
    <col min="1027" max="1027" width="8.875" style="3230" customWidth="1"/>
    <col min="1028" max="1028" width="8.125" style="3230" customWidth="1"/>
    <col min="1029" max="1029" width="12.625" style="3230" customWidth="1"/>
    <col min="1030" max="1030" width="12.875" style="3230" customWidth="1"/>
    <col min="1031" max="1031" width="9.625" style="3230" customWidth="1"/>
    <col min="1032" max="1032" width="13.125" style="3230" customWidth="1"/>
    <col min="1033" max="1033" width="13.375" style="3230" customWidth="1"/>
    <col min="1034" max="1280" width="8.875" style="3230"/>
    <col min="1281" max="1281" width="5.625" style="3230" customWidth="1"/>
    <col min="1282" max="1282" width="6.125" style="3230" customWidth="1"/>
    <col min="1283" max="1283" width="8.875" style="3230" customWidth="1"/>
    <col min="1284" max="1284" width="8.125" style="3230" customWidth="1"/>
    <col min="1285" max="1285" width="12.625" style="3230" customWidth="1"/>
    <col min="1286" max="1286" width="12.875" style="3230" customWidth="1"/>
    <col min="1287" max="1287" width="9.625" style="3230" customWidth="1"/>
    <col min="1288" max="1288" width="13.125" style="3230" customWidth="1"/>
    <col min="1289" max="1289" width="13.375" style="3230" customWidth="1"/>
    <col min="1290" max="1536" width="8.875" style="3230"/>
    <col min="1537" max="1537" width="5.625" style="3230" customWidth="1"/>
    <col min="1538" max="1538" width="6.125" style="3230" customWidth="1"/>
    <col min="1539" max="1539" width="8.875" style="3230" customWidth="1"/>
    <col min="1540" max="1540" width="8.125" style="3230" customWidth="1"/>
    <col min="1541" max="1541" width="12.625" style="3230" customWidth="1"/>
    <col min="1542" max="1542" width="12.875" style="3230" customWidth="1"/>
    <col min="1543" max="1543" width="9.625" style="3230" customWidth="1"/>
    <col min="1544" max="1544" width="13.125" style="3230" customWidth="1"/>
    <col min="1545" max="1545" width="13.375" style="3230" customWidth="1"/>
    <col min="1546" max="1792" width="8.875" style="3230"/>
    <col min="1793" max="1793" width="5.625" style="3230" customWidth="1"/>
    <col min="1794" max="1794" width="6.125" style="3230" customWidth="1"/>
    <col min="1795" max="1795" width="8.875" style="3230" customWidth="1"/>
    <col min="1796" max="1796" width="8.125" style="3230" customWidth="1"/>
    <col min="1797" max="1797" width="12.625" style="3230" customWidth="1"/>
    <col min="1798" max="1798" width="12.875" style="3230" customWidth="1"/>
    <col min="1799" max="1799" width="9.625" style="3230" customWidth="1"/>
    <col min="1800" max="1800" width="13.125" style="3230" customWidth="1"/>
    <col min="1801" max="1801" width="13.375" style="3230" customWidth="1"/>
    <col min="1802" max="2048" width="8.875" style="3230"/>
    <col min="2049" max="2049" width="5.625" style="3230" customWidth="1"/>
    <col min="2050" max="2050" width="6.125" style="3230" customWidth="1"/>
    <col min="2051" max="2051" width="8.875" style="3230" customWidth="1"/>
    <col min="2052" max="2052" width="8.125" style="3230" customWidth="1"/>
    <col min="2053" max="2053" width="12.625" style="3230" customWidth="1"/>
    <col min="2054" max="2054" width="12.875" style="3230" customWidth="1"/>
    <col min="2055" max="2055" width="9.625" style="3230" customWidth="1"/>
    <col min="2056" max="2056" width="13.125" style="3230" customWidth="1"/>
    <col min="2057" max="2057" width="13.375" style="3230" customWidth="1"/>
    <col min="2058" max="2304" width="8.875" style="3230"/>
    <col min="2305" max="2305" width="5.625" style="3230" customWidth="1"/>
    <col min="2306" max="2306" width="6.125" style="3230" customWidth="1"/>
    <col min="2307" max="2307" width="8.875" style="3230" customWidth="1"/>
    <col min="2308" max="2308" width="8.125" style="3230" customWidth="1"/>
    <col min="2309" max="2309" width="12.625" style="3230" customWidth="1"/>
    <col min="2310" max="2310" width="12.875" style="3230" customWidth="1"/>
    <col min="2311" max="2311" width="9.625" style="3230" customWidth="1"/>
    <col min="2312" max="2312" width="13.125" style="3230" customWidth="1"/>
    <col min="2313" max="2313" width="13.375" style="3230" customWidth="1"/>
    <col min="2314" max="2560" width="8.875" style="3230"/>
    <col min="2561" max="2561" width="5.625" style="3230" customWidth="1"/>
    <col min="2562" max="2562" width="6.125" style="3230" customWidth="1"/>
    <col min="2563" max="2563" width="8.875" style="3230" customWidth="1"/>
    <col min="2564" max="2564" width="8.125" style="3230" customWidth="1"/>
    <col min="2565" max="2565" width="12.625" style="3230" customWidth="1"/>
    <col min="2566" max="2566" width="12.875" style="3230" customWidth="1"/>
    <col min="2567" max="2567" width="9.625" style="3230" customWidth="1"/>
    <col min="2568" max="2568" width="13.125" style="3230" customWidth="1"/>
    <col min="2569" max="2569" width="13.375" style="3230" customWidth="1"/>
    <col min="2570" max="2816" width="8.875" style="3230"/>
    <col min="2817" max="2817" width="5.625" style="3230" customWidth="1"/>
    <col min="2818" max="2818" width="6.125" style="3230" customWidth="1"/>
    <col min="2819" max="2819" width="8.875" style="3230" customWidth="1"/>
    <col min="2820" max="2820" width="8.125" style="3230" customWidth="1"/>
    <col min="2821" max="2821" width="12.625" style="3230" customWidth="1"/>
    <col min="2822" max="2822" width="12.875" style="3230" customWidth="1"/>
    <col min="2823" max="2823" width="9.625" style="3230" customWidth="1"/>
    <col min="2824" max="2824" width="13.125" style="3230" customWidth="1"/>
    <col min="2825" max="2825" width="13.375" style="3230" customWidth="1"/>
    <col min="2826" max="3072" width="8.875" style="3230"/>
    <col min="3073" max="3073" width="5.625" style="3230" customWidth="1"/>
    <col min="3074" max="3074" width="6.125" style="3230" customWidth="1"/>
    <col min="3075" max="3075" width="8.875" style="3230" customWidth="1"/>
    <col min="3076" max="3076" width="8.125" style="3230" customWidth="1"/>
    <col min="3077" max="3077" width="12.625" style="3230" customWidth="1"/>
    <col min="3078" max="3078" width="12.875" style="3230" customWidth="1"/>
    <col min="3079" max="3079" width="9.625" style="3230" customWidth="1"/>
    <col min="3080" max="3080" width="13.125" style="3230" customWidth="1"/>
    <col min="3081" max="3081" width="13.375" style="3230" customWidth="1"/>
    <col min="3082" max="3328" width="8.875" style="3230"/>
    <col min="3329" max="3329" width="5.625" style="3230" customWidth="1"/>
    <col min="3330" max="3330" width="6.125" style="3230" customWidth="1"/>
    <col min="3331" max="3331" width="8.875" style="3230" customWidth="1"/>
    <col min="3332" max="3332" width="8.125" style="3230" customWidth="1"/>
    <col min="3333" max="3333" width="12.625" style="3230" customWidth="1"/>
    <col min="3334" max="3334" width="12.875" style="3230" customWidth="1"/>
    <col min="3335" max="3335" width="9.625" style="3230" customWidth="1"/>
    <col min="3336" max="3336" width="13.125" style="3230" customWidth="1"/>
    <col min="3337" max="3337" width="13.375" style="3230" customWidth="1"/>
    <col min="3338" max="3584" width="8.875" style="3230"/>
    <col min="3585" max="3585" width="5.625" style="3230" customWidth="1"/>
    <col min="3586" max="3586" width="6.125" style="3230" customWidth="1"/>
    <col min="3587" max="3587" width="8.875" style="3230" customWidth="1"/>
    <col min="3588" max="3588" width="8.125" style="3230" customWidth="1"/>
    <col min="3589" max="3589" width="12.625" style="3230" customWidth="1"/>
    <col min="3590" max="3590" width="12.875" style="3230" customWidth="1"/>
    <col min="3591" max="3591" width="9.625" style="3230" customWidth="1"/>
    <col min="3592" max="3592" width="13.125" style="3230" customWidth="1"/>
    <col min="3593" max="3593" width="13.375" style="3230" customWidth="1"/>
    <col min="3594" max="3840" width="8.875" style="3230"/>
    <col min="3841" max="3841" width="5.625" style="3230" customWidth="1"/>
    <col min="3842" max="3842" width="6.125" style="3230" customWidth="1"/>
    <col min="3843" max="3843" width="8.875" style="3230" customWidth="1"/>
    <col min="3844" max="3844" width="8.125" style="3230" customWidth="1"/>
    <col min="3845" max="3845" width="12.625" style="3230" customWidth="1"/>
    <col min="3846" max="3846" width="12.875" style="3230" customWidth="1"/>
    <col min="3847" max="3847" width="9.625" style="3230" customWidth="1"/>
    <col min="3848" max="3848" width="13.125" style="3230" customWidth="1"/>
    <col min="3849" max="3849" width="13.375" style="3230" customWidth="1"/>
    <col min="3850" max="4096" width="8.875" style="3230"/>
    <col min="4097" max="4097" width="5.625" style="3230" customWidth="1"/>
    <col min="4098" max="4098" width="6.125" style="3230" customWidth="1"/>
    <col min="4099" max="4099" width="8.875" style="3230" customWidth="1"/>
    <col min="4100" max="4100" width="8.125" style="3230" customWidth="1"/>
    <col min="4101" max="4101" width="12.625" style="3230" customWidth="1"/>
    <col min="4102" max="4102" width="12.875" style="3230" customWidth="1"/>
    <col min="4103" max="4103" width="9.625" style="3230" customWidth="1"/>
    <col min="4104" max="4104" width="13.125" style="3230" customWidth="1"/>
    <col min="4105" max="4105" width="13.375" style="3230" customWidth="1"/>
    <col min="4106" max="4352" width="8.875" style="3230"/>
    <col min="4353" max="4353" width="5.625" style="3230" customWidth="1"/>
    <col min="4354" max="4354" width="6.125" style="3230" customWidth="1"/>
    <col min="4355" max="4355" width="8.875" style="3230" customWidth="1"/>
    <col min="4356" max="4356" width="8.125" style="3230" customWidth="1"/>
    <col min="4357" max="4357" width="12.625" style="3230" customWidth="1"/>
    <col min="4358" max="4358" width="12.875" style="3230" customWidth="1"/>
    <col min="4359" max="4359" width="9.625" style="3230" customWidth="1"/>
    <col min="4360" max="4360" width="13.125" style="3230" customWidth="1"/>
    <col min="4361" max="4361" width="13.375" style="3230" customWidth="1"/>
    <col min="4362" max="4608" width="8.875" style="3230"/>
    <col min="4609" max="4609" width="5.625" style="3230" customWidth="1"/>
    <col min="4610" max="4610" width="6.125" style="3230" customWidth="1"/>
    <col min="4611" max="4611" width="8.875" style="3230" customWidth="1"/>
    <col min="4612" max="4612" width="8.125" style="3230" customWidth="1"/>
    <col min="4613" max="4613" width="12.625" style="3230" customWidth="1"/>
    <col min="4614" max="4614" width="12.875" style="3230" customWidth="1"/>
    <col min="4615" max="4615" width="9.625" style="3230" customWidth="1"/>
    <col min="4616" max="4616" width="13.125" style="3230" customWidth="1"/>
    <col min="4617" max="4617" width="13.375" style="3230" customWidth="1"/>
    <col min="4618" max="4864" width="8.875" style="3230"/>
    <col min="4865" max="4865" width="5.625" style="3230" customWidth="1"/>
    <col min="4866" max="4866" width="6.125" style="3230" customWidth="1"/>
    <col min="4867" max="4867" width="8.875" style="3230" customWidth="1"/>
    <col min="4868" max="4868" width="8.125" style="3230" customWidth="1"/>
    <col min="4869" max="4869" width="12.625" style="3230" customWidth="1"/>
    <col min="4870" max="4870" width="12.875" style="3230" customWidth="1"/>
    <col min="4871" max="4871" width="9.625" style="3230" customWidth="1"/>
    <col min="4872" max="4872" width="13.125" style="3230" customWidth="1"/>
    <col min="4873" max="4873" width="13.375" style="3230" customWidth="1"/>
    <col min="4874" max="5120" width="8.875" style="3230"/>
    <col min="5121" max="5121" width="5.625" style="3230" customWidth="1"/>
    <col min="5122" max="5122" width="6.125" style="3230" customWidth="1"/>
    <col min="5123" max="5123" width="8.875" style="3230" customWidth="1"/>
    <col min="5124" max="5124" width="8.125" style="3230" customWidth="1"/>
    <col min="5125" max="5125" width="12.625" style="3230" customWidth="1"/>
    <col min="5126" max="5126" width="12.875" style="3230" customWidth="1"/>
    <col min="5127" max="5127" width="9.625" style="3230" customWidth="1"/>
    <col min="5128" max="5128" width="13.125" style="3230" customWidth="1"/>
    <col min="5129" max="5129" width="13.375" style="3230" customWidth="1"/>
    <col min="5130" max="5376" width="8.875" style="3230"/>
    <col min="5377" max="5377" width="5.625" style="3230" customWidth="1"/>
    <col min="5378" max="5378" width="6.125" style="3230" customWidth="1"/>
    <col min="5379" max="5379" width="8.875" style="3230" customWidth="1"/>
    <col min="5380" max="5380" width="8.125" style="3230" customWidth="1"/>
    <col min="5381" max="5381" width="12.625" style="3230" customWidth="1"/>
    <col min="5382" max="5382" width="12.875" style="3230" customWidth="1"/>
    <col min="5383" max="5383" width="9.625" style="3230" customWidth="1"/>
    <col min="5384" max="5384" width="13.125" style="3230" customWidth="1"/>
    <col min="5385" max="5385" width="13.375" style="3230" customWidth="1"/>
    <col min="5386" max="5632" width="8.875" style="3230"/>
    <col min="5633" max="5633" width="5.625" style="3230" customWidth="1"/>
    <col min="5634" max="5634" width="6.125" style="3230" customWidth="1"/>
    <col min="5635" max="5635" width="8.875" style="3230" customWidth="1"/>
    <col min="5636" max="5636" width="8.125" style="3230" customWidth="1"/>
    <col min="5637" max="5637" width="12.625" style="3230" customWidth="1"/>
    <col min="5638" max="5638" width="12.875" style="3230" customWidth="1"/>
    <col min="5639" max="5639" width="9.625" style="3230" customWidth="1"/>
    <col min="5640" max="5640" width="13.125" style="3230" customWidth="1"/>
    <col min="5641" max="5641" width="13.375" style="3230" customWidth="1"/>
    <col min="5642" max="5888" width="8.875" style="3230"/>
    <col min="5889" max="5889" width="5.625" style="3230" customWidth="1"/>
    <col min="5890" max="5890" width="6.125" style="3230" customWidth="1"/>
    <col min="5891" max="5891" width="8.875" style="3230" customWidth="1"/>
    <col min="5892" max="5892" width="8.125" style="3230" customWidth="1"/>
    <col min="5893" max="5893" width="12.625" style="3230" customWidth="1"/>
    <col min="5894" max="5894" width="12.875" style="3230" customWidth="1"/>
    <col min="5895" max="5895" width="9.625" style="3230" customWidth="1"/>
    <col min="5896" max="5896" width="13.125" style="3230" customWidth="1"/>
    <col min="5897" max="5897" width="13.375" style="3230" customWidth="1"/>
    <col min="5898" max="6144" width="8.875" style="3230"/>
    <col min="6145" max="6145" width="5.625" style="3230" customWidth="1"/>
    <col min="6146" max="6146" width="6.125" style="3230" customWidth="1"/>
    <col min="6147" max="6147" width="8.875" style="3230" customWidth="1"/>
    <col min="6148" max="6148" width="8.125" style="3230" customWidth="1"/>
    <col min="6149" max="6149" width="12.625" style="3230" customWidth="1"/>
    <col min="6150" max="6150" width="12.875" style="3230" customWidth="1"/>
    <col min="6151" max="6151" width="9.625" style="3230" customWidth="1"/>
    <col min="6152" max="6152" width="13.125" style="3230" customWidth="1"/>
    <col min="6153" max="6153" width="13.375" style="3230" customWidth="1"/>
    <col min="6154" max="6400" width="8.875" style="3230"/>
    <col min="6401" max="6401" width="5.625" style="3230" customWidth="1"/>
    <col min="6402" max="6402" width="6.125" style="3230" customWidth="1"/>
    <col min="6403" max="6403" width="8.875" style="3230" customWidth="1"/>
    <col min="6404" max="6404" width="8.125" style="3230" customWidth="1"/>
    <col min="6405" max="6405" width="12.625" style="3230" customWidth="1"/>
    <col min="6406" max="6406" width="12.875" style="3230" customWidth="1"/>
    <col min="6407" max="6407" width="9.625" style="3230" customWidth="1"/>
    <col min="6408" max="6408" width="13.125" style="3230" customWidth="1"/>
    <col min="6409" max="6409" width="13.375" style="3230" customWidth="1"/>
    <col min="6410" max="6656" width="8.875" style="3230"/>
    <col min="6657" max="6657" width="5.625" style="3230" customWidth="1"/>
    <col min="6658" max="6658" width="6.125" style="3230" customWidth="1"/>
    <col min="6659" max="6659" width="8.875" style="3230" customWidth="1"/>
    <col min="6660" max="6660" width="8.125" style="3230" customWidth="1"/>
    <col min="6661" max="6661" width="12.625" style="3230" customWidth="1"/>
    <col min="6662" max="6662" width="12.875" style="3230" customWidth="1"/>
    <col min="6663" max="6663" width="9.625" style="3230" customWidth="1"/>
    <col min="6664" max="6664" width="13.125" style="3230" customWidth="1"/>
    <col min="6665" max="6665" width="13.375" style="3230" customWidth="1"/>
    <col min="6666" max="6912" width="8.875" style="3230"/>
    <col min="6913" max="6913" width="5.625" style="3230" customWidth="1"/>
    <col min="6914" max="6914" width="6.125" style="3230" customWidth="1"/>
    <col min="6915" max="6915" width="8.875" style="3230" customWidth="1"/>
    <col min="6916" max="6916" width="8.125" style="3230" customWidth="1"/>
    <col min="6917" max="6917" width="12.625" style="3230" customWidth="1"/>
    <col min="6918" max="6918" width="12.875" style="3230" customWidth="1"/>
    <col min="6919" max="6919" width="9.625" style="3230" customWidth="1"/>
    <col min="6920" max="6920" width="13.125" style="3230" customWidth="1"/>
    <col min="6921" max="6921" width="13.375" style="3230" customWidth="1"/>
    <col min="6922" max="7168" width="8.875" style="3230"/>
    <col min="7169" max="7169" width="5.625" style="3230" customWidth="1"/>
    <col min="7170" max="7170" width="6.125" style="3230" customWidth="1"/>
    <col min="7171" max="7171" width="8.875" style="3230" customWidth="1"/>
    <col min="7172" max="7172" width="8.125" style="3230" customWidth="1"/>
    <col min="7173" max="7173" width="12.625" style="3230" customWidth="1"/>
    <col min="7174" max="7174" width="12.875" style="3230" customWidth="1"/>
    <col min="7175" max="7175" width="9.625" style="3230" customWidth="1"/>
    <col min="7176" max="7176" width="13.125" style="3230" customWidth="1"/>
    <col min="7177" max="7177" width="13.375" style="3230" customWidth="1"/>
    <col min="7178" max="7424" width="8.875" style="3230"/>
    <col min="7425" max="7425" width="5.625" style="3230" customWidth="1"/>
    <col min="7426" max="7426" width="6.125" style="3230" customWidth="1"/>
    <col min="7427" max="7427" width="8.875" style="3230" customWidth="1"/>
    <col min="7428" max="7428" width="8.125" style="3230" customWidth="1"/>
    <col min="7429" max="7429" width="12.625" style="3230" customWidth="1"/>
    <col min="7430" max="7430" width="12.875" style="3230" customWidth="1"/>
    <col min="7431" max="7431" width="9.625" style="3230" customWidth="1"/>
    <col min="7432" max="7432" width="13.125" style="3230" customWidth="1"/>
    <col min="7433" max="7433" width="13.375" style="3230" customWidth="1"/>
    <col min="7434" max="7680" width="8.875" style="3230"/>
    <col min="7681" max="7681" width="5.625" style="3230" customWidth="1"/>
    <col min="7682" max="7682" width="6.125" style="3230" customWidth="1"/>
    <col min="7683" max="7683" width="8.875" style="3230" customWidth="1"/>
    <col min="7684" max="7684" width="8.125" style="3230" customWidth="1"/>
    <col min="7685" max="7685" width="12.625" style="3230" customWidth="1"/>
    <col min="7686" max="7686" width="12.875" style="3230" customWidth="1"/>
    <col min="7687" max="7687" width="9.625" style="3230" customWidth="1"/>
    <col min="7688" max="7688" width="13.125" style="3230" customWidth="1"/>
    <col min="7689" max="7689" width="13.375" style="3230" customWidth="1"/>
    <col min="7690" max="7936" width="8.875" style="3230"/>
    <col min="7937" max="7937" width="5.625" style="3230" customWidth="1"/>
    <col min="7938" max="7938" width="6.125" style="3230" customWidth="1"/>
    <col min="7939" max="7939" width="8.875" style="3230" customWidth="1"/>
    <col min="7940" max="7940" width="8.125" style="3230" customWidth="1"/>
    <col min="7941" max="7941" width="12.625" style="3230" customWidth="1"/>
    <col min="7942" max="7942" width="12.875" style="3230" customWidth="1"/>
    <col min="7943" max="7943" width="9.625" style="3230" customWidth="1"/>
    <col min="7944" max="7944" width="13.125" style="3230" customWidth="1"/>
    <col min="7945" max="7945" width="13.375" style="3230" customWidth="1"/>
    <col min="7946" max="8192" width="8.875" style="3230"/>
    <col min="8193" max="8193" width="5.625" style="3230" customWidth="1"/>
    <col min="8194" max="8194" width="6.125" style="3230" customWidth="1"/>
    <col min="8195" max="8195" width="8.875" style="3230" customWidth="1"/>
    <col min="8196" max="8196" width="8.125" style="3230" customWidth="1"/>
    <col min="8197" max="8197" width="12.625" style="3230" customWidth="1"/>
    <col min="8198" max="8198" width="12.875" style="3230" customWidth="1"/>
    <col min="8199" max="8199" width="9.625" style="3230" customWidth="1"/>
    <col min="8200" max="8200" width="13.125" style="3230" customWidth="1"/>
    <col min="8201" max="8201" width="13.375" style="3230" customWidth="1"/>
    <col min="8202" max="8448" width="8.875" style="3230"/>
    <col min="8449" max="8449" width="5.625" style="3230" customWidth="1"/>
    <col min="8450" max="8450" width="6.125" style="3230" customWidth="1"/>
    <col min="8451" max="8451" width="8.875" style="3230" customWidth="1"/>
    <col min="8452" max="8452" width="8.125" style="3230" customWidth="1"/>
    <col min="8453" max="8453" width="12.625" style="3230" customWidth="1"/>
    <col min="8454" max="8454" width="12.875" style="3230" customWidth="1"/>
    <col min="8455" max="8455" width="9.625" style="3230" customWidth="1"/>
    <col min="8456" max="8456" width="13.125" style="3230" customWidth="1"/>
    <col min="8457" max="8457" width="13.375" style="3230" customWidth="1"/>
    <col min="8458" max="8704" width="8.875" style="3230"/>
    <col min="8705" max="8705" width="5.625" style="3230" customWidth="1"/>
    <col min="8706" max="8706" width="6.125" style="3230" customWidth="1"/>
    <col min="8707" max="8707" width="8.875" style="3230" customWidth="1"/>
    <col min="8708" max="8708" width="8.125" style="3230" customWidth="1"/>
    <col min="8709" max="8709" width="12.625" style="3230" customWidth="1"/>
    <col min="8710" max="8710" width="12.875" style="3230" customWidth="1"/>
    <col min="8711" max="8711" width="9.625" style="3230" customWidth="1"/>
    <col min="8712" max="8712" width="13.125" style="3230" customWidth="1"/>
    <col min="8713" max="8713" width="13.375" style="3230" customWidth="1"/>
    <col min="8714" max="8960" width="8.875" style="3230"/>
    <col min="8961" max="8961" width="5.625" style="3230" customWidth="1"/>
    <col min="8962" max="8962" width="6.125" style="3230" customWidth="1"/>
    <col min="8963" max="8963" width="8.875" style="3230" customWidth="1"/>
    <col min="8964" max="8964" width="8.125" style="3230" customWidth="1"/>
    <col min="8965" max="8965" width="12.625" style="3230" customWidth="1"/>
    <col min="8966" max="8966" width="12.875" style="3230" customWidth="1"/>
    <col min="8967" max="8967" width="9.625" style="3230" customWidth="1"/>
    <col min="8968" max="8968" width="13.125" style="3230" customWidth="1"/>
    <col min="8969" max="8969" width="13.375" style="3230" customWidth="1"/>
    <col min="8970" max="9216" width="8.875" style="3230"/>
    <col min="9217" max="9217" width="5.625" style="3230" customWidth="1"/>
    <col min="9218" max="9218" width="6.125" style="3230" customWidth="1"/>
    <col min="9219" max="9219" width="8.875" style="3230" customWidth="1"/>
    <col min="9220" max="9220" width="8.125" style="3230" customWidth="1"/>
    <col min="9221" max="9221" width="12.625" style="3230" customWidth="1"/>
    <col min="9222" max="9222" width="12.875" style="3230" customWidth="1"/>
    <col min="9223" max="9223" width="9.625" style="3230" customWidth="1"/>
    <col min="9224" max="9224" width="13.125" style="3230" customWidth="1"/>
    <col min="9225" max="9225" width="13.375" style="3230" customWidth="1"/>
    <col min="9226" max="9472" width="8.875" style="3230"/>
    <col min="9473" max="9473" width="5.625" style="3230" customWidth="1"/>
    <col min="9474" max="9474" width="6.125" style="3230" customWidth="1"/>
    <col min="9475" max="9475" width="8.875" style="3230" customWidth="1"/>
    <col min="9476" max="9476" width="8.125" style="3230" customWidth="1"/>
    <col min="9477" max="9477" width="12.625" style="3230" customWidth="1"/>
    <col min="9478" max="9478" width="12.875" style="3230" customWidth="1"/>
    <col min="9479" max="9479" width="9.625" style="3230" customWidth="1"/>
    <col min="9480" max="9480" width="13.125" style="3230" customWidth="1"/>
    <col min="9481" max="9481" width="13.375" style="3230" customWidth="1"/>
    <col min="9482" max="9728" width="8.875" style="3230"/>
    <col min="9729" max="9729" width="5.625" style="3230" customWidth="1"/>
    <col min="9730" max="9730" width="6.125" style="3230" customWidth="1"/>
    <col min="9731" max="9731" width="8.875" style="3230" customWidth="1"/>
    <col min="9732" max="9732" width="8.125" style="3230" customWidth="1"/>
    <col min="9733" max="9733" width="12.625" style="3230" customWidth="1"/>
    <col min="9734" max="9734" width="12.875" style="3230" customWidth="1"/>
    <col min="9735" max="9735" width="9.625" style="3230" customWidth="1"/>
    <col min="9736" max="9736" width="13.125" style="3230" customWidth="1"/>
    <col min="9737" max="9737" width="13.375" style="3230" customWidth="1"/>
    <col min="9738" max="9984" width="8.875" style="3230"/>
    <col min="9985" max="9985" width="5.625" style="3230" customWidth="1"/>
    <col min="9986" max="9986" width="6.125" style="3230" customWidth="1"/>
    <col min="9987" max="9987" width="8.875" style="3230" customWidth="1"/>
    <col min="9988" max="9988" width="8.125" style="3230" customWidth="1"/>
    <col min="9989" max="9989" width="12.625" style="3230" customWidth="1"/>
    <col min="9990" max="9990" width="12.875" style="3230" customWidth="1"/>
    <col min="9991" max="9991" width="9.625" style="3230" customWidth="1"/>
    <col min="9992" max="9992" width="13.125" style="3230" customWidth="1"/>
    <col min="9993" max="9993" width="13.375" style="3230" customWidth="1"/>
    <col min="9994" max="10240" width="8.875" style="3230"/>
    <col min="10241" max="10241" width="5.625" style="3230" customWidth="1"/>
    <col min="10242" max="10242" width="6.125" style="3230" customWidth="1"/>
    <col min="10243" max="10243" width="8.875" style="3230" customWidth="1"/>
    <col min="10244" max="10244" width="8.125" style="3230" customWidth="1"/>
    <col min="10245" max="10245" width="12.625" style="3230" customWidth="1"/>
    <col min="10246" max="10246" width="12.875" style="3230" customWidth="1"/>
    <col min="10247" max="10247" width="9.625" style="3230" customWidth="1"/>
    <col min="10248" max="10248" width="13.125" style="3230" customWidth="1"/>
    <col min="10249" max="10249" width="13.375" style="3230" customWidth="1"/>
    <col min="10250" max="10496" width="8.875" style="3230"/>
    <col min="10497" max="10497" width="5.625" style="3230" customWidth="1"/>
    <col min="10498" max="10498" width="6.125" style="3230" customWidth="1"/>
    <col min="10499" max="10499" width="8.875" style="3230" customWidth="1"/>
    <col min="10500" max="10500" width="8.125" style="3230" customWidth="1"/>
    <col min="10501" max="10501" width="12.625" style="3230" customWidth="1"/>
    <col min="10502" max="10502" width="12.875" style="3230" customWidth="1"/>
    <col min="10503" max="10503" width="9.625" style="3230" customWidth="1"/>
    <col min="10504" max="10504" width="13.125" style="3230" customWidth="1"/>
    <col min="10505" max="10505" width="13.375" style="3230" customWidth="1"/>
    <col min="10506" max="10752" width="8.875" style="3230"/>
    <col min="10753" max="10753" width="5.625" style="3230" customWidth="1"/>
    <col min="10754" max="10754" width="6.125" style="3230" customWidth="1"/>
    <col min="10755" max="10755" width="8.875" style="3230" customWidth="1"/>
    <col min="10756" max="10756" width="8.125" style="3230" customWidth="1"/>
    <col min="10757" max="10757" width="12.625" style="3230" customWidth="1"/>
    <col min="10758" max="10758" width="12.875" style="3230" customWidth="1"/>
    <col min="10759" max="10759" width="9.625" style="3230" customWidth="1"/>
    <col min="10760" max="10760" width="13.125" style="3230" customWidth="1"/>
    <col min="10761" max="10761" width="13.375" style="3230" customWidth="1"/>
    <col min="10762" max="11008" width="8.875" style="3230"/>
    <col min="11009" max="11009" width="5.625" style="3230" customWidth="1"/>
    <col min="11010" max="11010" width="6.125" style="3230" customWidth="1"/>
    <col min="11011" max="11011" width="8.875" style="3230" customWidth="1"/>
    <col min="11012" max="11012" width="8.125" style="3230" customWidth="1"/>
    <col min="11013" max="11013" width="12.625" style="3230" customWidth="1"/>
    <col min="11014" max="11014" width="12.875" style="3230" customWidth="1"/>
    <col min="11015" max="11015" width="9.625" style="3230" customWidth="1"/>
    <col min="11016" max="11016" width="13.125" style="3230" customWidth="1"/>
    <col min="11017" max="11017" width="13.375" style="3230" customWidth="1"/>
    <col min="11018" max="11264" width="8.875" style="3230"/>
    <col min="11265" max="11265" width="5.625" style="3230" customWidth="1"/>
    <col min="11266" max="11266" width="6.125" style="3230" customWidth="1"/>
    <col min="11267" max="11267" width="8.875" style="3230" customWidth="1"/>
    <col min="11268" max="11268" width="8.125" style="3230" customWidth="1"/>
    <col min="11269" max="11269" width="12.625" style="3230" customWidth="1"/>
    <col min="11270" max="11270" width="12.875" style="3230" customWidth="1"/>
    <col min="11271" max="11271" width="9.625" style="3230" customWidth="1"/>
    <col min="11272" max="11272" width="13.125" style="3230" customWidth="1"/>
    <col min="11273" max="11273" width="13.375" style="3230" customWidth="1"/>
    <col min="11274" max="11520" width="8.875" style="3230"/>
    <col min="11521" max="11521" width="5.625" style="3230" customWidth="1"/>
    <col min="11522" max="11522" width="6.125" style="3230" customWidth="1"/>
    <col min="11523" max="11523" width="8.875" style="3230" customWidth="1"/>
    <col min="11524" max="11524" width="8.125" style="3230" customWidth="1"/>
    <col min="11525" max="11525" width="12.625" style="3230" customWidth="1"/>
    <col min="11526" max="11526" width="12.875" style="3230" customWidth="1"/>
    <col min="11527" max="11527" width="9.625" style="3230" customWidth="1"/>
    <col min="11528" max="11528" width="13.125" style="3230" customWidth="1"/>
    <col min="11529" max="11529" width="13.375" style="3230" customWidth="1"/>
    <col min="11530" max="11776" width="8.875" style="3230"/>
    <col min="11777" max="11777" width="5.625" style="3230" customWidth="1"/>
    <col min="11778" max="11778" width="6.125" style="3230" customWidth="1"/>
    <col min="11779" max="11779" width="8.875" style="3230" customWidth="1"/>
    <col min="11780" max="11780" width="8.125" style="3230" customWidth="1"/>
    <col min="11781" max="11781" width="12.625" style="3230" customWidth="1"/>
    <col min="11782" max="11782" width="12.875" style="3230" customWidth="1"/>
    <col min="11783" max="11783" width="9.625" style="3230" customWidth="1"/>
    <col min="11784" max="11784" width="13.125" style="3230" customWidth="1"/>
    <col min="11785" max="11785" width="13.375" style="3230" customWidth="1"/>
    <col min="11786" max="12032" width="8.875" style="3230"/>
    <col min="12033" max="12033" width="5.625" style="3230" customWidth="1"/>
    <col min="12034" max="12034" width="6.125" style="3230" customWidth="1"/>
    <col min="12035" max="12035" width="8.875" style="3230" customWidth="1"/>
    <col min="12036" max="12036" width="8.125" style="3230" customWidth="1"/>
    <col min="12037" max="12037" width="12.625" style="3230" customWidth="1"/>
    <col min="12038" max="12038" width="12.875" style="3230" customWidth="1"/>
    <col min="12039" max="12039" width="9.625" style="3230" customWidth="1"/>
    <col min="12040" max="12040" width="13.125" style="3230" customWidth="1"/>
    <col min="12041" max="12041" width="13.375" style="3230" customWidth="1"/>
    <col min="12042" max="12288" width="8.875" style="3230"/>
    <col min="12289" max="12289" width="5.625" style="3230" customWidth="1"/>
    <col min="12290" max="12290" width="6.125" style="3230" customWidth="1"/>
    <col min="12291" max="12291" width="8.875" style="3230" customWidth="1"/>
    <col min="12292" max="12292" width="8.125" style="3230" customWidth="1"/>
    <col min="12293" max="12293" width="12.625" style="3230" customWidth="1"/>
    <col min="12294" max="12294" width="12.875" style="3230" customWidth="1"/>
    <col min="12295" max="12295" width="9.625" style="3230" customWidth="1"/>
    <col min="12296" max="12296" width="13.125" style="3230" customWidth="1"/>
    <col min="12297" max="12297" width="13.375" style="3230" customWidth="1"/>
    <col min="12298" max="12544" width="8.875" style="3230"/>
    <col min="12545" max="12545" width="5.625" style="3230" customWidth="1"/>
    <col min="12546" max="12546" width="6.125" style="3230" customWidth="1"/>
    <col min="12547" max="12547" width="8.875" style="3230" customWidth="1"/>
    <col min="12548" max="12548" width="8.125" style="3230" customWidth="1"/>
    <col min="12549" max="12549" width="12.625" style="3230" customWidth="1"/>
    <col min="12550" max="12550" width="12.875" style="3230" customWidth="1"/>
    <col min="12551" max="12551" width="9.625" style="3230" customWidth="1"/>
    <col min="12552" max="12552" width="13.125" style="3230" customWidth="1"/>
    <col min="12553" max="12553" width="13.375" style="3230" customWidth="1"/>
    <col min="12554" max="12800" width="8.875" style="3230"/>
    <col min="12801" max="12801" width="5.625" style="3230" customWidth="1"/>
    <col min="12802" max="12802" width="6.125" style="3230" customWidth="1"/>
    <col min="12803" max="12803" width="8.875" style="3230" customWidth="1"/>
    <col min="12804" max="12804" width="8.125" style="3230" customWidth="1"/>
    <col min="12805" max="12805" width="12.625" style="3230" customWidth="1"/>
    <col min="12806" max="12806" width="12.875" style="3230" customWidth="1"/>
    <col min="12807" max="12807" width="9.625" style="3230" customWidth="1"/>
    <col min="12808" max="12808" width="13.125" style="3230" customWidth="1"/>
    <col min="12809" max="12809" width="13.375" style="3230" customWidth="1"/>
    <col min="12810" max="13056" width="8.875" style="3230"/>
    <col min="13057" max="13057" width="5.625" style="3230" customWidth="1"/>
    <col min="13058" max="13058" width="6.125" style="3230" customWidth="1"/>
    <col min="13059" max="13059" width="8.875" style="3230" customWidth="1"/>
    <col min="13060" max="13060" width="8.125" style="3230" customWidth="1"/>
    <col min="13061" max="13061" width="12.625" style="3230" customWidth="1"/>
    <col min="13062" max="13062" width="12.875" style="3230" customWidth="1"/>
    <col min="13063" max="13063" width="9.625" style="3230" customWidth="1"/>
    <col min="13064" max="13064" width="13.125" style="3230" customWidth="1"/>
    <col min="13065" max="13065" width="13.375" style="3230" customWidth="1"/>
    <col min="13066" max="13312" width="8.875" style="3230"/>
    <col min="13313" max="13313" width="5.625" style="3230" customWidth="1"/>
    <col min="13314" max="13314" width="6.125" style="3230" customWidth="1"/>
    <col min="13315" max="13315" width="8.875" style="3230" customWidth="1"/>
    <col min="13316" max="13316" width="8.125" style="3230" customWidth="1"/>
    <col min="13317" max="13317" width="12.625" style="3230" customWidth="1"/>
    <col min="13318" max="13318" width="12.875" style="3230" customWidth="1"/>
    <col min="13319" max="13319" width="9.625" style="3230" customWidth="1"/>
    <col min="13320" max="13320" width="13.125" style="3230" customWidth="1"/>
    <col min="13321" max="13321" width="13.375" style="3230" customWidth="1"/>
    <col min="13322" max="13568" width="8.875" style="3230"/>
    <col min="13569" max="13569" width="5.625" style="3230" customWidth="1"/>
    <col min="13570" max="13570" width="6.125" style="3230" customWidth="1"/>
    <col min="13571" max="13571" width="8.875" style="3230" customWidth="1"/>
    <col min="13572" max="13572" width="8.125" style="3230" customWidth="1"/>
    <col min="13573" max="13573" width="12.625" style="3230" customWidth="1"/>
    <col min="13574" max="13574" width="12.875" style="3230" customWidth="1"/>
    <col min="13575" max="13575" width="9.625" style="3230" customWidth="1"/>
    <col min="13576" max="13576" width="13.125" style="3230" customWidth="1"/>
    <col min="13577" max="13577" width="13.375" style="3230" customWidth="1"/>
    <col min="13578" max="13824" width="8.875" style="3230"/>
    <col min="13825" max="13825" width="5.625" style="3230" customWidth="1"/>
    <col min="13826" max="13826" width="6.125" style="3230" customWidth="1"/>
    <col min="13827" max="13827" width="8.875" style="3230" customWidth="1"/>
    <col min="13828" max="13828" width="8.125" style="3230" customWidth="1"/>
    <col min="13829" max="13829" width="12.625" style="3230" customWidth="1"/>
    <col min="13830" max="13830" width="12.875" style="3230" customWidth="1"/>
    <col min="13831" max="13831" width="9.625" style="3230" customWidth="1"/>
    <col min="13832" max="13832" width="13.125" style="3230" customWidth="1"/>
    <col min="13833" max="13833" width="13.375" style="3230" customWidth="1"/>
    <col min="13834" max="14080" width="8.875" style="3230"/>
    <col min="14081" max="14081" width="5.625" style="3230" customWidth="1"/>
    <col min="14082" max="14082" width="6.125" style="3230" customWidth="1"/>
    <col min="14083" max="14083" width="8.875" style="3230" customWidth="1"/>
    <col min="14084" max="14084" width="8.125" style="3230" customWidth="1"/>
    <col min="14085" max="14085" width="12.625" style="3230" customWidth="1"/>
    <col min="14086" max="14086" width="12.875" style="3230" customWidth="1"/>
    <col min="14087" max="14087" width="9.625" style="3230" customWidth="1"/>
    <col min="14088" max="14088" width="13.125" style="3230" customWidth="1"/>
    <col min="14089" max="14089" width="13.375" style="3230" customWidth="1"/>
    <col min="14090" max="14336" width="8.875" style="3230"/>
    <col min="14337" max="14337" width="5.625" style="3230" customWidth="1"/>
    <col min="14338" max="14338" width="6.125" style="3230" customWidth="1"/>
    <col min="14339" max="14339" width="8.875" style="3230" customWidth="1"/>
    <col min="14340" max="14340" width="8.125" style="3230" customWidth="1"/>
    <col min="14341" max="14341" width="12.625" style="3230" customWidth="1"/>
    <col min="14342" max="14342" width="12.875" style="3230" customWidth="1"/>
    <col min="14343" max="14343" width="9.625" style="3230" customWidth="1"/>
    <col min="14344" max="14344" width="13.125" style="3230" customWidth="1"/>
    <col min="14345" max="14345" width="13.375" style="3230" customWidth="1"/>
    <col min="14346" max="14592" width="8.875" style="3230"/>
    <col min="14593" max="14593" width="5.625" style="3230" customWidth="1"/>
    <col min="14594" max="14594" width="6.125" style="3230" customWidth="1"/>
    <col min="14595" max="14595" width="8.875" style="3230" customWidth="1"/>
    <col min="14596" max="14596" width="8.125" style="3230" customWidth="1"/>
    <col min="14597" max="14597" width="12.625" style="3230" customWidth="1"/>
    <col min="14598" max="14598" width="12.875" style="3230" customWidth="1"/>
    <col min="14599" max="14599" width="9.625" style="3230" customWidth="1"/>
    <col min="14600" max="14600" width="13.125" style="3230" customWidth="1"/>
    <col min="14601" max="14601" width="13.375" style="3230" customWidth="1"/>
    <col min="14602" max="14848" width="8.875" style="3230"/>
    <col min="14849" max="14849" width="5.625" style="3230" customWidth="1"/>
    <col min="14850" max="14850" width="6.125" style="3230" customWidth="1"/>
    <col min="14851" max="14851" width="8.875" style="3230" customWidth="1"/>
    <col min="14852" max="14852" width="8.125" style="3230" customWidth="1"/>
    <col min="14853" max="14853" width="12.625" style="3230" customWidth="1"/>
    <col min="14854" max="14854" width="12.875" style="3230" customWidth="1"/>
    <col min="14855" max="14855" width="9.625" style="3230" customWidth="1"/>
    <col min="14856" max="14856" width="13.125" style="3230" customWidth="1"/>
    <col min="14857" max="14857" width="13.375" style="3230" customWidth="1"/>
    <col min="14858" max="15104" width="8.875" style="3230"/>
    <col min="15105" max="15105" width="5.625" style="3230" customWidth="1"/>
    <col min="15106" max="15106" width="6.125" style="3230" customWidth="1"/>
    <col min="15107" max="15107" width="8.875" style="3230" customWidth="1"/>
    <col min="15108" max="15108" width="8.125" style="3230" customWidth="1"/>
    <col min="15109" max="15109" width="12.625" style="3230" customWidth="1"/>
    <col min="15110" max="15110" width="12.875" style="3230" customWidth="1"/>
    <col min="15111" max="15111" width="9.625" style="3230" customWidth="1"/>
    <col min="15112" max="15112" width="13.125" style="3230" customWidth="1"/>
    <col min="15113" max="15113" width="13.375" style="3230" customWidth="1"/>
    <col min="15114" max="15360" width="8.875" style="3230"/>
    <col min="15361" max="15361" width="5.625" style="3230" customWidth="1"/>
    <col min="15362" max="15362" width="6.125" style="3230" customWidth="1"/>
    <col min="15363" max="15363" width="8.875" style="3230" customWidth="1"/>
    <col min="15364" max="15364" width="8.125" style="3230" customWidth="1"/>
    <col min="15365" max="15365" width="12.625" style="3230" customWidth="1"/>
    <col min="15366" max="15366" width="12.875" style="3230" customWidth="1"/>
    <col min="15367" max="15367" width="9.625" style="3230" customWidth="1"/>
    <col min="15368" max="15368" width="13.125" style="3230" customWidth="1"/>
    <col min="15369" max="15369" width="13.375" style="3230" customWidth="1"/>
    <col min="15370" max="15616" width="8.875" style="3230"/>
    <col min="15617" max="15617" width="5.625" style="3230" customWidth="1"/>
    <col min="15618" max="15618" width="6.125" style="3230" customWidth="1"/>
    <col min="15619" max="15619" width="8.875" style="3230" customWidth="1"/>
    <col min="15620" max="15620" width="8.125" style="3230" customWidth="1"/>
    <col min="15621" max="15621" width="12.625" style="3230" customWidth="1"/>
    <col min="15622" max="15622" width="12.875" style="3230" customWidth="1"/>
    <col min="15623" max="15623" width="9.625" style="3230" customWidth="1"/>
    <col min="15624" max="15624" width="13.125" style="3230" customWidth="1"/>
    <col min="15625" max="15625" width="13.375" style="3230" customWidth="1"/>
    <col min="15626" max="15872" width="8.875" style="3230"/>
    <col min="15873" max="15873" width="5.625" style="3230" customWidth="1"/>
    <col min="15874" max="15874" width="6.125" style="3230" customWidth="1"/>
    <col min="15875" max="15875" width="8.875" style="3230" customWidth="1"/>
    <col min="15876" max="15876" width="8.125" style="3230" customWidth="1"/>
    <col min="15877" max="15877" width="12.625" style="3230" customWidth="1"/>
    <col min="15878" max="15878" width="12.875" style="3230" customWidth="1"/>
    <col min="15879" max="15879" width="9.625" style="3230" customWidth="1"/>
    <col min="15880" max="15880" width="13.125" style="3230" customWidth="1"/>
    <col min="15881" max="15881" width="13.375" style="3230" customWidth="1"/>
    <col min="15882" max="16128" width="8.875" style="3230"/>
    <col min="16129" max="16129" width="5.625" style="3230" customWidth="1"/>
    <col min="16130" max="16130" width="6.125" style="3230" customWidth="1"/>
    <col min="16131" max="16131" width="8.875" style="3230" customWidth="1"/>
    <col min="16132" max="16132" width="8.125" style="3230" customWidth="1"/>
    <col min="16133" max="16133" width="12.625" style="3230" customWidth="1"/>
    <col min="16134" max="16134" width="12.875" style="3230" customWidth="1"/>
    <col min="16135" max="16135" width="9.625" style="3230" customWidth="1"/>
    <col min="16136" max="16136" width="13.125" style="3230" customWidth="1"/>
    <col min="16137" max="16137" width="13.375" style="3230" customWidth="1"/>
    <col min="16138" max="16384" width="8.875" style="3230"/>
  </cols>
  <sheetData>
    <row r="1" spans="1:9" ht="24" customHeight="1">
      <c r="A1" s="4814" t="s">
        <v>3057</v>
      </c>
      <c r="B1" s="4814"/>
      <c r="C1" s="4814"/>
      <c r="D1" s="4814"/>
      <c r="E1" s="4814"/>
      <c r="F1" s="4814"/>
      <c r="G1" s="4814"/>
      <c r="H1" s="4814"/>
      <c r="I1" s="4814"/>
    </row>
    <row r="2" spans="1:9" ht="20.25" customHeight="1">
      <c r="A2" s="4815" t="s">
        <v>3058</v>
      </c>
      <c r="B2" s="4815" t="s">
        <v>3059</v>
      </c>
      <c r="C2" s="4815" t="s">
        <v>3060</v>
      </c>
      <c r="D2" s="4818" t="s">
        <v>3061</v>
      </c>
      <c r="E2" s="4819"/>
      <c r="F2" s="4819"/>
      <c r="G2" s="4820" t="s">
        <v>3062</v>
      </c>
      <c r="H2" s="4821"/>
      <c r="I2" s="4822"/>
    </row>
    <row r="3" spans="1:9" ht="32.25" customHeight="1">
      <c r="A3" s="4816"/>
      <c r="B3" s="4816"/>
      <c r="C3" s="4816"/>
      <c r="D3" s="4815" t="s">
        <v>3063</v>
      </c>
      <c r="E3" s="3231" t="s">
        <v>3064</v>
      </c>
      <c r="F3" s="3231" t="s">
        <v>3065</v>
      </c>
      <c r="G3" s="4823" t="s">
        <v>3066</v>
      </c>
      <c r="H3" s="3231" t="s">
        <v>3064</v>
      </c>
      <c r="I3" s="3232" t="s">
        <v>3065</v>
      </c>
    </row>
    <row r="4" spans="1:9" ht="21" customHeight="1">
      <c r="A4" s="4817"/>
      <c r="B4" s="4817"/>
      <c r="C4" s="4817"/>
      <c r="D4" s="4817"/>
      <c r="E4" s="3232" t="s">
        <v>3067</v>
      </c>
      <c r="F4" s="3232" t="s">
        <v>3067</v>
      </c>
      <c r="G4" s="4824"/>
      <c r="H4" s="3232" t="s">
        <v>3067</v>
      </c>
      <c r="I4" s="3232" t="s">
        <v>3067</v>
      </c>
    </row>
    <row r="5" spans="1:9" ht="18" customHeight="1">
      <c r="A5" s="3233" t="s">
        <v>3068</v>
      </c>
      <c r="B5" s="3233" t="s">
        <v>3069</v>
      </c>
      <c r="C5" s="3233">
        <v>4630.03</v>
      </c>
      <c r="D5" s="3233">
        <v>4630.03</v>
      </c>
      <c r="E5" s="3234">
        <v>5</v>
      </c>
      <c r="F5" s="3234">
        <v>5.5</v>
      </c>
      <c r="G5" s="3234">
        <v>0</v>
      </c>
      <c r="H5" s="3234">
        <v>3.5</v>
      </c>
      <c r="I5" s="3235">
        <v>3.75</v>
      </c>
    </row>
    <row r="6" spans="1:9" ht="17.25" customHeight="1">
      <c r="A6" s="3236" t="s">
        <v>3070</v>
      </c>
      <c r="B6" s="3233" t="s">
        <v>3069</v>
      </c>
      <c r="C6" s="3236">
        <v>6618.74</v>
      </c>
      <c r="D6" s="3236">
        <v>6568.26</v>
      </c>
      <c r="E6" s="3234">
        <v>5</v>
      </c>
      <c r="F6" s="3234">
        <v>5.5</v>
      </c>
      <c r="G6" s="3237">
        <v>50.48</v>
      </c>
      <c r="H6" s="3234">
        <v>3.5</v>
      </c>
      <c r="I6" s="3235">
        <v>3.75</v>
      </c>
    </row>
    <row r="7" spans="1:9" ht="18" customHeight="1">
      <c r="A7" s="3236" t="s">
        <v>3071</v>
      </c>
      <c r="B7" s="3233" t="s">
        <v>3069</v>
      </c>
      <c r="C7" s="3236">
        <v>3096.41</v>
      </c>
      <c r="D7" s="3236">
        <v>3096.41</v>
      </c>
      <c r="E7" s="3234">
        <v>5</v>
      </c>
      <c r="F7" s="3234">
        <v>5.5</v>
      </c>
      <c r="G7" s="3237">
        <v>0</v>
      </c>
      <c r="H7" s="3234">
        <v>3.5</v>
      </c>
      <c r="I7" s="3235">
        <v>3.75</v>
      </c>
    </row>
    <row r="8" spans="1:9" ht="18" customHeight="1">
      <c r="A8" s="3236" t="s">
        <v>3072</v>
      </c>
      <c r="B8" s="3233" t="s">
        <v>3069</v>
      </c>
      <c r="C8" s="3236">
        <v>315.83999999999997</v>
      </c>
      <c r="D8" s="3236">
        <v>315.83999999999997</v>
      </c>
      <c r="E8" s="3234">
        <v>5</v>
      </c>
      <c r="F8" s="3234">
        <v>5.5</v>
      </c>
      <c r="G8" s="3237">
        <v>0</v>
      </c>
      <c r="H8" s="3234">
        <v>3.5</v>
      </c>
      <c r="I8" s="3235">
        <v>3.75</v>
      </c>
    </row>
    <row r="9" spans="1:9" ht="17.25" customHeight="1">
      <c r="A9" s="3236" t="s">
        <v>3073</v>
      </c>
      <c r="B9" s="3233" t="s">
        <v>3069</v>
      </c>
      <c r="C9" s="3236">
        <v>675.64</v>
      </c>
      <c r="D9" s="3236">
        <v>675.64</v>
      </c>
      <c r="E9" s="3234">
        <v>5</v>
      </c>
      <c r="F9" s="3234">
        <v>5.5</v>
      </c>
      <c r="G9" s="3237">
        <v>0</v>
      </c>
      <c r="H9" s="3234">
        <v>3.5</v>
      </c>
      <c r="I9" s="3235">
        <v>3.75</v>
      </c>
    </row>
    <row r="10" spans="1:9" ht="18" customHeight="1">
      <c r="A10" s="3236" t="s">
        <v>977</v>
      </c>
      <c r="B10" s="3236" t="s">
        <v>3069</v>
      </c>
      <c r="C10" s="3236">
        <f>SUM(C5:C9)</f>
        <v>15336.66</v>
      </c>
      <c r="D10" s="3236">
        <f>SUM(D5:D9)</f>
        <v>15286.18</v>
      </c>
      <c r="E10" s="3234">
        <v>5</v>
      </c>
      <c r="F10" s="3234">
        <v>5.5</v>
      </c>
      <c r="G10" s="3237">
        <v>50.48</v>
      </c>
      <c r="H10" s="3234">
        <v>3.5</v>
      </c>
      <c r="I10" s="3235">
        <v>3.75</v>
      </c>
    </row>
    <row r="11" spans="1:9" ht="18" customHeight="1">
      <c r="A11" s="3236" t="s">
        <v>3074</v>
      </c>
      <c r="B11" s="3233" t="s">
        <v>3069</v>
      </c>
      <c r="C11" s="3236">
        <v>3065.26</v>
      </c>
      <c r="D11" s="3236">
        <v>3065.26</v>
      </c>
      <c r="E11" s="3234">
        <v>5</v>
      </c>
      <c r="F11" s="3234">
        <v>5.5</v>
      </c>
      <c r="G11" s="3237">
        <v>0</v>
      </c>
      <c r="H11" s="3234">
        <v>3.5</v>
      </c>
      <c r="I11" s="3235">
        <v>3.75</v>
      </c>
    </row>
    <row r="12" spans="1:9" ht="18" customHeight="1">
      <c r="A12" s="4809" t="s">
        <v>3075</v>
      </c>
      <c r="B12" s="3236" t="s">
        <v>3069</v>
      </c>
      <c r="C12" s="3236">
        <v>4829.13</v>
      </c>
      <c r="D12" s="3236">
        <v>4813.87</v>
      </c>
      <c r="E12" s="3234">
        <v>5</v>
      </c>
      <c r="F12" s="3234">
        <v>5.5</v>
      </c>
      <c r="G12" s="3237">
        <v>15.26</v>
      </c>
      <c r="H12" s="3234">
        <v>3.5</v>
      </c>
      <c r="I12" s="3235">
        <v>3.75</v>
      </c>
    </row>
    <row r="13" spans="1:9" ht="16.5" customHeight="1">
      <c r="A13" s="4810"/>
      <c r="B13" s="3236" t="s">
        <v>3076</v>
      </c>
      <c r="C13" s="3236">
        <v>142.11000000000001</v>
      </c>
      <c r="D13" s="3236">
        <v>142.11000000000001</v>
      </c>
      <c r="E13" s="3234">
        <v>5</v>
      </c>
      <c r="F13" s="3234">
        <v>5.5</v>
      </c>
      <c r="G13" s="3237">
        <v>0</v>
      </c>
      <c r="H13" s="3234">
        <v>3.5</v>
      </c>
      <c r="I13" s="3235">
        <v>3.75</v>
      </c>
    </row>
    <row r="14" spans="1:9" ht="16.5" customHeight="1">
      <c r="A14" s="4810"/>
      <c r="B14" s="3236" t="s">
        <v>3077</v>
      </c>
      <c r="C14" s="3236">
        <v>92.41</v>
      </c>
      <c r="D14" s="3236">
        <v>92.41</v>
      </c>
      <c r="E14" s="3234">
        <v>5</v>
      </c>
      <c r="F14" s="3234">
        <v>5.5</v>
      </c>
      <c r="G14" s="3237">
        <v>0</v>
      </c>
      <c r="H14" s="3234">
        <v>3.5</v>
      </c>
      <c r="I14" s="3235">
        <v>3.75</v>
      </c>
    </row>
    <row r="15" spans="1:9" ht="17.25" customHeight="1">
      <c r="A15" s="4810"/>
      <c r="B15" s="3431" t="s">
        <v>3078</v>
      </c>
      <c r="C15" s="3431">
        <v>475.58</v>
      </c>
      <c r="D15" s="3431">
        <v>475.58</v>
      </c>
      <c r="E15" s="3432">
        <v>5</v>
      </c>
      <c r="F15" s="3432">
        <v>5.5</v>
      </c>
      <c r="G15" s="3433">
        <v>0</v>
      </c>
      <c r="H15" s="3432">
        <v>3.5</v>
      </c>
      <c r="I15" s="3434">
        <v>3.75</v>
      </c>
    </row>
    <row r="16" spans="1:9" ht="17.25" customHeight="1">
      <c r="A16" s="4810"/>
      <c r="B16" s="3436" t="s">
        <v>3079</v>
      </c>
      <c r="C16" s="3436">
        <v>1245.01</v>
      </c>
      <c r="D16" s="3436">
        <v>1245.01</v>
      </c>
      <c r="E16" s="3437">
        <v>5</v>
      </c>
      <c r="F16" s="3437">
        <v>5.5</v>
      </c>
      <c r="G16" s="3438">
        <v>0</v>
      </c>
      <c r="H16" s="3437">
        <v>3.5</v>
      </c>
      <c r="I16" s="3439">
        <v>3.75</v>
      </c>
    </row>
    <row r="17" spans="1:9" ht="16.5" customHeight="1">
      <c r="A17" s="4811"/>
      <c r="B17" s="3238"/>
      <c r="C17" s="3236">
        <f>SUM(C12:C16)</f>
        <v>6784.24</v>
      </c>
      <c r="D17" s="3236">
        <f>SUM(D12:D16)</f>
        <v>6768.98</v>
      </c>
      <c r="E17" s="3234">
        <v>5</v>
      </c>
      <c r="F17" s="3234">
        <v>5.5</v>
      </c>
      <c r="G17" s="3237">
        <f>SUM(G12:G16)</f>
        <v>15.26</v>
      </c>
      <c r="H17" s="3234">
        <v>3.5</v>
      </c>
      <c r="I17" s="3235">
        <v>3.75</v>
      </c>
    </row>
    <row r="18" spans="1:9" ht="18.75" customHeight="1">
      <c r="A18" s="4809" t="s">
        <v>3080</v>
      </c>
      <c r="B18" s="3236" t="s">
        <v>3069</v>
      </c>
      <c r="C18" s="3236">
        <v>3156.84</v>
      </c>
      <c r="D18" s="3236">
        <v>180.32</v>
      </c>
      <c r="E18" s="3234">
        <v>5</v>
      </c>
      <c r="F18" s="3234">
        <v>5.5</v>
      </c>
      <c r="G18" s="3237">
        <v>2976.52</v>
      </c>
      <c r="H18" s="3234">
        <v>3.5</v>
      </c>
      <c r="I18" s="3235">
        <v>3.75</v>
      </c>
    </row>
    <row r="19" spans="1:9" ht="15.75" customHeight="1">
      <c r="A19" s="4810"/>
      <c r="B19" s="3236" t="s">
        <v>3076</v>
      </c>
      <c r="C19" s="3236">
        <v>909.95</v>
      </c>
      <c r="D19" s="3236">
        <v>0</v>
      </c>
      <c r="E19" s="3234">
        <v>5</v>
      </c>
      <c r="F19" s="3234">
        <v>5.5</v>
      </c>
      <c r="G19" s="3237">
        <v>909.95</v>
      </c>
      <c r="H19" s="3234">
        <v>3.5</v>
      </c>
      <c r="I19" s="3235">
        <v>3.75</v>
      </c>
    </row>
    <row r="20" spans="1:9" ht="17.25" customHeight="1">
      <c r="A20" s="4810"/>
      <c r="B20" s="3236" t="s">
        <v>3077</v>
      </c>
      <c r="C20" s="3236">
        <v>205.48</v>
      </c>
      <c r="D20" s="3236">
        <v>0</v>
      </c>
      <c r="E20" s="3234">
        <v>5</v>
      </c>
      <c r="F20" s="3234">
        <v>5.5</v>
      </c>
      <c r="G20" s="3237">
        <v>205.48</v>
      </c>
      <c r="H20" s="3234">
        <v>3.5</v>
      </c>
      <c r="I20" s="3235">
        <v>3.75</v>
      </c>
    </row>
    <row r="21" spans="1:9" ht="19.5" customHeight="1">
      <c r="A21" s="4810"/>
      <c r="B21" s="3236" t="s">
        <v>3081</v>
      </c>
      <c r="C21" s="3236">
        <v>473.07</v>
      </c>
      <c r="D21" s="3236">
        <v>0</v>
      </c>
      <c r="E21" s="3234">
        <v>5</v>
      </c>
      <c r="F21" s="3234">
        <v>5.5</v>
      </c>
      <c r="G21" s="3237">
        <v>473.07</v>
      </c>
      <c r="H21" s="3234">
        <v>3.5</v>
      </c>
      <c r="I21" s="3235">
        <v>3.75</v>
      </c>
    </row>
    <row r="22" spans="1:9" ht="17.25" customHeight="1">
      <c r="A22" s="4810"/>
      <c r="B22" s="3236" t="s">
        <v>3082</v>
      </c>
      <c r="C22" s="3236">
        <v>341.7</v>
      </c>
      <c r="D22" s="3236">
        <v>0</v>
      </c>
      <c r="E22" s="3234">
        <v>5</v>
      </c>
      <c r="F22" s="3234">
        <v>5.5</v>
      </c>
      <c r="G22" s="3237">
        <v>341.7</v>
      </c>
      <c r="H22" s="3234">
        <v>3.5</v>
      </c>
      <c r="I22" s="3235">
        <v>3.75</v>
      </c>
    </row>
    <row r="23" spans="1:9" ht="18" customHeight="1">
      <c r="A23" s="4811"/>
      <c r="B23" s="3238"/>
      <c r="C23" s="3236">
        <f>SUM(C18:C22)</f>
        <v>5087.0399999999991</v>
      </c>
      <c r="D23" s="3236">
        <f>SUM(D18:D22)</f>
        <v>180.32</v>
      </c>
      <c r="E23" s="3234">
        <v>5</v>
      </c>
      <c r="F23" s="3234">
        <v>5.5</v>
      </c>
      <c r="G23" s="3237">
        <f>SUM(G18:G22)</f>
        <v>4906.72</v>
      </c>
      <c r="H23" s="3234">
        <v>3.5</v>
      </c>
      <c r="I23" s="3235">
        <v>3.75</v>
      </c>
    </row>
    <row r="24" spans="1:9" ht="19.5" customHeight="1">
      <c r="A24" s="3236" t="s">
        <v>3083</v>
      </c>
      <c r="B24" s="3239" t="s">
        <v>3069</v>
      </c>
      <c r="C24" s="3239">
        <v>108.8</v>
      </c>
      <c r="D24" s="3239">
        <v>108.8</v>
      </c>
      <c r="E24" s="3234">
        <v>5</v>
      </c>
      <c r="F24" s="3234">
        <v>5.5</v>
      </c>
      <c r="G24" s="3237">
        <v>0</v>
      </c>
      <c r="H24" s="3234">
        <v>3.5</v>
      </c>
      <c r="I24" s="3235">
        <v>3.75</v>
      </c>
    </row>
    <row r="25" spans="1:9" ht="19.5" customHeight="1">
      <c r="A25" s="3236" t="s">
        <v>3084</v>
      </c>
      <c r="B25" s="3239" t="s">
        <v>3069</v>
      </c>
      <c r="C25" s="3239">
        <v>108.8</v>
      </c>
      <c r="D25" s="3239">
        <v>108.8</v>
      </c>
      <c r="E25" s="3234">
        <v>5</v>
      </c>
      <c r="F25" s="3234">
        <v>5.5</v>
      </c>
      <c r="G25" s="3237">
        <v>0</v>
      </c>
      <c r="H25" s="3234">
        <v>3.5</v>
      </c>
      <c r="I25" s="3235">
        <v>3.75</v>
      </c>
    </row>
    <row r="26" spans="1:9" ht="17.25" customHeight="1">
      <c r="A26" s="3236" t="s">
        <v>3085</v>
      </c>
      <c r="B26" s="3236" t="s">
        <v>3077</v>
      </c>
      <c r="C26" s="3236">
        <v>108.96</v>
      </c>
      <c r="D26" s="3236">
        <v>108.96</v>
      </c>
      <c r="E26" s="3234">
        <v>5</v>
      </c>
      <c r="F26" s="3234">
        <v>5.5</v>
      </c>
      <c r="G26" s="3237">
        <v>0</v>
      </c>
      <c r="H26" s="3234">
        <v>3.5</v>
      </c>
      <c r="I26" s="3235">
        <v>3.75</v>
      </c>
    </row>
    <row r="27" spans="1:9" ht="17.25" customHeight="1">
      <c r="A27" s="4809" t="s">
        <v>3086</v>
      </c>
      <c r="B27" s="3236" t="s">
        <v>3069</v>
      </c>
      <c r="C27" s="3236">
        <v>1756.64</v>
      </c>
      <c r="D27" s="3236">
        <v>1756.64</v>
      </c>
      <c r="E27" s="3234">
        <v>5</v>
      </c>
      <c r="F27" s="3234">
        <v>5.5</v>
      </c>
      <c r="G27" s="3237">
        <v>0</v>
      </c>
      <c r="H27" s="3234">
        <v>3.5</v>
      </c>
      <c r="I27" s="3235">
        <v>3.75</v>
      </c>
    </row>
    <row r="28" spans="1:9" ht="17.25" customHeight="1">
      <c r="A28" s="4810"/>
      <c r="B28" s="3236" t="s">
        <v>3076</v>
      </c>
      <c r="C28" s="3236">
        <v>2027.28</v>
      </c>
      <c r="D28" s="3236">
        <v>2027.28</v>
      </c>
      <c r="E28" s="3234">
        <v>5</v>
      </c>
      <c r="F28" s="3234">
        <v>5.5</v>
      </c>
      <c r="G28" s="3237">
        <v>0</v>
      </c>
      <c r="H28" s="3234">
        <v>3.5</v>
      </c>
      <c r="I28" s="3235">
        <v>3.75</v>
      </c>
    </row>
    <row r="29" spans="1:9" ht="18" customHeight="1">
      <c r="A29" s="4810"/>
      <c r="B29" s="3236" t="s">
        <v>3077</v>
      </c>
      <c r="C29" s="3236">
        <v>291.06</v>
      </c>
      <c r="D29" s="3236">
        <v>291.06</v>
      </c>
      <c r="E29" s="3234">
        <v>5</v>
      </c>
      <c r="F29" s="3234">
        <v>5.5</v>
      </c>
      <c r="G29" s="3237">
        <v>0</v>
      </c>
      <c r="H29" s="3234">
        <v>3.5</v>
      </c>
      <c r="I29" s="3235">
        <v>3.75</v>
      </c>
    </row>
    <row r="30" spans="1:9" ht="17.25" customHeight="1">
      <c r="A30" s="4810"/>
      <c r="B30" s="3236" t="s">
        <v>3081</v>
      </c>
      <c r="C30" s="3236">
        <v>613.38</v>
      </c>
      <c r="D30" s="3236">
        <v>613.38</v>
      </c>
      <c r="E30" s="3234">
        <v>5</v>
      </c>
      <c r="F30" s="3234">
        <v>5.5</v>
      </c>
      <c r="G30" s="3237">
        <v>0</v>
      </c>
      <c r="H30" s="3234">
        <v>3.5</v>
      </c>
      <c r="I30" s="3235">
        <v>3.75</v>
      </c>
    </row>
    <row r="31" spans="1:9" ht="15.75" customHeight="1">
      <c r="A31" s="4811"/>
      <c r="B31" s="3238"/>
      <c r="C31" s="3236">
        <f>SUM(C27:C30)</f>
        <v>4688.3599999999997</v>
      </c>
      <c r="D31" s="3236">
        <f>SUM(D27:D30)</f>
        <v>4688.3599999999997</v>
      </c>
      <c r="E31" s="3234">
        <v>5</v>
      </c>
      <c r="F31" s="3234">
        <v>5.5</v>
      </c>
      <c r="G31" s="3237">
        <f>SUM(G27:G30)</f>
        <v>0</v>
      </c>
      <c r="H31" s="3234">
        <v>3.5</v>
      </c>
      <c r="I31" s="3235">
        <v>3.75</v>
      </c>
    </row>
    <row r="32" spans="1:9" ht="19.5" customHeight="1">
      <c r="A32" s="3236" t="s">
        <v>3087</v>
      </c>
      <c r="B32" s="3236" t="s">
        <v>3088</v>
      </c>
      <c r="C32" s="3236">
        <v>3871.04</v>
      </c>
      <c r="D32" s="3236">
        <v>0</v>
      </c>
      <c r="E32" s="3234">
        <v>5</v>
      </c>
      <c r="F32" s="3234">
        <v>5.5</v>
      </c>
      <c r="G32" s="3237">
        <v>3871.04</v>
      </c>
      <c r="H32" s="3234">
        <v>3.5</v>
      </c>
      <c r="I32" s="3235">
        <v>3.75</v>
      </c>
    </row>
    <row r="33" spans="1:11" ht="17.25" customHeight="1">
      <c r="A33" s="4809" t="s">
        <v>3089</v>
      </c>
      <c r="B33" s="3236" t="s">
        <v>3069</v>
      </c>
      <c r="C33" s="3236">
        <v>1184.23</v>
      </c>
      <c r="D33" s="3236">
        <v>1184.23</v>
      </c>
      <c r="E33" s="3234">
        <v>5</v>
      </c>
      <c r="F33" s="3234">
        <v>5.5</v>
      </c>
      <c r="G33" s="3237">
        <v>0</v>
      </c>
      <c r="H33" s="3234">
        <v>3.5</v>
      </c>
      <c r="I33" s="3235">
        <v>3.75</v>
      </c>
    </row>
    <row r="34" spans="1:11" ht="17.25" customHeight="1">
      <c r="A34" s="4810"/>
      <c r="B34" s="3236" t="s">
        <v>3077</v>
      </c>
      <c r="C34" s="3236">
        <v>1011.66</v>
      </c>
      <c r="D34" s="3236">
        <v>1011.66</v>
      </c>
      <c r="E34" s="3234">
        <v>5</v>
      </c>
      <c r="F34" s="3234">
        <v>5.5</v>
      </c>
      <c r="G34" s="3237">
        <v>0</v>
      </c>
      <c r="H34" s="3234">
        <v>3.5</v>
      </c>
      <c r="I34" s="3235">
        <v>3.75</v>
      </c>
    </row>
    <row r="35" spans="1:11" ht="18.75" customHeight="1">
      <c r="A35" s="4810"/>
      <c r="B35" s="3431" t="s">
        <v>3082</v>
      </c>
      <c r="C35" s="3431">
        <v>258.38</v>
      </c>
      <c r="D35" s="3431">
        <v>258.38</v>
      </c>
      <c r="E35" s="3432">
        <v>5</v>
      </c>
      <c r="F35" s="3432">
        <v>5.5</v>
      </c>
      <c r="G35" s="3433">
        <v>0</v>
      </c>
      <c r="H35" s="3432">
        <v>3.5</v>
      </c>
      <c r="I35" s="3434">
        <v>3.75</v>
      </c>
      <c r="J35" s="3435"/>
      <c r="K35" s="3435"/>
    </row>
    <row r="36" spans="1:11" ht="19.5" customHeight="1">
      <c r="A36" s="4810"/>
      <c r="B36" s="3355" t="s">
        <v>3090</v>
      </c>
      <c r="C36" s="3355">
        <v>501.37</v>
      </c>
      <c r="D36" s="3355">
        <v>501.37</v>
      </c>
      <c r="E36" s="3356">
        <v>5</v>
      </c>
      <c r="F36" s="3356">
        <v>5.5</v>
      </c>
      <c r="G36" s="3357">
        <v>0</v>
      </c>
      <c r="H36" s="3356">
        <v>3.5</v>
      </c>
      <c r="I36" s="3358">
        <v>3.75</v>
      </c>
      <c r="J36" s="3435"/>
      <c r="K36" s="3435"/>
    </row>
    <row r="37" spans="1:11" ht="16.5" customHeight="1">
      <c r="A37" s="4810"/>
      <c r="B37" s="3436" t="s">
        <v>3091</v>
      </c>
      <c r="C37" s="3436">
        <v>970.77</v>
      </c>
      <c r="D37" s="3436">
        <v>970.77</v>
      </c>
      <c r="E37" s="3437">
        <v>5</v>
      </c>
      <c r="F37" s="3437">
        <v>5.5</v>
      </c>
      <c r="G37" s="3438">
        <v>0</v>
      </c>
      <c r="H37" s="3437">
        <v>3.5</v>
      </c>
      <c r="I37" s="3439">
        <v>3.75</v>
      </c>
      <c r="J37" s="3435"/>
      <c r="K37" s="3435"/>
    </row>
    <row r="38" spans="1:11" ht="17.25" customHeight="1">
      <c r="A38" s="4811"/>
      <c r="B38" s="3440"/>
      <c r="C38" s="3431">
        <f>SUM(C33:C37)</f>
        <v>3926.41</v>
      </c>
      <c r="D38" s="3431">
        <f>SUM(D33:D37)</f>
        <v>3926.41</v>
      </c>
      <c r="E38" s="3432">
        <v>5</v>
      </c>
      <c r="F38" s="3432">
        <v>5.5</v>
      </c>
      <c r="G38" s="3433">
        <f>SUM(G33:G37)</f>
        <v>0</v>
      </c>
      <c r="H38" s="3432">
        <v>3.5</v>
      </c>
      <c r="I38" s="3434">
        <v>3.75</v>
      </c>
      <c r="J38" s="3435"/>
      <c r="K38" s="3435"/>
    </row>
    <row r="39" spans="1:11" ht="18.75" customHeight="1">
      <c r="A39" s="3236" t="s">
        <v>3092</v>
      </c>
      <c r="B39" s="3236" t="s">
        <v>3069</v>
      </c>
      <c r="C39" s="3236">
        <v>2613.25</v>
      </c>
      <c r="D39" s="3236">
        <v>2101.39</v>
      </c>
      <c r="E39" s="3234">
        <v>5</v>
      </c>
      <c r="F39" s="3234">
        <v>5.5</v>
      </c>
      <c r="G39" s="3237">
        <v>511.86</v>
      </c>
      <c r="H39" s="3234">
        <v>3.5</v>
      </c>
      <c r="I39" s="3235">
        <v>3.75</v>
      </c>
    </row>
    <row r="40" spans="1:11" ht="18" customHeight="1">
      <c r="A40" s="3236" t="s">
        <v>3093</v>
      </c>
      <c r="B40" s="3236" t="s">
        <v>3069</v>
      </c>
      <c r="C40" s="3236">
        <v>1200</v>
      </c>
      <c r="D40" s="3236">
        <v>0</v>
      </c>
      <c r="E40" s="3234">
        <v>5</v>
      </c>
      <c r="F40" s="3234">
        <v>5.5</v>
      </c>
      <c r="G40" s="3237">
        <v>1200</v>
      </c>
      <c r="H40" s="3234">
        <v>3.5</v>
      </c>
      <c r="I40" s="3235">
        <v>3.75</v>
      </c>
    </row>
    <row r="41" spans="1:11" ht="13.5" customHeight="1">
      <c r="A41" s="3236" t="s">
        <v>3094</v>
      </c>
      <c r="B41" s="3236" t="s">
        <v>3069</v>
      </c>
      <c r="C41" s="3236">
        <v>800</v>
      </c>
      <c r="D41" s="3236">
        <v>0</v>
      </c>
      <c r="E41" s="3234">
        <v>5</v>
      </c>
      <c r="F41" s="3234">
        <v>5.5</v>
      </c>
      <c r="G41" s="3237">
        <v>800</v>
      </c>
      <c r="H41" s="3234">
        <v>3.5</v>
      </c>
      <c r="I41" s="3235">
        <v>3.75</v>
      </c>
    </row>
    <row r="42" spans="1:11" ht="16.5" customHeight="1">
      <c r="A42" s="3236" t="s">
        <v>977</v>
      </c>
      <c r="B42" s="3236"/>
      <c r="C42" s="3239">
        <f>C11+C17+C23+C24+C25+C26+C31+C32+C38+C39+C40+C41</f>
        <v>32362.159999999996</v>
      </c>
      <c r="D42" s="3239">
        <f>D11+D17+D23+D24+D25+D26+D31+D32+D38+D39+D40+D41</f>
        <v>21057.279999999995</v>
      </c>
      <c r="E42" s="3234">
        <v>5</v>
      </c>
      <c r="F42" s="3234">
        <v>5.5</v>
      </c>
      <c r="G42" s="3237">
        <f>G11+G17+G23+G24+G25+G26+G31+G32+G38+G39+G40+G41</f>
        <v>11304.880000000001</v>
      </c>
      <c r="H42" s="3234">
        <v>3.5</v>
      </c>
      <c r="I42" s="3235">
        <v>3.75</v>
      </c>
    </row>
    <row r="43" spans="1:11" ht="15.75" customHeight="1">
      <c r="A43" s="3240"/>
      <c r="B43" s="3240"/>
      <c r="C43" s="3236">
        <f>C10+C42</f>
        <v>47698.819999999992</v>
      </c>
      <c r="D43" s="3236">
        <f>D10+D42</f>
        <v>36343.459999999992</v>
      </c>
      <c r="E43" s="3234">
        <v>5</v>
      </c>
      <c r="F43" s="3234">
        <v>5.5</v>
      </c>
      <c r="G43" s="3237">
        <f>G10+G42</f>
        <v>11355.36</v>
      </c>
      <c r="H43" s="3234">
        <v>3.5</v>
      </c>
      <c r="I43" s="3235">
        <v>3.75</v>
      </c>
    </row>
    <row r="44" spans="1:11" ht="17.25" customHeight="1">
      <c r="A44" s="4812" t="s">
        <v>3095</v>
      </c>
      <c r="B44" s="4813"/>
      <c r="C44" s="4813"/>
      <c r="D44" s="4813"/>
      <c r="E44" s="4813"/>
      <c r="F44" s="4813"/>
      <c r="G44" s="4813"/>
      <c r="H44" s="4813"/>
      <c r="I44" s="4813"/>
    </row>
  </sheetData>
  <mergeCells count="13">
    <mergeCell ref="A1:I1"/>
    <mergeCell ref="A2:A4"/>
    <mergeCell ref="B2:B4"/>
    <mergeCell ref="C2:C4"/>
    <mergeCell ref="D2:F2"/>
    <mergeCell ref="G2:I2"/>
    <mergeCell ref="D3:D4"/>
    <mergeCell ref="G3:G4"/>
    <mergeCell ref="A12:A17"/>
    <mergeCell ref="A18:A23"/>
    <mergeCell ref="A27:A31"/>
    <mergeCell ref="A33:A38"/>
    <mergeCell ref="A44:I44"/>
  </mergeCells>
  <phoneticPr fontId="147" type="noConversion"/>
  <pageMargins left="0" right="0" top="0" bottom="0" header="0.51181102362204722" footer="0.51181102362204722"/>
  <pageSetup paperSize="9" orientation="portrait" r:id="rId1"/>
  <headerFooter alignWithMargins="0"/>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4"/>
  <dimension ref="A1:ID81"/>
  <sheetViews>
    <sheetView workbookViewId="0">
      <selection activeCell="H16" sqref="H16"/>
    </sheetView>
  </sheetViews>
  <sheetFormatPr defaultColWidth="9" defaultRowHeight="14.25"/>
  <cols>
    <col min="1" max="1" width="3.125" style="3308" customWidth="1"/>
    <col min="2" max="2" width="24.125" style="3247" customWidth="1"/>
    <col min="3" max="3" width="15.625" style="3247" customWidth="1"/>
    <col min="4" max="4" width="15.125" style="3267" customWidth="1"/>
    <col min="5" max="5" width="7.625" style="3267" customWidth="1"/>
    <col min="6" max="6" width="7.5" style="3325" customWidth="1"/>
    <col min="7" max="7" width="3.375" style="3309" customWidth="1"/>
    <col min="8" max="8" width="8.125" style="3309" customWidth="1"/>
    <col min="9" max="9" width="5.625" style="3332" customWidth="1"/>
    <col min="10" max="10" width="5.625" style="3310" customWidth="1"/>
    <col min="11" max="11" width="15.125" style="3267" customWidth="1"/>
    <col min="12" max="12" width="10.375" style="3267" customWidth="1"/>
    <col min="13" max="13" width="10" style="3267" customWidth="1"/>
    <col min="14" max="14" width="12.875" style="3267" customWidth="1"/>
    <col min="15" max="237" width="9" style="3267" customWidth="1"/>
    <col min="238" max="256" width="9" style="3230"/>
    <col min="257" max="257" width="3.125" style="3230" customWidth="1"/>
    <col min="258" max="258" width="24.125" style="3230" customWidth="1"/>
    <col min="259" max="259" width="15.625" style="3230" customWidth="1"/>
    <col min="260" max="260" width="15.125" style="3230" customWidth="1"/>
    <col min="261" max="261" width="7.625" style="3230" customWidth="1"/>
    <col min="262" max="262" width="7.5" style="3230" customWidth="1"/>
    <col min="263" max="263" width="3.375" style="3230" customWidth="1"/>
    <col min="264" max="264" width="8.125" style="3230" customWidth="1"/>
    <col min="265" max="266" width="5.625" style="3230" customWidth="1"/>
    <col min="267" max="267" width="15.125" style="3230" customWidth="1"/>
    <col min="268" max="268" width="10.375" style="3230" customWidth="1"/>
    <col min="269" max="269" width="10" style="3230" customWidth="1"/>
    <col min="270" max="270" width="12.875" style="3230" customWidth="1"/>
    <col min="271" max="512" width="9" style="3230"/>
    <col min="513" max="513" width="3.125" style="3230" customWidth="1"/>
    <col min="514" max="514" width="24.125" style="3230" customWidth="1"/>
    <col min="515" max="515" width="15.625" style="3230" customWidth="1"/>
    <col min="516" max="516" width="15.125" style="3230" customWidth="1"/>
    <col min="517" max="517" width="7.625" style="3230" customWidth="1"/>
    <col min="518" max="518" width="7.5" style="3230" customWidth="1"/>
    <col min="519" max="519" width="3.375" style="3230" customWidth="1"/>
    <col min="520" max="520" width="8.125" style="3230" customWidth="1"/>
    <col min="521" max="522" width="5.625" style="3230" customWidth="1"/>
    <col min="523" max="523" width="15.125" style="3230" customWidth="1"/>
    <col min="524" max="524" width="10.375" style="3230" customWidth="1"/>
    <col min="525" max="525" width="10" style="3230" customWidth="1"/>
    <col min="526" max="526" width="12.875" style="3230" customWidth="1"/>
    <col min="527" max="768" width="9" style="3230"/>
    <col min="769" max="769" width="3.125" style="3230" customWidth="1"/>
    <col min="770" max="770" width="24.125" style="3230" customWidth="1"/>
    <col min="771" max="771" width="15.625" style="3230" customWidth="1"/>
    <col min="772" max="772" width="15.125" style="3230" customWidth="1"/>
    <col min="773" max="773" width="7.625" style="3230" customWidth="1"/>
    <col min="774" max="774" width="7.5" style="3230" customWidth="1"/>
    <col min="775" max="775" width="3.375" style="3230" customWidth="1"/>
    <col min="776" max="776" width="8.125" style="3230" customWidth="1"/>
    <col min="777" max="778" width="5.625" style="3230" customWidth="1"/>
    <col min="779" max="779" width="15.125" style="3230" customWidth="1"/>
    <col min="780" max="780" width="10.375" style="3230" customWidth="1"/>
    <col min="781" max="781" width="10" style="3230" customWidth="1"/>
    <col min="782" max="782" width="12.875" style="3230" customWidth="1"/>
    <col min="783" max="1024" width="9" style="3230"/>
    <col min="1025" max="1025" width="3.125" style="3230" customWidth="1"/>
    <col min="1026" max="1026" width="24.125" style="3230" customWidth="1"/>
    <col min="1027" max="1027" width="15.625" style="3230" customWidth="1"/>
    <col min="1028" max="1028" width="15.125" style="3230" customWidth="1"/>
    <col min="1029" max="1029" width="7.625" style="3230" customWidth="1"/>
    <col min="1030" max="1030" width="7.5" style="3230" customWidth="1"/>
    <col min="1031" max="1031" width="3.375" style="3230" customWidth="1"/>
    <col min="1032" max="1032" width="8.125" style="3230" customWidth="1"/>
    <col min="1033" max="1034" width="5.625" style="3230" customWidth="1"/>
    <col min="1035" max="1035" width="15.125" style="3230" customWidth="1"/>
    <col min="1036" max="1036" width="10.375" style="3230" customWidth="1"/>
    <col min="1037" max="1037" width="10" style="3230" customWidth="1"/>
    <col min="1038" max="1038" width="12.875" style="3230" customWidth="1"/>
    <col min="1039" max="1280" width="9" style="3230"/>
    <col min="1281" max="1281" width="3.125" style="3230" customWidth="1"/>
    <col min="1282" max="1282" width="24.125" style="3230" customWidth="1"/>
    <col min="1283" max="1283" width="15.625" style="3230" customWidth="1"/>
    <col min="1284" max="1284" width="15.125" style="3230" customWidth="1"/>
    <col min="1285" max="1285" width="7.625" style="3230" customWidth="1"/>
    <col min="1286" max="1286" width="7.5" style="3230" customWidth="1"/>
    <col min="1287" max="1287" width="3.375" style="3230" customWidth="1"/>
    <col min="1288" max="1288" width="8.125" style="3230" customWidth="1"/>
    <col min="1289" max="1290" width="5.625" style="3230" customWidth="1"/>
    <col min="1291" max="1291" width="15.125" style="3230" customWidth="1"/>
    <col min="1292" max="1292" width="10.375" style="3230" customWidth="1"/>
    <col min="1293" max="1293" width="10" style="3230" customWidth="1"/>
    <col min="1294" max="1294" width="12.875" style="3230" customWidth="1"/>
    <col min="1295" max="1536" width="9" style="3230"/>
    <col min="1537" max="1537" width="3.125" style="3230" customWidth="1"/>
    <col min="1538" max="1538" width="24.125" style="3230" customWidth="1"/>
    <col min="1539" max="1539" width="15.625" style="3230" customWidth="1"/>
    <col min="1540" max="1540" width="15.125" style="3230" customWidth="1"/>
    <col min="1541" max="1541" width="7.625" style="3230" customWidth="1"/>
    <col min="1542" max="1542" width="7.5" style="3230" customWidth="1"/>
    <col min="1543" max="1543" width="3.375" style="3230" customWidth="1"/>
    <col min="1544" max="1544" width="8.125" style="3230" customWidth="1"/>
    <col min="1545" max="1546" width="5.625" style="3230" customWidth="1"/>
    <col min="1547" max="1547" width="15.125" style="3230" customWidth="1"/>
    <col min="1548" max="1548" width="10.375" style="3230" customWidth="1"/>
    <col min="1549" max="1549" width="10" style="3230" customWidth="1"/>
    <col min="1550" max="1550" width="12.875" style="3230" customWidth="1"/>
    <col min="1551" max="1792" width="9" style="3230"/>
    <col min="1793" max="1793" width="3.125" style="3230" customWidth="1"/>
    <col min="1794" max="1794" width="24.125" style="3230" customWidth="1"/>
    <col min="1795" max="1795" width="15.625" style="3230" customWidth="1"/>
    <col min="1796" max="1796" width="15.125" style="3230" customWidth="1"/>
    <col min="1797" max="1797" width="7.625" style="3230" customWidth="1"/>
    <col min="1798" max="1798" width="7.5" style="3230" customWidth="1"/>
    <col min="1799" max="1799" width="3.375" style="3230" customWidth="1"/>
    <col min="1800" max="1800" width="8.125" style="3230" customWidth="1"/>
    <col min="1801" max="1802" width="5.625" style="3230" customWidth="1"/>
    <col min="1803" max="1803" width="15.125" style="3230" customWidth="1"/>
    <col min="1804" max="1804" width="10.375" style="3230" customWidth="1"/>
    <col min="1805" max="1805" width="10" style="3230" customWidth="1"/>
    <col min="1806" max="1806" width="12.875" style="3230" customWidth="1"/>
    <col min="1807" max="2048" width="9" style="3230"/>
    <col min="2049" max="2049" width="3.125" style="3230" customWidth="1"/>
    <col min="2050" max="2050" width="24.125" style="3230" customWidth="1"/>
    <col min="2051" max="2051" width="15.625" style="3230" customWidth="1"/>
    <col min="2052" max="2052" width="15.125" style="3230" customWidth="1"/>
    <col min="2053" max="2053" width="7.625" style="3230" customWidth="1"/>
    <col min="2054" max="2054" width="7.5" style="3230" customWidth="1"/>
    <col min="2055" max="2055" width="3.375" style="3230" customWidth="1"/>
    <col min="2056" max="2056" width="8.125" style="3230" customWidth="1"/>
    <col min="2057" max="2058" width="5.625" style="3230" customWidth="1"/>
    <col min="2059" max="2059" width="15.125" style="3230" customWidth="1"/>
    <col min="2060" max="2060" width="10.375" style="3230" customWidth="1"/>
    <col min="2061" max="2061" width="10" style="3230" customWidth="1"/>
    <col min="2062" max="2062" width="12.875" style="3230" customWidth="1"/>
    <col min="2063" max="2304" width="9" style="3230"/>
    <col min="2305" max="2305" width="3.125" style="3230" customWidth="1"/>
    <col min="2306" max="2306" width="24.125" style="3230" customWidth="1"/>
    <col min="2307" max="2307" width="15.625" style="3230" customWidth="1"/>
    <col min="2308" max="2308" width="15.125" style="3230" customWidth="1"/>
    <col min="2309" max="2309" width="7.625" style="3230" customWidth="1"/>
    <col min="2310" max="2310" width="7.5" style="3230" customWidth="1"/>
    <col min="2311" max="2311" width="3.375" style="3230" customWidth="1"/>
    <col min="2312" max="2312" width="8.125" style="3230" customWidth="1"/>
    <col min="2313" max="2314" width="5.625" style="3230" customWidth="1"/>
    <col min="2315" max="2315" width="15.125" style="3230" customWidth="1"/>
    <col min="2316" max="2316" width="10.375" style="3230" customWidth="1"/>
    <col min="2317" max="2317" width="10" style="3230" customWidth="1"/>
    <col min="2318" max="2318" width="12.875" style="3230" customWidth="1"/>
    <col min="2319" max="2560" width="9" style="3230"/>
    <col min="2561" max="2561" width="3.125" style="3230" customWidth="1"/>
    <col min="2562" max="2562" width="24.125" style="3230" customWidth="1"/>
    <col min="2563" max="2563" width="15.625" style="3230" customWidth="1"/>
    <col min="2564" max="2564" width="15.125" style="3230" customWidth="1"/>
    <col min="2565" max="2565" width="7.625" style="3230" customWidth="1"/>
    <col min="2566" max="2566" width="7.5" style="3230" customWidth="1"/>
    <col min="2567" max="2567" width="3.375" style="3230" customWidth="1"/>
    <col min="2568" max="2568" width="8.125" style="3230" customWidth="1"/>
    <col min="2569" max="2570" width="5.625" style="3230" customWidth="1"/>
    <col min="2571" max="2571" width="15.125" style="3230" customWidth="1"/>
    <col min="2572" max="2572" width="10.375" style="3230" customWidth="1"/>
    <col min="2573" max="2573" width="10" style="3230" customWidth="1"/>
    <col min="2574" max="2574" width="12.875" style="3230" customWidth="1"/>
    <col min="2575" max="2816" width="9" style="3230"/>
    <col min="2817" max="2817" width="3.125" style="3230" customWidth="1"/>
    <col min="2818" max="2818" width="24.125" style="3230" customWidth="1"/>
    <col min="2819" max="2819" width="15.625" style="3230" customWidth="1"/>
    <col min="2820" max="2820" width="15.125" style="3230" customWidth="1"/>
    <col min="2821" max="2821" width="7.625" style="3230" customWidth="1"/>
    <col min="2822" max="2822" width="7.5" style="3230" customWidth="1"/>
    <col min="2823" max="2823" width="3.375" style="3230" customWidth="1"/>
    <col min="2824" max="2824" width="8.125" style="3230" customWidth="1"/>
    <col min="2825" max="2826" width="5.625" style="3230" customWidth="1"/>
    <col min="2827" max="2827" width="15.125" style="3230" customWidth="1"/>
    <col min="2828" max="2828" width="10.375" style="3230" customWidth="1"/>
    <col min="2829" max="2829" width="10" style="3230" customWidth="1"/>
    <col min="2830" max="2830" width="12.875" style="3230" customWidth="1"/>
    <col min="2831" max="3072" width="9" style="3230"/>
    <col min="3073" max="3073" width="3.125" style="3230" customWidth="1"/>
    <col min="3074" max="3074" width="24.125" style="3230" customWidth="1"/>
    <col min="3075" max="3075" width="15.625" style="3230" customWidth="1"/>
    <col min="3076" max="3076" width="15.125" style="3230" customWidth="1"/>
    <col min="3077" max="3077" width="7.625" style="3230" customWidth="1"/>
    <col min="3078" max="3078" width="7.5" style="3230" customWidth="1"/>
    <col min="3079" max="3079" width="3.375" style="3230" customWidth="1"/>
    <col min="3080" max="3080" width="8.125" style="3230" customWidth="1"/>
    <col min="3081" max="3082" width="5.625" style="3230" customWidth="1"/>
    <col min="3083" max="3083" width="15.125" style="3230" customWidth="1"/>
    <col min="3084" max="3084" width="10.375" style="3230" customWidth="1"/>
    <col min="3085" max="3085" width="10" style="3230" customWidth="1"/>
    <col min="3086" max="3086" width="12.875" style="3230" customWidth="1"/>
    <col min="3087" max="3328" width="9" style="3230"/>
    <col min="3329" max="3329" width="3.125" style="3230" customWidth="1"/>
    <col min="3330" max="3330" width="24.125" style="3230" customWidth="1"/>
    <col min="3331" max="3331" width="15.625" style="3230" customWidth="1"/>
    <col min="3332" max="3332" width="15.125" style="3230" customWidth="1"/>
    <col min="3333" max="3333" width="7.625" style="3230" customWidth="1"/>
    <col min="3334" max="3334" width="7.5" style="3230" customWidth="1"/>
    <col min="3335" max="3335" width="3.375" style="3230" customWidth="1"/>
    <col min="3336" max="3336" width="8.125" style="3230" customWidth="1"/>
    <col min="3337" max="3338" width="5.625" style="3230" customWidth="1"/>
    <col min="3339" max="3339" width="15.125" style="3230" customWidth="1"/>
    <col min="3340" max="3340" width="10.375" style="3230" customWidth="1"/>
    <col min="3341" max="3341" width="10" style="3230" customWidth="1"/>
    <col min="3342" max="3342" width="12.875" style="3230" customWidth="1"/>
    <col min="3343" max="3584" width="9" style="3230"/>
    <col min="3585" max="3585" width="3.125" style="3230" customWidth="1"/>
    <col min="3586" max="3586" width="24.125" style="3230" customWidth="1"/>
    <col min="3587" max="3587" width="15.625" style="3230" customWidth="1"/>
    <col min="3588" max="3588" width="15.125" style="3230" customWidth="1"/>
    <col min="3589" max="3589" width="7.625" style="3230" customWidth="1"/>
    <col min="3590" max="3590" width="7.5" style="3230" customWidth="1"/>
    <col min="3591" max="3591" width="3.375" style="3230" customWidth="1"/>
    <col min="3592" max="3592" width="8.125" style="3230" customWidth="1"/>
    <col min="3593" max="3594" width="5.625" style="3230" customWidth="1"/>
    <col min="3595" max="3595" width="15.125" style="3230" customWidth="1"/>
    <col min="3596" max="3596" width="10.375" style="3230" customWidth="1"/>
    <col min="3597" max="3597" width="10" style="3230" customWidth="1"/>
    <col min="3598" max="3598" width="12.875" style="3230" customWidth="1"/>
    <col min="3599" max="3840" width="9" style="3230"/>
    <col min="3841" max="3841" width="3.125" style="3230" customWidth="1"/>
    <col min="3842" max="3842" width="24.125" style="3230" customWidth="1"/>
    <col min="3843" max="3843" width="15.625" style="3230" customWidth="1"/>
    <col min="3844" max="3844" width="15.125" style="3230" customWidth="1"/>
    <col min="3845" max="3845" width="7.625" style="3230" customWidth="1"/>
    <col min="3846" max="3846" width="7.5" style="3230" customWidth="1"/>
    <col min="3847" max="3847" width="3.375" style="3230" customWidth="1"/>
    <col min="3848" max="3848" width="8.125" style="3230" customWidth="1"/>
    <col min="3849" max="3850" width="5.625" style="3230" customWidth="1"/>
    <col min="3851" max="3851" width="15.125" style="3230" customWidth="1"/>
    <col min="3852" max="3852" width="10.375" style="3230" customWidth="1"/>
    <col min="3853" max="3853" width="10" style="3230" customWidth="1"/>
    <col min="3854" max="3854" width="12.875" style="3230" customWidth="1"/>
    <col min="3855" max="4096" width="9" style="3230"/>
    <col min="4097" max="4097" width="3.125" style="3230" customWidth="1"/>
    <col min="4098" max="4098" width="24.125" style="3230" customWidth="1"/>
    <col min="4099" max="4099" width="15.625" style="3230" customWidth="1"/>
    <col min="4100" max="4100" width="15.125" style="3230" customWidth="1"/>
    <col min="4101" max="4101" width="7.625" style="3230" customWidth="1"/>
    <col min="4102" max="4102" width="7.5" style="3230" customWidth="1"/>
    <col min="4103" max="4103" width="3.375" style="3230" customWidth="1"/>
    <col min="4104" max="4104" width="8.125" style="3230" customWidth="1"/>
    <col min="4105" max="4106" width="5.625" style="3230" customWidth="1"/>
    <col min="4107" max="4107" width="15.125" style="3230" customWidth="1"/>
    <col min="4108" max="4108" width="10.375" style="3230" customWidth="1"/>
    <col min="4109" max="4109" width="10" style="3230" customWidth="1"/>
    <col min="4110" max="4110" width="12.875" style="3230" customWidth="1"/>
    <col min="4111" max="4352" width="9" style="3230"/>
    <col min="4353" max="4353" width="3.125" style="3230" customWidth="1"/>
    <col min="4354" max="4354" width="24.125" style="3230" customWidth="1"/>
    <col min="4355" max="4355" width="15.625" style="3230" customWidth="1"/>
    <col min="4356" max="4356" width="15.125" style="3230" customWidth="1"/>
    <col min="4357" max="4357" width="7.625" style="3230" customWidth="1"/>
    <col min="4358" max="4358" width="7.5" style="3230" customWidth="1"/>
    <col min="4359" max="4359" width="3.375" style="3230" customWidth="1"/>
    <col min="4360" max="4360" width="8.125" style="3230" customWidth="1"/>
    <col min="4361" max="4362" width="5.625" style="3230" customWidth="1"/>
    <col min="4363" max="4363" width="15.125" style="3230" customWidth="1"/>
    <col min="4364" max="4364" width="10.375" style="3230" customWidth="1"/>
    <col min="4365" max="4365" width="10" style="3230" customWidth="1"/>
    <col min="4366" max="4366" width="12.875" style="3230" customWidth="1"/>
    <col min="4367" max="4608" width="9" style="3230"/>
    <col min="4609" max="4609" width="3.125" style="3230" customWidth="1"/>
    <col min="4610" max="4610" width="24.125" style="3230" customWidth="1"/>
    <col min="4611" max="4611" width="15.625" style="3230" customWidth="1"/>
    <col min="4612" max="4612" width="15.125" style="3230" customWidth="1"/>
    <col min="4613" max="4613" width="7.625" style="3230" customWidth="1"/>
    <col min="4614" max="4614" width="7.5" style="3230" customWidth="1"/>
    <col min="4615" max="4615" width="3.375" style="3230" customWidth="1"/>
    <col min="4616" max="4616" width="8.125" style="3230" customWidth="1"/>
    <col min="4617" max="4618" width="5.625" style="3230" customWidth="1"/>
    <col min="4619" max="4619" width="15.125" style="3230" customWidth="1"/>
    <col min="4620" max="4620" width="10.375" style="3230" customWidth="1"/>
    <col min="4621" max="4621" width="10" style="3230" customWidth="1"/>
    <col min="4622" max="4622" width="12.875" style="3230" customWidth="1"/>
    <col min="4623" max="4864" width="9" style="3230"/>
    <col min="4865" max="4865" width="3.125" style="3230" customWidth="1"/>
    <col min="4866" max="4866" width="24.125" style="3230" customWidth="1"/>
    <col min="4867" max="4867" width="15.625" style="3230" customWidth="1"/>
    <col min="4868" max="4868" width="15.125" style="3230" customWidth="1"/>
    <col min="4869" max="4869" width="7.625" style="3230" customWidth="1"/>
    <col min="4870" max="4870" width="7.5" style="3230" customWidth="1"/>
    <col min="4871" max="4871" width="3.375" style="3230" customWidth="1"/>
    <col min="4872" max="4872" width="8.125" style="3230" customWidth="1"/>
    <col min="4873" max="4874" width="5.625" style="3230" customWidth="1"/>
    <col min="4875" max="4875" width="15.125" style="3230" customWidth="1"/>
    <col min="4876" max="4876" width="10.375" style="3230" customWidth="1"/>
    <col min="4877" max="4877" width="10" style="3230" customWidth="1"/>
    <col min="4878" max="4878" width="12.875" style="3230" customWidth="1"/>
    <col min="4879" max="5120" width="9" style="3230"/>
    <col min="5121" max="5121" width="3.125" style="3230" customWidth="1"/>
    <col min="5122" max="5122" width="24.125" style="3230" customWidth="1"/>
    <col min="5123" max="5123" width="15.625" style="3230" customWidth="1"/>
    <col min="5124" max="5124" width="15.125" style="3230" customWidth="1"/>
    <col min="5125" max="5125" width="7.625" style="3230" customWidth="1"/>
    <col min="5126" max="5126" width="7.5" style="3230" customWidth="1"/>
    <col min="5127" max="5127" width="3.375" style="3230" customWidth="1"/>
    <col min="5128" max="5128" width="8.125" style="3230" customWidth="1"/>
    <col min="5129" max="5130" width="5.625" style="3230" customWidth="1"/>
    <col min="5131" max="5131" width="15.125" style="3230" customWidth="1"/>
    <col min="5132" max="5132" width="10.375" style="3230" customWidth="1"/>
    <col min="5133" max="5133" width="10" style="3230" customWidth="1"/>
    <col min="5134" max="5134" width="12.875" style="3230" customWidth="1"/>
    <col min="5135" max="5376" width="9" style="3230"/>
    <col min="5377" max="5377" width="3.125" style="3230" customWidth="1"/>
    <col min="5378" max="5378" width="24.125" style="3230" customWidth="1"/>
    <col min="5379" max="5379" width="15.625" style="3230" customWidth="1"/>
    <col min="5380" max="5380" width="15.125" style="3230" customWidth="1"/>
    <col min="5381" max="5381" width="7.625" style="3230" customWidth="1"/>
    <col min="5382" max="5382" width="7.5" style="3230" customWidth="1"/>
    <col min="5383" max="5383" width="3.375" style="3230" customWidth="1"/>
    <col min="5384" max="5384" width="8.125" style="3230" customWidth="1"/>
    <col min="5385" max="5386" width="5.625" style="3230" customWidth="1"/>
    <col min="5387" max="5387" width="15.125" style="3230" customWidth="1"/>
    <col min="5388" max="5388" width="10.375" style="3230" customWidth="1"/>
    <col min="5389" max="5389" width="10" style="3230" customWidth="1"/>
    <col min="5390" max="5390" width="12.875" style="3230" customWidth="1"/>
    <col min="5391" max="5632" width="9" style="3230"/>
    <col min="5633" max="5633" width="3.125" style="3230" customWidth="1"/>
    <col min="5634" max="5634" width="24.125" style="3230" customWidth="1"/>
    <col min="5635" max="5635" width="15.625" style="3230" customWidth="1"/>
    <col min="5636" max="5636" width="15.125" style="3230" customWidth="1"/>
    <col min="5637" max="5637" width="7.625" style="3230" customWidth="1"/>
    <col min="5638" max="5638" width="7.5" style="3230" customWidth="1"/>
    <col min="5639" max="5639" width="3.375" style="3230" customWidth="1"/>
    <col min="5640" max="5640" width="8.125" style="3230" customWidth="1"/>
    <col min="5641" max="5642" width="5.625" style="3230" customWidth="1"/>
    <col min="5643" max="5643" width="15.125" style="3230" customWidth="1"/>
    <col min="5644" max="5644" width="10.375" style="3230" customWidth="1"/>
    <col min="5645" max="5645" width="10" style="3230" customWidth="1"/>
    <col min="5646" max="5646" width="12.875" style="3230" customWidth="1"/>
    <col min="5647" max="5888" width="9" style="3230"/>
    <col min="5889" max="5889" width="3.125" style="3230" customWidth="1"/>
    <col min="5890" max="5890" width="24.125" style="3230" customWidth="1"/>
    <col min="5891" max="5891" width="15.625" style="3230" customWidth="1"/>
    <col min="5892" max="5892" width="15.125" style="3230" customWidth="1"/>
    <col min="5893" max="5893" width="7.625" style="3230" customWidth="1"/>
    <col min="5894" max="5894" width="7.5" style="3230" customWidth="1"/>
    <col min="5895" max="5895" width="3.375" style="3230" customWidth="1"/>
    <col min="5896" max="5896" width="8.125" style="3230" customWidth="1"/>
    <col min="5897" max="5898" width="5.625" style="3230" customWidth="1"/>
    <col min="5899" max="5899" width="15.125" style="3230" customWidth="1"/>
    <col min="5900" max="5900" width="10.375" style="3230" customWidth="1"/>
    <col min="5901" max="5901" width="10" style="3230" customWidth="1"/>
    <col min="5902" max="5902" width="12.875" style="3230" customWidth="1"/>
    <col min="5903" max="6144" width="9" style="3230"/>
    <col min="6145" max="6145" width="3.125" style="3230" customWidth="1"/>
    <col min="6146" max="6146" width="24.125" style="3230" customWidth="1"/>
    <col min="6147" max="6147" width="15.625" style="3230" customWidth="1"/>
    <col min="6148" max="6148" width="15.125" style="3230" customWidth="1"/>
    <col min="6149" max="6149" width="7.625" style="3230" customWidth="1"/>
    <col min="6150" max="6150" width="7.5" style="3230" customWidth="1"/>
    <col min="6151" max="6151" width="3.375" style="3230" customWidth="1"/>
    <col min="6152" max="6152" width="8.125" style="3230" customWidth="1"/>
    <col min="6153" max="6154" width="5.625" style="3230" customWidth="1"/>
    <col min="6155" max="6155" width="15.125" style="3230" customWidth="1"/>
    <col min="6156" max="6156" width="10.375" style="3230" customWidth="1"/>
    <col min="6157" max="6157" width="10" style="3230" customWidth="1"/>
    <col min="6158" max="6158" width="12.875" style="3230" customWidth="1"/>
    <col min="6159" max="6400" width="9" style="3230"/>
    <col min="6401" max="6401" width="3.125" style="3230" customWidth="1"/>
    <col min="6402" max="6402" width="24.125" style="3230" customWidth="1"/>
    <col min="6403" max="6403" width="15.625" style="3230" customWidth="1"/>
    <col min="6404" max="6404" width="15.125" style="3230" customWidth="1"/>
    <col min="6405" max="6405" width="7.625" style="3230" customWidth="1"/>
    <col min="6406" max="6406" width="7.5" style="3230" customWidth="1"/>
    <col min="6407" max="6407" width="3.375" style="3230" customWidth="1"/>
    <col min="6408" max="6408" width="8.125" style="3230" customWidth="1"/>
    <col min="6409" max="6410" width="5.625" style="3230" customWidth="1"/>
    <col min="6411" max="6411" width="15.125" style="3230" customWidth="1"/>
    <col min="6412" max="6412" width="10.375" style="3230" customWidth="1"/>
    <col min="6413" max="6413" width="10" style="3230" customWidth="1"/>
    <col min="6414" max="6414" width="12.875" style="3230" customWidth="1"/>
    <col min="6415" max="6656" width="9" style="3230"/>
    <col min="6657" max="6657" width="3.125" style="3230" customWidth="1"/>
    <col min="6658" max="6658" width="24.125" style="3230" customWidth="1"/>
    <col min="6659" max="6659" width="15.625" style="3230" customWidth="1"/>
    <col min="6660" max="6660" width="15.125" style="3230" customWidth="1"/>
    <col min="6661" max="6661" width="7.625" style="3230" customWidth="1"/>
    <col min="6662" max="6662" width="7.5" style="3230" customWidth="1"/>
    <col min="6663" max="6663" width="3.375" style="3230" customWidth="1"/>
    <col min="6664" max="6664" width="8.125" style="3230" customWidth="1"/>
    <col min="6665" max="6666" width="5.625" style="3230" customWidth="1"/>
    <col min="6667" max="6667" width="15.125" style="3230" customWidth="1"/>
    <col min="6668" max="6668" width="10.375" style="3230" customWidth="1"/>
    <col min="6669" max="6669" width="10" style="3230" customWidth="1"/>
    <col min="6670" max="6670" width="12.875" style="3230" customWidth="1"/>
    <col min="6671" max="6912" width="9" style="3230"/>
    <col min="6913" max="6913" width="3.125" style="3230" customWidth="1"/>
    <col min="6914" max="6914" width="24.125" style="3230" customWidth="1"/>
    <col min="6915" max="6915" width="15.625" style="3230" customWidth="1"/>
    <col min="6916" max="6916" width="15.125" style="3230" customWidth="1"/>
    <col min="6917" max="6917" width="7.625" style="3230" customWidth="1"/>
    <col min="6918" max="6918" width="7.5" style="3230" customWidth="1"/>
    <col min="6919" max="6919" width="3.375" style="3230" customWidth="1"/>
    <col min="6920" max="6920" width="8.125" style="3230" customWidth="1"/>
    <col min="6921" max="6922" width="5.625" style="3230" customWidth="1"/>
    <col min="6923" max="6923" width="15.125" style="3230" customWidth="1"/>
    <col min="6924" max="6924" width="10.375" style="3230" customWidth="1"/>
    <col min="6925" max="6925" width="10" style="3230" customWidth="1"/>
    <col min="6926" max="6926" width="12.875" style="3230" customWidth="1"/>
    <col min="6927" max="7168" width="9" style="3230"/>
    <col min="7169" max="7169" width="3.125" style="3230" customWidth="1"/>
    <col min="7170" max="7170" width="24.125" style="3230" customWidth="1"/>
    <col min="7171" max="7171" width="15.625" style="3230" customWidth="1"/>
    <col min="7172" max="7172" width="15.125" style="3230" customWidth="1"/>
    <col min="7173" max="7173" width="7.625" style="3230" customWidth="1"/>
    <col min="7174" max="7174" width="7.5" style="3230" customWidth="1"/>
    <col min="7175" max="7175" width="3.375" style="3230" customWidth="1"/>
    <col min="7176" max="7176" width="8.125" style="3230" customWidth="1"/>
    <col min="7177" max="7178" width="5.625" style="3230" customWidth="1"/>
    <col min="7179" max="7179" width="15.125" style="3230" customWidth="1"/>
    <col min="7180" max="7180" width="10.375" style="3230" customWidth="1"/>
    <col min="7181" max="7181" width="10" style="3230" customWidth="1"/>
    <col min="7182" max="7182" width="12.875" style="3230" customWidth="1"/>
    <col min="7183" max="7424" width="9" style="3230"/>
    <col min="7425" max="7425" width="3.125" style="3230" customWidth="1"/>
    <col min="7426" max="7426" width="24.125" style="3230" customWidth="1"/>
    <col min="7427" max="7427" width="15.625" style="3230" customWidth="1"/>
    <col min="7428" max="7428" width="15.125" style="3230" customWidth="1"/>
    <col min="7429" max="7429" width="7.625" style="3230" customWidth="1"/>
    <col min="7430" max="7430" width="7.5" style="3230" customWidth="1"/>
    <col min="7431" max="7431" width="3.375" style="3230" customWidth="1"/>
    <col min="7432" max="7432" width="8.125" style="3230" customWidth="1"/>
    <col min="7433" max="7434" width="5.625" style="3230" customWidth="1"/>
    <col min="7435" max="7435" width="15.125" style="3230" customWidth="1"/>
    <col min="7436" max="7436" width="10.375" style="3230" customWidth="1"/>
    <col min="7437" max="7437" width="10" style="3230" customWidth="1"/>
    <col min="7438" max="7438" width="12.875" style="3230" customWidth="1"/>
    <col min="7439" max="7680" width="9" style="3230"/>
    <col min="7681" max="7681" width="3.125" style="3230" customWidth="1"/>
    <col min="7682" max="7682" width="24.125" style="3230" customWidth="1"/>
    <col min="7683" max="7683" width="15.625" style="3230" customWidth="1"/>
    <col min="7684" max="7684" width="15.125" style="3230" customWidth="1"/>
    <col min="7685" max="7685" width="7.625" style="3230" customWidth="1"/>
    <col min="7686" max="7686" width="7.5" style="3230" customWidth="1"/>
    <col min="7687" max="7687" width="3.375" style="3230" customWidth="1"/>
    <col min="7688" max="7688" width="8.125" style="3230" customWidth="1"/>
    <col min="7689" max="7690" width="5.625" style="3230" customWidth="1"/>
    <col min="7691" max="7691" width="15.125" style="3230" customWidth="1"/>
    <col min="7692" max="7692" width="10.375" style="3230" customWidth="1"/>
    <col min="7693" max="7693" width="10" style="3230" customWidth="1"/>
    <col min="7694" max="7694" width="12.875" style="3230" customWidth="1"/>
    <col min="7695" max="7936" width="9" style="3230"/>
    <col min="7937" max="7937" width="3.125" style="3230" customWidth="1"/>
    <col min="7938" max="7938" width="24.125" style="3230" customWidth="1"/>
    <col min="7939" max="7939" width="15.625" style="3230" customWidth="1"/>
    <col min="7940" max="7940" width="15.125" style="3230" customWidth="1"/>
    <col min="7941" max="7941" width="7.625" style="3230" customWidth="1"/>
    <col min="7942" max="7942" width="7.5" style="3230" customWidth="1"/>
    <col min="7943" max="7943" width="3.375" style="3230" customWidth="1"/>
    <col min="7944" max="7944" width="8.125" style="3230" customWidth="1"/>
    <col min="7945" max="7946" width="5.625" style="3230" customWidth="1"/>
    <col min="7947" max="7947" width="15.125" style="3230" customWidth="1"/>
    <col min="7948" max="7948" width="10.375" style="3230" customWidth="1"/>
    <col min="7949" max="7949" width="10" style="3230" customWidth="1"/>
    <col min="7950" max="7950" width="12.875" style="3230" customWidth="1"/>
    <col min="7951" max="8192" width="9" style="3230"/>
    <col min="8193" max="8193" width="3.125" style="3230" customWidth="1"/>
    <col min="8194" max="8194" width="24.125" style="3230" customWidth="1"/>
    <col min="8195" max="8195" width="15.625" style="3230" customWidth="1"/>
    <col min="8196" max="8196" width="15.125" style="3230" customWidth="1"/>
    <col min="8197" max="8197" width="7.625" style="3230" customWidth="1"/>
    <col min="8198" max="8198" width="7.5" style="3230" customWidth="1"/>
    <col min="8199" max="8199" width="3.375" style="3230" customWidth="1"/>
    <col min="8200" max="8200" width="8.125" style="3230" customWidth="1"/>
    <col min="8201" max="8202" width="5.625" style="3230" customWidth="1"/>
    <col min="8203" max="8203" width="15.125" style="3230" customWidth="1"/>
    <col min="8204" max="8204" width="10.375" style="3230" customWidth="1"/>
    <col min="8205" max="8205" width="10" style="3230" customWidth="1"/>
    <col min="8206" max="8206" width="12.875" style="3230" customWidth="1"/>
    <col min="8207" max="8448" width="9" style="3230"/>
    <col min="8449" max="8449" width="3.125" style="3230" customWidth="1"/>
    <col min="8450" max="8450" width="24.125" style="3230" customWidth="1"/>
    <col min="8451" max="8451" width="15.625" style="3230" customWidth="1"/>
    <col min="8452" max="8452" width="15.125" style="3230" customWidth="1"/>
    <col min="8453" max="8453" width="7.625" style="3230" customWidth="1"/>
    <col min="8454" max="8454" width="7.5" style="3230" customWidth="1"/>
    <col min="8455" max="8455" width="3.375" style="3230" customWidth="1"/>
    <col min="8456" max="8456" width="8.125" style="3230" customWidth="1"/>
    <col min="8457" max="8458" width="5.625" style="3230" customWidth="1"/>
    <col min="8459" max="8459" width="15.125" style="3230" customWidth="1"/>
    <col min="8460" max="8460" width="10.375" style="3230" customWidth="1"/>
    <col min="8461" max="8461" width="10" style="3230" customWidth="1"/>
    <col min="8462" max="8462" width="12.875" style="3230" customWidth="1"/>
    <col min="8463" max="8704" width="9" style="3230"/>
    <col min="8705" max="8705" width="3.125" style="3230" customWidth="1"/>
    <col min="8706" max="8706" width="24.125" style="3230" customWidth="1"/>
    <col min="8707" max="8707" width="15.625" style="3230" customWidth="1"/>
    <col min="8708" max="8708" width="15.125" style="3230" customWidth="1"/>
    <col min="8709" max="8709" width="7.625" style="3230" customWidth="1"/>
    <col min="8710" max="8710" width="7.5" style="3230" customWidth="1"/>
    <col min="8711" max="8711" width="3.375" style="3230" customWidth="1"/>
    <col min="8712" max="8712" width="8.125" style="3230" customWidth="1"/>
    <col min="8713" max="8714" width="5.625" style="3230" customWidth="1"/>
    <col min="8715" max="8715" width="15.125" style="3230" customWidth="1"/>
    <col min="8716" max="8716" width="10.375" style="3230" customWidth="1"/>
    <col min="8717" max="8717" width="10" style="3230" customWidth="1"/>
    <col min="8718" max="8718" width="12.875" style="3230" customWidth="1"/>
    <col min="8719" max="8960" width="9" style="3230"/>
    <col min="8961" max="8961" width="3.125" style="3230" customWidth="1"/>
    <col min="8962" max="8962" width="24.125" style="3230" customWidth="1"/>
    <col min="8963" max="8963" width="15.625" style="3230" customWidth="1"/>
    <col min="8964" max="8964" width="15.125" style="3230" customWidth="1"/>
    <col min="8965" max="8965" width="7.625" style="3230" customWidth="1"/>
    <col min="8966" max="8966" width="7.5" style="3230" customWidth="1"/>
    <col min="8967" max="8967" width="3.375" style="3230" customWidth="1"/>
    <col min="8968" max="8968" width="8.125" style="3230" customWidth="1"/>
    <col min="8969" max="8970" width="5.625" style="3230" customWidth="1"/>
    <col min="8971" max="8971" width="15.125" style="3230" customWidth="1"/>
    <col min="8972" max="8972" width="10.375" style="3230" customWidth="1"/>
    <col min="8973" max="8973" width="10" style="3230" customWidth="1"/>
    <col min="8974" max="8974" width="12.875" style="3230" customWidth="1"/>
    <col min="8975" max="9216" width="9" style="3230"/>
    <col min="9217" max="9217" width="3.125" style="3230" customWidth="1"/>
    <col min="9218" max="9218" width="24.125" style="3230" customWidth="1"/>
    <col min="9219" max="9219" width="15.625" style="3230" customWidth="1"/>
    <col min="9220" max="9220" width="15.125" style="3230" customWidth="1"/>
    <col min="9221" max="9221" width="7.625" style="3230" customWidth="1"/>
    <col min="9222" max="9222" width="7.5" style="3230" customWidth="1"/>
    <col min="9223" max="9223" width="3.375" style="3230" customWidth="1"/>
    <col min="9224" max="9224" width="8.125" style="3230" customWidth="1"/>
    <col min="9225" max="9226" width="5.625" style="3230" customWidth="1"/>
    <col min="9227" max="9227" width="15.125" style="3230" customWidth="1"/>
    <col min="9228" max="9228" width="10.375" style="3230" customWidth="1"/>
    <col min="9229" max="9229" width="10" style="3230" customWidth="1"/>
    <col min="9230" max="9230" width="12.875" style="3230" customWidth="1"/>
    <col min="9231" max="9472" width="9" style="3230"/>
    <col min="9473" max="9473" width="3.125" style="3230" customWidth="1"/>
    <col min="9474" max="9474" width="24.125" style="3230" customWidth="1"/>
    <col min="9475" max="9475" width="15.625" style="3230" customWidth="1"/>
    <col min="9476" max="9476" width="15.125" style="3230" customWidth="1"/>
    <col min="9477" max="9477" width="7.625" style="3230" customWidth="1"/>
    <col min="9478" max="9478" width="7.5" style="3230" customWidth="1"/>
    <col min="9479" max="9479" width="3.375" style="3230" customWidth="1"/>
    <col min="9480" max="9480" width="8.125" style="3230" customWidth="1"/>
    <col min="9481" max="9482" width="5.625" style="3230" customWidth="1"/>
    <col min="9483" max="9483" width="15.125" style="3230" customWidth="1"/>
    <col min="9484" max="9484" width="10.375" style="3230" customWidth="1"/>
    <col min="9485" max="9485" width="10" style="3230" customWidth="1"/>
    <col min="9486" max="9486" width="12.875" style="3230" customWidth="1"/>
    <col min="9487" max="9728" width="9" style="3230"/>
    <col min="9729" max="9729" width="3.125" style="3230" customWidth="1"/>
    <col min="9730" max="9730" width="24.125" style="3230" customWidth="1"/>
    <col min="9731" max="9731" width="15.625" style="3230" customWidth="1"/>
    <col min="9732" max="9732" width="15.125" style="3230" customWidth="1"/>
    <col min="9733" max="9733" width="7.625" style="3230" customWidth="1"/>
    <col min="9734" max="9734" width="7.5" style="3230" customWidth="1"/>
    <col min="9735" max="9735" width="3.375" style="3230" customWidth="1"/>
    <col min="9736" max="9736" width="8.125" style="3230" customWidth="1"/>
    <col min="9737" max="9738" width="5.625" style="3230" customWidth="1"/>
    <col min="9739" max="9739" width="15.125" style="3230" customWidth="1"/>
    <col min="9740" max="9740" width="10.375" style="3230" customWidth="1"/>
    <col min="9741" max="9741" width="10" style="3230" customWidth="1"/>
    <col min="9742" max="9742" width="12.875" style="3230" customWidth="1"/>
    <col min="9743" max="9984" width="9" style="3230"/>
    <col min="9985" max="9985" width="3.125" style="3230" customWidth="1"/>
    <col min="9986" max="9986" width="24.125" style="3230" customWidth="1"/>
    <col min="9987" max="9987" width="15.625" style="3230" customWidth="1"/>
    <col min="9988" max="9988" width="15.125" style="3230" customWidth="1"/>
    <col min="9989" max="9989" width="7.625" style="3230" customWidth="1"/>
    <col min="9990" max="9990" width="7.5" style="3230" customWidth="1"/>
    <col min="9991" max="9991" width="3.375" style="3230" customWidth="1"/>
    <col min="9992" max="9992" width="8.125" style="3230" customWidth="1"/>
    <col min="9993" max="9994" width="5.625" style="3230" customWidth="1"/>
    <col min="9995" max="9995" width="15.125" style="3230" customWidth="1"/>
    <col min="9996" max="9996" width="10.375" style="3230" customWidth="1"/>
    <col min="9997" max="9997" width="10" style="3230" customWidth="1"/>
    <col min="9998" max="9998" width="12.875" style="3230" customWidth="1"/>
    <col min="9999" max="10240" width="9" style="3230"/>
    <col min="10241" max="10241" width="3.125" style="3230" customWidth="1"/>
    <col min="10242" max="10242" width="24.125" style="3230" customWidth="1"/>
    <col min="10243" max="10243" width="15.625" style="3230" customWidth="1"/>
    <col min="10244" max="10244" width="15.125" style="3230" customWidth="1"/>
    <col min="10245" max="10245" width="7.625" style="3230" customWidth="1"/>
    <col min="10246" max="10246" width="7.5" style="3230" customWidth="1"/>
    <col min="10247" max="10247" width="3.375" style="3230" customWidth="1"/>
    <col min="10248" max="10248" width="8.125" style="3230" customWidth="1"/>
    <col min="10249" max="10250" width="5.625" style="3230" customWidth="1"/>
    <col min="10251" max="10251" width="15.125" style="3230" customWidth="1"/>
    <col min="10252" max="10252" width="10.375" style="3230" customWidth="1"/>
    <col min="10253" max="10253" width="10" style="3230" customWidth="1"/>
    <col min="10254" max="10254" width="12.875" style="3230" customWidth="1"/>
    <col min="10255" max="10496" width="9" style="3230"/>
    <col min="10497" max="10497" width="3.125" style="3230" customWidth="1"/>
    <col min="10498" max="10498" width="24.125" style="3230" customWidth="1"/>
    <col min="10499" max="10499" width="15.625" style="3230" customWidth="1"/>
    <col min="10500" max="10500" width="15.125" style="3230" customWidth="1"/>
    <col min="10501" max="10501" width="7.625" style="3230" customWidth="1"/>
    <col min="10502" max="10502" width="7.5" style="3230" customWidth="1"/>
    <col min="10503" max="10503" width="3.375" style="3230" customWidth="1"/>
    <col min="10504" max="10504" width="8.125" style="3230" customWidth="1"/>
    <col min="10505" max="10506" width="5.625" style="3230" customWidth="1"/>
    <col min="10507" max="10507" width="15.125" style="3230" customWidth="1"/>
    <col min="10508" max="10508" width="10.375" style="3230" customWidth="1"/>
    <col min="10509" max="10509" width="10" style="3230" customWidth="1"/>
    <col min="10510" max="10510" width="12.875" style="3230" customWidth="1"/>
    <col min="10511" max="10752" width="9" style="3230"/>
    <col min="10753" max="10753" width="3.125" style="3230" customWidth="1"/>
    <col min="10754" max="10754" width="24.125" style="3230" customWidth="1"/>
    <col min="10755" max="10755" width="15.625" style="3230" customWidth="1"/>
    <col min="10756" max="10756" width="15.125" style="3230" customWidth="1"/>
    <col min="10757" max="10757" width="7.625" style="3230" customWidth="1"/>
    <col min="10758" max="10758" width="7.5" style="3230" customWidth="1"/>
    <col min="10759" max="10759" width="3.375" style="3230" customWidth="1"/>
    <col min="10760" max="10760" width="8.125" style="3230" customWidth="1"/>
    <col min="10761" max="10762" width="5.625" style="3230" customWidth="1"/>
    <col min="10763" max="10763" width="15.125" style="3230" customWidth="1"/>
    <col min="10764" max="10764" width="10.375" style="3230" customWidth="1"/>
    <col min="10765" max="10765" width="10" style="3230" customWidth="1"/>
    <col min="10766" max="10766" width="12.875" style="3230" customWidth="1"/>
    <col min="10767" max="11008" width="9" style="3230"/>
    <col min="11009" max="11009" width="3.125" style="3230" customWidth="1"/>
    <col min="11010" max="11010" width="24.125" style="3230" customWidth="1"/>
    <col min="11011" max="11011" width="15.625" style="3230" customWidth="1"/>
    <col min="11012" max="11012" width="15.125" style="3230" customWidth="1"/>
    <col min="11013" max="11013" width="7.625" style="3230" customWidth="1"/>
    <col min="11014" max="11014" width="7.5" style="3230" customWidth="1"/>
    <col min="11015" max="11015" width="3.375" style="3230" customWidth="1"/>
    <col min="11016" max="11016" width="8.125" style="3230" customWidth="1"/>
    <col min="11017" max="11018" width="5.625" style="3230" customWidth="1"/>
    <col min="11019" max="11019" width="15.125" style="3230" customWidth="1"/>
    <col min="11020" max="11020" width="10.375" style="3230" customWidth="1"/>
    <col min="11021" max="11021" width="10" style="3230" customWidth="1"/>
    <col min="11022" max="11022" width="12.875" style="3230" customWidth="1"/>
    <col min="11023" max="11264" width="9" style="3230"/>
    <col min="11265" max="11265" width="3.125" style="3230" customWidth="1"/>
    <col min="11266" max="11266" width="24.125" style="3230" customWidth="1"/>
    <col min="11267" max="11267" width="15.625" style="3230" customWidth="1"/>
    <col min="11268" max="11268" width="15.125" style="3230" customWidth="1"/>
    <col min="11269" max="11269" width="7.625" style="3230" customWidth="1"/>
    <col min="11270" max="11270" width="7.5" style="3230" customWidth="1"/>
    <col min="11271" max="11271" width="3.375" style="3230" customWidth="1"/>
    <col min="11272" max="11272" width="8.125" style="3230" customWidth="1"/>
    <col min="11273" max="11274" width="5.625" style="3230" customWidth="1"/>
    <col min="11275" max="11275" width="15.125" style="3230" customWidth="1"/>
    <col min="11276" max="11276" width="10.375" style="3230" customWidth="1"/>
    <col min="11277" max="11277" width="10" style="3230" customWidth="1"/>
    <col min="11278" max="11278" width="12.875" style="3230" customWidth="1"/>
    <col min="11279" max="11520" width="9" style="3230"/>
    <col min="11521" max="11521" width="3.125" style="3230" customWidth="1"/>
    <col min="11522" max="11522" width="24.125" style="3230" customWidth="1"/>
    <col min="11523" max="11523" width="15.625" style="3230" customWidth="1"/>
    <col min="11524" max="11524" width="15.125" style="3230" customWidth="1"/>
    <col min="11525" max="11525" width="7.625" style="3230" customWidth="1"/>
    <col min="11526" max="11526" width="7.5" style="3230" customWidth="1"/>
    <col min="11527" max="11527" width="3.375" style="3230" customWidth="1"/>
    <col min="11528" max="11528" width="8.125" style="3230" customWidth="1"/>
    <col min="11529" max="11530" width="5.625" style="3230" customWidth="1"/>
    <col min="11531" max="11531" width="15.125" style="3230" customWidth="1"/>
    <col min="11532" max="11532" width="10.375" style="3230" customWidth="1"/>
    <col min="11533" max="11533" width="10" style="3230" customWidth="1"/>
    <col min="11534" max="11534" width="12.875" style="3230" customWidth="1"/>
    <col min="11535" max="11776" width="9" style="3230"/>
    <col min="11777" max="11777" width="3.125" style="3230" customWidth="1"/>
    <col min="11778" max="11778" width="24.125" style="3230" customWidth="1"/>
    <col min="11779" max="11779" width="15.625" style="3230" customWidth="1"/>
    <col min="11780" max="11780" width="15.125" style="3230" customWidth="1"/>
    <col min="11781" max="11781" width="7.625" style="3230" customWidth="1"/>
    <col min="11782" max="11782" width="7.5" style="3230" customWidth="1"/>
    <col min="11783" max="11783" width="3.375" style="3230" customWidth="1"/>
    <col min="11784" max="11784" width="8.125" style="3230" customWidth="1"/>
    <col min="11785" max="11786" width="5.625" style="3230" customWidth="1"/>
    <col min="11787" max="11787" width="15.125" style="3230" customWidth="1"/>
    <col min="11788" max="11788" width="10.375" style="3230" customWidth="1"/>
    <col min="11789" max="11789" width="10" style="3230" customWidth="1"/>
    <col min="11790" max="11790" width="12.875" style="3230" customWidth="1"/>
    <col min="11791" max="12032" width="9" style="3230"/>
    <col min="12033" max="12033" width="3.125" style="3230" customWidth="1"/>
    <col min="12034" max="12034" width="24.125" style="3230" customWidth="1"/>
    <col min="12035" max="12035" width="15.625" style="3230" customWidth="1"/>
    <col min="12036" max="12036" width="15.125" style="3230" customWidth="1"/>
    <col min="12037" max="12037" width="7.625" style="3230" customWidth="1"/>
    <col min="12038" max="12038" width="7.5" style="3230" customWidth="1"/>
    <col min="12039" max="12039" width="3.375" style="3230" customWidth="1"/>
    <col min="12040" max="12040" width="8.125" style="3230" customWidth="1"/>
    <col min="12041" max="12042" width="5.625" style="3230" customWidth="1"/>
    <col min="12043" max="12043" width="15.125" style="3230" customWidth="1"/>
    <col min="12044" max="12044" width="10.375" style="3230" customWidth="1"/>
    <col min="12045" max="12045" width="10" style="3230" customWidth="1"/>
    <col min="12046" max="12046" width="12.875" style="3230" customWidth="1"/>
    <col min="12047" max="12288" width="9" style="3230"/>
    <col min="12289" max="12289" width="3.125" style="3230" customWidth="1"/>
    <col min="12290" max="12290" width="24.125" style="3230" customWidth="1"/>
    <col min="12291" max="12291" width="15.625" style="3230" customWidth="1"/>
    <col min="12292" max="12292" width="15.125" style="3230" customWidth="1"/>
    <col min="12293" max="12293" width="7.625" style="3230" customWidth="1"/>
    <col min="12294" max="12294" width="7.5" style="3230" customWidth="1"/>
    <col min="12295" max="12295" width="3.375" style="3230" customWidth="1"/>
    <col min="12296" max="12296" width="8.125" style="3230" customWidth="1"/>
    <col min="12297" max="12298" width="5.625" style="3230" customWidth="1"/>
    <col min="12299" max="12299" width="15.125" style="3230" customWidth="1"/>
    <col min="12300" max="12300" width="10.375" style="3230" customWidth="1"/>
    <col min="12301" max="12301" width="10" style="3230" customWidth="1"/>
    <col min="12302" max="12302" width="12.875" style="3230" customWidth="1"/>
    <col min="12303" max="12544" width="9" style="3230"/>
    <col min="12545" max="12545" width="3.125" style="3230" customWidth="1"/>
    <col min="12546" max="12546" width="24.125" style="3230" customWidth="1"/>
    <col min="12547" max="12547" width="15.625" style="3230" customWidth="1"/>
    <col min="12548" max="12548" width="15.125" style="3230" customWidth="1"/>
    <col min="12549" max="12549" width="7.625" style="3230" customWidth="1"/>
    <col min="12550" max="12550" width="7.5" style="3230" customWidth="1"/>
    <col min="12551" max="12551" width="3.375" style="3230" customWidth="1"/>
    <col min="12552" max="12552" width="8.125" style="3230" customWidth="1"/>
    <col min="12553" max="12554" width="5.625" style="3230" customWidth="1"/>
    <col min="12555" max="12555" width="15.125" style="3230" customWidth="1"/>
    <col min="12556" max="12556" width="10.375" style="3230" customWidth="1"/>
    <col min="12557" max="12557" width="10" style="3230" customWidth="1"/>
    <col min="12558" max="12558" width="12.875" style="3230" customWidth="1"/>
    <col min="12559" max="12800" width="9" style="3230"/>
    <col min="12801" max="12801" width="3.125" style="3230" customWidth="1"/>
    <col min="12802" max="12802" width="24.125" style="3230" customWidth="1"/>
    <col min="12803" max="12803" width="15.625" style="3230" customWidth="1"/>
    <col min="12804" max="12804" width="15.125" style="3230" customWidth="1"/>
    <col min="12805" max="12805" width="7.625" style="3230" customWidth="1"/>
    <col min="12806" max="12806" width="7.5" style="3230" customWidth="1"/>
    <col min="12807" max="12807" width="3.375" style="3230" customWidth="1"/>
    <col min="12808" max="12808" width="8.125" style="3230" customWidth="1"/>
    <col min="12809" max="12810" width="5.625" style="3230" customWidth="1"/>
    <col min="12811" max="12811" width="15.125" style="3230" customWidth="1"/>
    <col min="12812" max="12812" width="10.375" style="3230" customWidth="1"/>
    <col min="12813" max="12813" width="10" style="3230" customWidth="1"/>
    <col min="12814" max="12814" width="12.875" style="3230" customWidth="1"/>
    <col min="12815" max="13056" width="9" style="3230"/>
    <col min="13057" max="13057" width="3.125" style="3230" customWidth="1"/>
    <col min="13058" max="13058" width="24.125" style="3230" customWidth="1"/>
    <col min="13059" max="13059" width="15.625" style="3230" customWidth="1"/>
    <col min="13060" max="13060" width="15.125" style="3230" customWidth="1"/>
    <col min="13061" max="13061" width="7.625" style="3230" customWidth="1"/>
    <col min="13062" max="13062" width="7.5" style="3230" customWidth="1"/>
    <col min="13063" max="13063" width="3.375" style="3230" customWidth="1"/>
    <col min="13064" max="13064" width="8.125" style="3230" customWidth="1"/>
    <col min="13065" max="13066" width="5.625" style="3230" customWidth="1"/>
    <col min="13067" max="13067" width="15.125" style="3230" customWidth="1"/>
    <col min="13068" max="13068" width="10.375" style="3230" customWidth="1"/>
    <col min="13069" max="13069" width="10" style="3230" customWidth="1"/>
    <col min="13070" max="13070" width="12.875" style="3230" customWidth="1"/>
    <col min="13071" max="13312" width="9" style="3230"/>
    <col min="13313" max="13313" width="3.125" style="3230" customWidth="1"/>
    <col min="13314" max="13314" width="24.125" style="3230" customWidth="1"/>
    <col min="13315" max="13315" width="15.625" style="3230" customWidth="1"/>
    <col min="13316" max="13316" width="15.125" style="3230" customWidth="1"/>
    <col min="13317" max="13317" width="7.625" style="3230" customWidth="1"/>
    <col min="13318" max="13318" width="7.5" style="3230" customWidth="1"/>
    <col min="13319" max="13319" width="3.375" style="3230" customWidth="1"/>
    <col min="13320" max="13320" width="8.125" style="3230" customWidth="1"/>
    <col min="13321" max="13322" width="5.625" style="3230" customWidth="1"/>
    <col min="13323" max="13323" width="15.125" style="3230" customWidth="1"/>
    <col min="13324" max="13324" width="10.375" style="3230" customWidth="1"/>
    <col min="13325" max="13325" width="10" style="3230" customWidth="1"/>
    <col min="13326" max="13326" width="12.875" style="3230" customWidth="1"/>
    <col min="13327" max="13568" width="9" style="3230"/>
    <col min="13569" max="13569" width="3.125" style="3230" customWidth="1"/>
    <col min="13570" max="13570" width="24.125" style="3230" customWidth="1"/>
    <col min="13571" max="13571" width="15.625" style="3230" customWidth="1"/>
    <col min="13572" max="13572" width="15.125" style="3230" customWidth="1"/>
    <col min="13573" max="13573" width="7.625" style="3230" customWidth="1"/>
    <col min="13574" max="13574" width="7.5" style="3230" customWidth="1"/>
    <col min="13575" max="13575" width="3.375" style="3230" customWidth="1"/>
    <col min="13576" max="13576" width="8.125" style="3230" customWidth="1"/>
    <col min="13577" max="13578" width="5.625" style="3230" customWidth="1"/>
    <col min="13579" max="13579" width="15.125" style="3230" customWidth="1"/>
    <col min="13580" max="13580" width="10.375" style="3230" customWidth="1"/>
    <col min="13581" max="13581" width="10" style="3230" customWidth="1"/>
    <col min="13582" max="13582" width="12.875" style="3230" customWidth="1"/>
    <col min="13583" max="13824" width="9" style="3230"/>
    <col min="13825" max="13825" width="3.125" style="3230" customWidth="1"/>
    <col min="13826" max="13826" width="24.125" style="3230" customWidth="1"/>
    <col min="13827" max="13827" width="15.625" style="3230" customWidth="1"/>
    <col min="13828" max="13828" width="15.125" style="3230" customWidth="1"/>
    <col min="13829" max="13829" width="7.625" style="3230" customWidth="1"/>
    <col min="13830" max="13830" width="7.5" style="3230" customWidth="1"/>
    <col min="13831" max="13831" width="3.375" style="3230" customWidth="1"/>
    <col min="13832" max="13832" width="8.125" style="3230" customWidth="1"/>
    <col min="13833" max="13834" width="5.625" style="3230" customWidth="1"/>
    <col min="13835" max="13835" width="15.125" style="3230" customWidth="1"/>
    <col min="13836" max="13836" width="10.375" style="3230" customWidth="1"/>
    <col min="13837" max="13837" width="10" style="3230" customWidth="1"/>
    <col min="13838" max="13838" width="12.875" style="3230" customWidth="1"/>
    <col min="13839" max="14080" width="9" style="3230"/>
    <col min="14081" max="14081" width="3.125" style="3230" customWidth="1"/>
    <col min="14082" max="14082" width="24.125" style="3230" customWidth="1"/>
    <col min="14083" max="14083" width="15.625" style="3230" customWidth="1"/>
    <col min="14084" max="14084" width="15.125" style="3230" customWidth="1"/>
    <col min="14085" max="14085" width="7.625" style="3230" customWidth="1"/>
    <col min="14086" max="14086" width="7.5" style="3230" customWidth="1"/>
    <col min="14087" max="14087" width="3.375" style="3230" customWidth="1"/>
    <col min="14088" max="14088" width="8.125" style="3230" customWidth="1"/>
    <col min="14089" max="14090" width="5.625" style="3230" customWidth="1"/>
    <col min="14091" max="14091" width="15.125" style="3230" customWidth="1"/>
    <col min="14092" max="14092" width="10.375" style="3230" customWidth="1"/>
    <col min="14093" max="14093" width="10" style="3230" customWidth="1"/>
    <col min="14094" max="14094" width="12.875" style="3230" customWidth="1"/>
    <col min="14095" max="14336" width="9" style="3230"/>
    <col min="14337" max="14337" width="3.125" style="3230" customWidth="1"/>
    <col min="14338" max="14338" width="24.125" style="3230" customWidth="1"/>
    <col min="14339" max="14339" width="15.625" style="3230" customWidth="1"/>
    <col min="14340" max="14340" width="15.125" style="3230" customWidth="1"/>
    <col min="14341" max="14341" width="7.625" style="3230" customWidth="1"/>
    <col min="14342" max="14342" width="7.5" style="3230" customWidth="1"/>
    <col min="14343" max="14343" width="3.375" style="3230" customWidth="1"/>
    <col min="14344" max="14344" width="8.125" style="3230" customWidth="1"/>
    <col min="14345" max="14346" width="5.625" style="3230" customWidth="1"/>
    <col min="14347" max="14347" width="15.125" style="3230" customWidth="1"/>
    <col min="14348" max="14348" width="10.375" style="3230" customWidth="1"/>
    <col min="14349" max="14349" width="10" style="3230" customWidth="1"/>
    <col min="14350" max="14350" width="12.875" style="3230" customWidth="1"/>
    <col min="14351" max="14592" width="9" style="3230"/>
    <col min="14593" max="14593" width="3.125" style="3230" customWidth="1"/>
    <col min="14594" max="14594" width="24.125" style="3230" customWidth="1"/>
    <col min="14595" max="14595" width="15.625" style="3230" customWidth="1"/>
    <col min="14596" max="14596" width="15.125" style="3230" customWidth="1"/>
    <col min="14597" max="14597" width="7.625" style="3230" customWidth="1"/>
    <col min="14598" max="14598" width="7.5" style="3230" customWidth="1"/>
    <col min="14599" max="14599" width="3.375" style="3230" customWidth="1"/>
    <col min="14600" max="14600" width="8.125" style="3230" customWidth="1"/>
    <col min="14601" max="14602" width="5.625" style="3230" customWidth="1"/>
    <col min="14603" max="14603" width="15.125" style="3230" customWidth="1"/>
    <col min="14604" max="14604" width="10.375" style="3230" customWidth="1"/>
    <col min="14605" max="14605" width="10" style="3230" customWidth="1"/>
    <col min="14606" max="14606" width="12.875" style="3230" customWidth="1"/>
    <col min="14607" max="14848" width="9" style="3230"/>
    <col min="14849" max="14849" width="3.125" style="3230" customWidth="1"/>
    <col min="14850" max="14850" width="24.125" style="3230" customWidth="1"/>
    <col min="14851" max="14851" width="15.625" style="3230" customWidth="1"/>
    <col min="14852" max="14852" width="15.125" style="3230" customWidth="1"/>
    <col min="14853" max="14853" width="7.625" style="3230" customWidth="1"/>
    <col min="14854" max="14854" width="7.5" style="3230" customWidth="1"/>
    <col min="14855" max="14855" width="3.375" style="3230" customWidth="1"/>
    <col min="14856" max="14856" width="8.125" style="3230" customWidth="1"/>
    <col min="14857" max="14858" width="5.625" style="3230" customWidth="1"/>
    <col min="14859" max="14859" width="15.125" style="3230" customWidth="1"/>
    <col min="14860" max="14860" width="10.375" style="3230" customWidth="1"/>
    <col min="14861" max="14861" width="10" style="3230" customWidth="1"/>
    <col min="14862" max="14862" width="12.875" style="3230" customWidth="1"/>
    <col min="14863" max="15104" width="9" style="3230"/>
    <col min="15105" max="15105" width="3.125" style="3230" customWidth="1"/>
    <col min="15106" max="15106" width="24.125" style="3230" customWidth="1"/>
    <col min="15107" max="15107" width="15.625" style="3230" customWidth="1"/>
    <col min="15108" max="15108" width="15.125" style="3230" customWidth="1"/>
    <col min="15109" max="15109" width="7.625" style="3230" customWidth="1"/>
    <col min="15110" max="15110" width="7.5" style="3230" customWidth="1"/>
    <col min="15111" max="15111" width="3.375" style="3230" customWidth="1"/>
    <col min="15112" max="15112" width="8.125" style="3230" customWidth="1"/>
    <col min="15113" max="15114" width="5.625" style="3230" customWidth="1"/>
    <col min="15115" max="15115" width="15.125" style="3230" customWidth="1"/>
    <col min="15116" max="15116" width="10.375" style="3230" customWidth="1"/>
    <col min="15117" max="15117" width="10" style="3230" customWidth="1"/>
    <col min="15118" max="15118" width="12.875" style="3230" customWidth="1"/>
    <col min="15119" max="15360" width="9" style="3230"/>
    <col min="15361" max="15361" width="3.125" style="3230" customWidth="1"/>
    <col min="15362" max="15362" width="24.125" style="3230" customWidth="1"/>
    <col min="15363" max="15363" width="15.625" style="3230" customWidth="1"/>
    <col min="15364" max="15364" width="15.125" style="3230" customWidth="1"/>
    <col min="15365" max="15365" width="7.625" style="3230" customWidth="1"/>
    <col min="15366" max="15366" width="7.5" style="3230" customWidth="1"/>
    <col min="15367" max="15367" width="3.375" style="3230" customWidth="1"/>
    <col min="15368" max="15368" width="8.125" style="3230" customWidth="1"/>
    <col min="15369" max="15370" width="5.625" style="3230" customWidth="1"/>
    <col min="15371" max="15371" width="15.125" style="3230" customWidth="1"/>
    <col min="15372" max="15372" width="10.375" style="3230" customWidth="1"/>
    <col min="15373" max="15373" width="10" style="3230" customWidth="1"/>
    <col min="15374" max="15374" width="12.875" style="3230" customWidth="1"/>
    <col min="15375" max="15616" width="9" style="3230"/>
    <col min="15617" max="15617" width="3.125" style="3230" customWidth="1"/>
    <col min="15618" max="15618" width="24.125" style="3230" customWidth="1"/>
    <col min="15619" max="15619" width="15.625" style="3230" customWidth="1"/>
    <col min="15620" max="15620" width="15.125" style="3230" customWidth="1"/>
    <col min="15621" max="15621" width="7.625" style="3230" customWidth="1"/>
    <col min="15622" max="15622" width="7.5" style="3230" customWidth="1"/>
    <col min="15623" max="15623" width="3.375" style="3230" customWidth="1"/>
    <col min="15624" max="15624" width="8.125" style="3230" customWidth="1"/>
    <col min="15625" max="15626" width="5.625" style="3230" customWidth="1"/>
    <col min="15627" max="15627" width="15.125" style="3230" customWidth="1"/>
    <col min="15628" max="15628" width="10.375" style="3230" customWidth="1"/>
    <col min="15629" max="15629" width="10" style="3230" customWidth="1"/>
    <col min="15630" max="15630" width="12.875" style="3230" customWidth="1"/>
    <col min="15631" max="15872" width="9" style="3230"/>
    <col min="15873" max="15873" width="3.125" style="3230" customWidth="1"/>
    <col min="15874" max="15874" width="24.125" style="3230" customWidth="1"/>
    <col min="15875" max="15875" width="15.625" style="3230" customWidth="1"/>
    <col min="15876" max="15876" width="15.125" style="3230" customWidth="1"/>
    <col min="15877" max="15877" width="7.625" style="3230" customWidth="1"/>
    <col min="15878" max="15878" width="7.5" style="3230" customWidth="1"/>
    <col min="15879" max="15879" width="3.375" style="3230" customWidth="1"/>
    <col min="15880" max="15880" width="8.125" style="3230" customWidth="1"/>
    <col min="15881" max="15882" width="5.625" style="3230" customWidth="1"/>
    <col min="15883" max="15883" width="15.125" style="3230" customWidth="1"/>
    <col min="15884" max="15884" width="10.375" style="3230" customWidth="1"/>
    <col min="15885" max="15885" width="10" style="3230" customWidth="1"/>
    <col min="15886" max="15886" width="12.875" style="3230" customWidth="1"/>
    <col min="15887" max="16128" width="9" style="3230"/>
    <col min="16129" max="16129" width="3.125" style="3230" customWidth="1"/>
    <col min="16130" max="16130" width="24.125" style="3230" customWidth="1"/>
    <col min="16131" max="16131" width="15.625" style="3230" customWidth="1"/>
    <col min="16132" max="16132" width="15.125" style="3230" customWidth="1"/>
    <col min="16133" max="16133" width="7.625" style="3230" customWidth="1"/>
    <col min="16134" max="16134" width="7.5" style="3230" customWidth="1"/>
    <col min="16135" max="16135" width="3.375" style="3230" customWidth="1"/>
    <col min="16136" max="16136" width="8.125" style="3230" customWidth="1"/>
    <col min="16137" max="16138" width="5.625" style="3230" customWidth="1"/>
    <col min="16139" max="16139" width="15.125" style="3230" customWidth="1"/>
    <col min="16140" max="16140" width="10.375" style="3230" customWidth="1"/>
    <col min="16141" max="16141" width="10" style="3230" customWidth="1"/>
    <col min="16142" max="16142" width="12.875" style="3230" customWidth="1"/>
    <col min="16143" max="16384" width="9" style="3230"/>
  </cols>
  <sheetData>
    <row r="1" spans="1:237" s="3241" customFormat="1" ht="21.95" customHeight="1">
      <c r="A1" s="4864" t="s">
        <v>3096</v>
      </c>
      <c r="B1" s="4865"/>
      <c r="C1" s="4865"/>
      <c r="D1" s="4865"/>
      <c r="E1" s="4865"/>
      <c r="F1" s="4865"/>
      <c r="G1" s="4865"/>
      <c r="H1" s="4865"/>
      <c r="I1" s="4866"/>
      <c r="J1" s="4866"/>
      <c r="K1" s="4865"/>
      <c r="L1" s="4865"/>
      <c r="M1" s="4865"/>
    </row>
    <row r="2" spans="1:237" ht="12" customHeight="1">
      <c r="A2" s="3242"/>
      <c r="B2" s="3243"/>
      <c r="C2" s="3243"/>
      <c r="D2" s="3244"/>
      <c r="E2" s="3244"/>
      <c r="F2" s="3311"/>
      <c r="G2" s="3245"/>
      <c r="H2" s="3245"/>
      <c r="I2" s="3311"/>
      <c r="J2" s="3244"/>
      <c r="K2" s="3246"/>
      <c r="L2" s="4867" t="s">
        <v>3097</v>
      </c>
      <c r="M2" s="4867"/>
      <c r="N2" s="3244"/>
      <c r="O2" s="3244"/>
      <c r="P2" s="3244"/>
      <c r="Q2" s="3244"/>
      <c r="R2" s="3244"/>
      <c r="S2" s="3244"/>
      <c r="T2" s="3244"/>
      <c r="U2" s="3244"/>
      <c r="V2" s="3244"/>
      <c r="W2" s="3244"/>
      <c r="X2" s="3244"/>
      <c r="Y2" s="3244"/>
      <c r="Z2" s="3244"/>
      <c r="AA2" s="3244"/>
      <c r="AB2" s="3244"/>
      <c r="AC2" s="3244"/>
      <c r="AD2" s="3244"/>
      <c r="AE2" s="3244"/>
      <c r="AF2" s="3244"/>
      <c r="AG2" s="3244"/>
      <c r="AH2" s="3244"/>
      <c r="AI2" s="3244"/>
      <c r="AJ2" s="3244"/>
      <c r="AK2" s="3244"/>
      <c r="AL2" s="3244"/>
      <c r="AM2" s="3244"/>
      <c r="AN2" s="3244"/>
      <c r="AO2" s="3244"/>
      <c r="AP2" s="3244"/>
      <c r="AQ2" s="3244"/>
      <c r="AR2" s="3244"/>
      <c r="AS2" s="3244"/>
      <c r="AT2" s="3244"/>
      <c r="AU2" s="3244"/>
      <c r="AV2" s="3244"/>
      <c r="AW2" s="3244"/>
      <c r="AX2" s="3244"/>
      <c r="AY2" s="3244"/>
      <c r="AZ2" s="3244"/>
      <c r="BA2" s="3244"/>
      <c r="BB2" s="3244"/>
      <c r="BC2" s="3244"/>
      <c r="BD2" s="3244"/>
      <c r="BE2" s="3244"/>
      <c r="BF2" s="3244"/>
      <c r="BG2" s="3244"/>
      <c r="BH2" s="3244"/>
      <c r="BI2" s="3244"/>
      <c r="BJ2" s="3244"/>
      <c r="BK2" s="3244"/>
      <c r="BL2" s="3244"/>
      <c r="BM2" s="3244"/>
      <c r="BN2" s="3244"/>
      <c r="BO2" s="3244"/>
      <c r="BP2" s="3244"/>
      <c r="BQ2" s="3244"/>
      <c r="BR2" s="3244"/>
      <c r="BS2" s="3244"/>
      <c r="BT2" s="3244"/>
      <c r="BU2" s="3244"/>
      <c r="BV2" s="3244"/>
      <c r="BW2" s="3244"/>
      <c r="BX2" s="3244"/>
      <c r="BY2" s="3244"/>
      <c r="BZ2" s="3244"/>
      <c r="CA2" s="3244"/>
      <c r="CB2" s="3244"/>
      <c r="CC2" s="3244"/>
      <c r="CD2" s="3244"/>
      <c r="CE2" s="3244"/>
      <c r="CF2" s="3244"/>
      <c r="CG2" s="3244"/>
      <c r="CH2" s="3244"/>
      <c r="CI2" s="3244"/>
      <c r="CJ2" s="3244"/>
      <c r="CK2" s="3244"/>
      <c r="CL2" s="3244"/>
      <c r="CM2" s="3244"/>
      <c r="CN2" s="3244"/>
      <c r="CO2" s="3244"/>
      <c r="CP2" s="3244"/>
      <c r="CQ2" s="3244"/>
      <c r="CR2" s="3244"/>
      <c r="CS2" s="3244"/>
      <c r="CT2" s="3244"/>
      <c r="CU2" s="3244"/>
      <c r="CV2" s="3244"/>
      <c r="CW2" s="3244"/>
      <c r="CX2" s="3244"/>
      <c r="CY2" s="3244"/>
      <c r="CZ2" s="3244"/>
      <c r="DA2" s="3244"/>
      <c r="DB2" s="3244"/>
      <c r="DC2" s="3244"/>
      <c r="DD2" s="3244"/>
      <c r="DE2" s="3244"/>
      <c r="DF2" s="3244"/>
      <c r="DG2" s="3244"/>
      <c r="DH2" s="3244"/>
      <c r="DI2" s="3244"/>
      <c r="DJ2" s="3244"/>
      <c r="DK2" s="3244"/>
      <c r="DL2" s="3244"/>
      <c r="DM2" s="3244"/>
      <c r="DN2" s="3244"/>
      <c r="DO2" s="3244"/>
      <c r="DP2" s="3244"/>
      <c r="DQ2" s="3244"/>
      <c r="DR2" s="3244"/>
      <c r="DS2" s="3244"/>
      <c r="DT2" s="3244"/>
      <c r="DU2" s="3244"/>
      <c r="DV2" s="3244"/>
      <c r="DW2" s="3244"/>
      <c r="DX2" s="3244"/>
      <c r="DY2" s="3244"/>
      <c r="DZ2" s="3244"/>
      <c r="EA2" s="3244"/>
      <c r="EB2" s="3244"/>
      <c r="EC2" s="3244"/>
      <c r="ED2" s="3244"/>
      <c r="EE2" s="3244"/>
      <c r="EF2" s="3244"/>
      <c r="EG2" s="3244"/>
      <c r="EH2" s="3244"/>
      <c r="EI2" s="3244"/>
      <c r="EJ2" s="3244"/>
      <c r="EK2" s="3244"/>
      <c r="EL2" s="3244"/>
      <c r="EM2" s="3244"/>
      <c r="EN2" s="3244"/>
      <c r="EO2" s="3244"/>
      <c r="EP2" s="3244"/>
      <c r="EQ2" s="3244"/>
      <c r="ER2" s="3244"/>
      <c r="ES2" s="3244"/>
      <c r="ET2" s="3244"/>
      <c r="EU2" s="3244"/>
      <c r="EV2" s="3244"/>
      <c r="EW2" s="3244"/>
      <c r="EX2" s="3244"/>
      <c r="EY2" s="3244"/>
      <c r="EZ2" s="3244"/>
      <c r="FA2" s="3244"/>
      <c r="FB2" s="3244"/>
      <c r="FC2" s="3244"/>
      <c r="FD2" s="3244"/>
      <c r="FE2" s="3244"/>
      <c r="FF2" s="3244"/>
      <c r="FG2" s="3244"/>
      <c r="FH2" s="3244"/>
      <c r="FI2" s="3244"/>
      <c r="FJ2" s="3244"/>
      <c r="FK2" s="3244"/>
      <c r="FL2" s="3244"/>
      <c r="FM2" s="3244"/>
      <c r="FN2" s="3244"/>
      <c r="FO2" s="3244"/>
      <c r="FP2" s="3244"/>
      <c r="FQ2" s="3244"/>
      <c r="FR2" s="3244"/>
      <c r="FS2" s="3244"/>
      <c r="FT2" s="3244"/>
      <c r="FU2" s="3244"/>
      <c r="FV2" s="3244"/>
      <c r="FW2" s="3244"/>
      <c r="FX2" s="3244"/>
      <c r="FY2" s="3244"/>
      <c r="FZ2" s="3244"/>
      <c r="GA2" s="3244"/>
      <c r="GB2" s="3244"/>
      <c r="GC2" s="3244"/>
      <c r="GD2" s="3244"/>
      <c r="GE2" s="3244"/>
      <c r="GF2" s="3244"/>
      <c r="GG2" s="3244"/>
      <c r="GH2" s="3244"/>
      <c r="GI2" s="3244"/>
      <c r="GJ2" s="3244"/>
      <c r="GK2" s="3244"/>
      <c r="GL2" s="3244"/>
      <c r="GM2" s="3244"/>
      <c r="GN2" s="3244"/>
      <c r="GO2" s="3244"/>
      <c r="GP2" s="3244"/>
      <c r="GQ2" s="3244"/>
      <c r="GR2" s="3244"/>
      <c r="GS2" s="3244"/>
      <c r="GT2" s="3244"/>
      <c r="GU2" s="3244"/>
      <c r="GV2" s="3244"/>
      <c r="GW2" s="3244"/>
      <c r="GX2" s="3244"/>
      <c r="GY2" s="3244"/>
      <c r="GZ2" s="3244"/>
      <c r="HA2" s="3244"/>
      <c r="HB2" s="3244"/>
      <c r="HC2" s="3244"/>
      <c r="HD2" s="3244"/>
      <c r="HE2" s="3244"/>
      <c r="HF2" s="3244"/>
      <c r="HG2" s="3244"/>
      <c r="HH2" s="3244"/>
      <c r="HI2" s="3244"/>
      <c r="HJ2" s="3244"/>
      <c r="HK2" s="3244"/>
      <c r="HL2" s="3244"/>
      <c r="HM2" s="3244"/>
      <c r="HN2" s="3244"/>
      <c r="HO2" s="3244"/>
      <c r="HP2" s="3244"/>
      <c r="HQ2" s="3244"/>
      <c r="HR2" s="3244"/>
      <c r="HS2" s="3244"/>
      <c r="HT2" s="3244"/>
      <c r="HU2" s="3244"/>
      <c r="HV2" s="3244"/>
      <c r="HW2" s="3244"/>
      <c r="HX2" s="3244"/>
      <c r="HY2" s="3244"/>
      <c r="HZ2" s="3244"/>
      <c r="IA2" s="3244"/>
      <c r="IB2" s="3244"/>
      <c r="IC2" s="3244"/>
    </row>
    <row r="3" spans="1:237" s="3247" customFormat="1" ht="18" customHeight="1">
      <c r="A3" s="4868" t="s">
        <v>3098</v>
      </c>
      <c r="B3" s="4869"/>
      <c r="C3" s="4872" t="s">
        <v>3099</v>
      </c>
      <c r="D3" s="4873" t="s">
        <v>3100</v>
      </c>
      <c r="E3" s="4875" t="s">
        <v>3101</v>
      </c>
      <c r="F3" s="4877" t="s">
        <v>3233</v>
      </c>
      <c r="G3" s="4879" t="s">
        <v>3102</v>
      </c>
      <c r="H3" s="4880"/>
      <c r="I3" s="4877" t="s">
        <v>3234</v>
      </c>
      <c r="J3" s="4827" t="s">
        <v>3103</v>
      </c>
      <c r="K3" s="4883" t="s">
        <v>3104</v>
      </c>
      <c r="L3" s="4880" t="s">
        <v>3105</v>
      </c>
      <c r="M3" s="4875" t="s">
        <v>3106</v>
      </c>
    </row>
    <row r="4" spans="1:237" s="3247" customFormat="1" ht="18" customHeight="1">
      <c r="A4" s="4870"/>
      <c r="B4" s="4871"/>
      <c r="C4" s="4872"/>
      <c r="D4" s="4874"/>
      <c r="E4" s="4876"/>
      <c r="F4" s="4878"/>
      <c r="G4" s="4881"/>
      <c r="H4" s="4882"/>
      <c r="I4" s="4877"/>
      <c r="J4" s="4827"/>
      <c r="K4" s="4884"/>
      <c r="L4" s="4882"/>
      <c r="M4" s="4876"/>
    </row>
    <row r="5" spans="1:237" s="3247" customFormat="1" ht="17.100000000000001" customHeight="1">
      <c r="A5" s="4827" t="s">
        <v>3107</v>
      </c>
      <c r="B5" s="3248" t="s">
        <v>3108</v>
      </c>
      <c r="C5" s="3249" t="s">
        <v>3109</v>
      </c>
      <c r="D5" s="3250" t="s">
        <v>3110</v>
      </c>
      <c r="E5" s="3251">
        <v>426</v>
      </c>
      <c r="F5" s="3312">
        <f>81.72+96.03+58</f>
        <v>235.75</v>
      </c>
      <c r="G5" s="3252" t="s">
        <v>3111</v>
      </c>
      <c r="H5" s="3252" t="s">
        <v>3112</v>
      </c>
      <c r="I5" s="3327">
        <v>11.438000000000001</v>
      </c>
      <c r="J5" s="3253"/>
      <c r="K5" s="3254" t="s">
        <v>3113</v>
      </c>
      <c r="L5" s="3255">
        <v>1956314.4920000001</v>
      </c>
      <c r="M5" s="3256"/>
    </row>
    <row r="6" spans="1:237" s="3261" customFormat="1" ht="17.100000000000001" customHeight="1">
      <c r="A6" s="4828"/>
      <c r="B6" s="4830" t="s">
        <v>54</v>
      </c>
      <c r="C6" s="4830"/>
      <c r="D6" s="4885"/>
      <c r="E6" s="3257">
        <f>SUM(E5:E5)</f>
        <v>426</v>
      </c>
      <c r="F6" s="3313">
        <f>SUM(F5:F5)</f>
        <v>235.75</v>
      </c>
      <c r="G6" s="3258" t="s">
        <v>563</v>
      </c>
      <c r="H6" s="3258" t="s">
        <v>563</v>
      </c>
      <c r="I6" s="3328" t="s">
        <v>563</v>
      </c>
      <c r="J6" s="3258" t="s">
        <v>563</v>
      </c>
      <c r="K6" s="3258" t="s">
        <v>563</v>
      </c>
      <c r="L6" s="3259">
        <v>1956314.4920000001</v>
      </c>
      <c r="M6" s="3260"/>
    </row>
    <row r="7" spans="1:237" s="3267" customFormat="1" ht="26.1" customHeight="1">
      <c r="A7" s="4836" t="s">
        <v>3114</v>
      </c>
      <c r="B7" s="3249" t="s">
        <v>3115</v>
      </c>
      <c r="C7" s="3249" t="s">
        <v>3109</v>
      </c>
      <c r="D7" s="3262" t="s">
        <v>3116</v>
      </c>
      <c r="E7" s="3263">
        <v>699.8</v>
      </c>
      <c r="F7" s="3314">
        <f>38.03+96.03+96.03+96.03+96.03+78.97+79.76+76.04</f>
        <v>656.92</v>
      </c>
      <c r="G7" s="3252" t="s">
        <v>3117</v>
      </c>
      <c r="H7" s="3252" t="s">
        <v>3118</v>
      </c>
      <c r="I7" s="3327">
        <v>3.75</v>
      </c>
      <c r="J7" s="3264">
        <f>(3.85-3.75)/3.75</f>
        <v>2.6666666666666689E-2</v>
      </c>
      <c r="K7" s="3265" t="s">
        <v>3119</v>
      </c>
      <c r="L7" s="3255">
        <v>964149.45</v>
      </c>
      <c r="M7" s="3266"/>
    </row>
    <row r="8" spans="1:237" s="3267" customFormat="1">
      <c r="A8" s="4827"/>
      <c r="B8" s="3268" t="s">
        <v>3120</v>
      </c>
      <c r="C8" s="3268"/>
      <c r="D8" s="3250" t="s">
        <v>3121</v>
      </c>
      <c r="E8" s="3269">
        <v>9.2899999999999991</v>
      </c>
      <c r="F8" s="3315"/>
      <c r="G8" s="3252" t="s">
        <v>3117</v>
      </c>
      <c r="H8" s="3252" t="s">
        <v>3122</v>
      </c>
      <c r="I8" s="3329"/>
      <c r="J8" s="3253"/>
      <c r="K8" s="3254"/>
      <c r="L8" s="3255">
        <v>0</v>
      </c>
      <c r="M8" s="3266"/>
    </row>
    <row r="9" spans="1:237" s="3267" customFormat="1">
      <c r="A9" s="4827"/>
      <c r="B9" s="3268" t="s">
        <v>3123</v>
      </c>
      <c r="C9" s="3268"/>
      <c r="D9" s="3250" t="s">
        <v>3124</v>
      </c>
      <c r="E9" s="3269">
        <v>9.2899999999999991</v>
      </c>
      <c r="F9" s="3315"/>
      <c r="G9" s="3252" t="s">
        <v>3117</v>
      </c>
      <c r="H9" s="3252" t="s">
        <v>3122</v>
      </c>
      <c r="I9" s="3329"/>
      <c r="J9" s="3253"/>
      <c r="K9" s="3254"/>
      <c r="L9" s="3255">
        <v>17801.962499999998</v>
      </c>
      <c r="M9" s="3266"/>
    </row>
    <row r="10" spans="1:237" s="3267" customFormat="1">
      <c r="A10" s="4827"/>
      <c r="B10" s="3248" t="s">
        <v>3115</v>
      </c>
      <c r="C10" s="3249" t="s">
        <v>3109</v>
      </c>
      <c r="D10" s="3271">
        <v>227</v>
      </c>
      <c r="E10" s="3272">
        <v>85.7</v>
      </c>
      <c r="F10" s="3315">
        <v>79.760000000000005</v>
      </c>
      <c r="G10" s="3252" t="s">
        <v>3117</v>
      </c>
      <c r="H10" s="3252" t="s">
        <v>3118</v>
      </c>
      <c r="I10" s="3329">
        <v>3.75</v>
      </c>
      <c r="J10" s="3264">
        <f>(3.85-3.75)/3.75</f>
        <v>2.6666666666666689E-2</v>
      </c>
      <c r="K10" s="3254" t="s">
        <v>3125</v>
      </c>
      <c r="L10" s="3255">
        <v>118075</v>
      </c>
      <c r="M10" s="3266"/>
    </row>
    <row r="11" spans="1:237" s="3267" customFormat="1">
      <c r="A11" s="4827"/>
      <c r="B11" s="3248" t="s">
        <v>3115</v>
      </c>
      <c r="C11" s="3249" t="s">
        <v>3109</v>
      </c>
      <c r="D11" s="3273" t="s">
        <v>3126</v>
      </c>
      <c r="E11" s="3272">
        <v>229.13</v>
      </c>
      <c r="F11" s="3315">
        <f>85.65+96.89+46.54</f>
        <v>229.08</v>
      </c>
      <c r="G11" s="3252" t="s">
        <v>3117</v>
      </c>
      <c r="H11" s="3252" t="s">
        <v>3118</v>
      </c>
      <c r="I11" s="3329">
        <v>3.75</v>
      </c>
      <c r="J11" s="3264">
        <f>(3.85-3.75)/3.75</f>
        <v>2.6666666666666689E-2</v>
      </c>
      <c r="K11" s="3254" t="s">
        <v>3127</v>
      </c>
      <c r="L11" s="3255">
        <v>311513.96000000002</v>
      </c>
      <c r="M11" s="3274"/>
    </row>
    <row r="12" spans="1:237" s="3278" customFormat="1">
      <c r="A12" s="4828"/>
      <c r="B12" s="4830" t="s">
        <v>54</v>
      </c>
      <c r="C12" s="4830"/>
      <c r="D12" s="4830"/>
      <c r="E12" s="3275">
        <f>SUM(E7:E11)</f>
        <v>1033.21</v>
      </c>
      <c r="F12" s="3313">
        <f>SUM(F7:F11)</f>
        <v>965.76</v>
      </c>
      <c r="G12" s="3258" t="s">
        <v>563</v>
      </c>
      <c r="H12" s="3258" t="s">
        <v>563</v>
      </c>
      <c r="I12" s="3328" t="s">
        <v>563</v>
      </c>
      <c r="J12" s="3258" t="s">
        <v>563</v>
      </c>
      <c r="K12" s="3258" t="s">
        <v>563</v>
      </c>
      <c r="L12" s="3276">
        <v>1411540.3725000001</v>
      </c>
      <c r="M12" s="3277"/>
    </row>
    <row r="13" spans="1:237" s="3267" customFormat="1" ht="24">
      <c r="A13" s="4827" t="s">
        <v>3128</v>
      </c>
      <c r="B13" s="3248" t="s">
        <v>3115</v>
      </c>
      <c r="C13" s="3249" t="s">
        <v>3129</v>
      </c>
      <c r="D13" s="3279" t="s">
        <v>3130</v>
      </c>
      <c r="E13" s="3269">
        <f>88.45+58.16+96.89+96.89+80.88</f>
        <v>421.27</v>
      </c>
      <c r="F13" s="3315">
        <f>66.59+58.16+96.89+96.89+80.88</f>
        <v>399.40999999999997</v>
      </c>
      <c r="G13" s="3252" t="s">
        <v>3117</v>
      </c>
      <c r="H13" s="3252" t="s">
        <v>3118</v>
      </c>
      <c r="I13" s="3329">
        <v>3.75</v>
      </c>
      <c r="J13" s="3264">
        <f>(3.85-3.75)/3.75</f>
        <v>2.6666666666666689E-2</v>
      </c>
      <c r="K13" s="3265" t="s">
        <v>3119</v>
      </c>
      <c r="L13" s="3255">
        <v>580404.1</v>
      </c>
      <c r="M13" s="3266"/>
    </row>
    <row r="14" spans="1:237" s="3267" customFormat="1">
      <c r="A14" s="4827"/>
      <c r="B14" s="3280" t="s">
        <v>3131</v>
      </c>
      <c r="C14" s="3249" t="s">
        <v>3109</v>
      </c>
      <c r="D14" s="3250" t="s">
        <v>3132</v>
      </c>
      <c r="E14" s="3269">
        <v>176.9</v>
      </c>
      <c r="F14" s="3315">
        <f>88.45+88.45</f>
        <v>176.9</v>
      </c>
      <c r="G14" s="3252" t="s">
        <v>3117</v>
      </c>
      <c r="H14" s="3252" t="s">
        <v>3133</v>
      </c>
      <c r="I14" s="3329">
        <v>4.75</v>
      </c>
      <c r="J14" s="3270"/>
      <c r="K14" s="3254" t="s">
        <v>3134</v>
      </c>
      <c r="L14" s="3255">
        <v>414609.82500000001</v>
      </c>
      <c r="M14" s="3274"/>
    </row>
    <row r="15" spans="1:237" s="3267" customFormat="1">
      <c r="A15" s="4827"/>
      <c r="B15" s="3280" t="s">
        <v>3135</v>
      </c>
      <c r="C15" s="3249" t="s">
        <v>3109</v>
      </c>
      <c r="D15" s="3250">
        <v>304</v>
      </c>
      <c r="E15" s="3269">
        <v>38</v>
      </c>
      <c r="F15" s="3315">
        <v>58.44</v>
      </c>
      <c r="G15" s="3252" t="s">
        <v>3117</v>
      </c>
      <c r="H15" s="3252" t="s">
        <v>3118</v>
      </c>
      <c r="I15" s="3329">
        <v>4.75</v>
      </c>
      <c r="J15" s="3270"/>
      <c r="K15" s="3254" t="s">
        <v>3136</v>
      </c>
      <c r="L15" s="3255">
        <v>70974.5</v>
      </c>
      <c r="M15" s="3266"/>
    </row>
    <row r="16" spans="1:237" s="3267" customFormat="1">
      <c r="A16" s="4827"/>
      <c r="B16" s="3268" t="s">
        <v>3115</v>
      </c>
      <c r="C16" s="3249" t="s">
        <v>3109</v>
      </c>
      <c r="D16" s="3250">
        <v>307</v>
      </c>
      <c r="E16" s="3269">
        <v>73.45</v>
      </c>
      <c r="F16" s="3315">
        <v>73.45</v>
      </c>
      <c r="G16" s="3252" t="s">
        <v>3117</v>
      </c>
      <c r="H16" s="3252" t="s">
        <v>3118</v>
      </c>
      <c r="I16" s="3329">
        <v>3.75</v>
      </c>
      <c r="J16" s="3264">
        <f>(3.85-3.75)/3.75</f>
        <v>2.6666666666666689E-2</v>
      </c>
      <c r="K16" s="3254" t="s">
        <v>3137</v>
      </c>
      <c r="L16" s="3255">
        <v>101137.48</v>
      </c>
      <c r="M16" s="3266"/>
    </row>
    <row r="17" spans="1:13">
      <c r="A17" s="4827"/>
      <c r="B17" s="3268" t="s">
        <v>3138</v>
      </c>
      <c r="C17" s="3249"/>
      <c r="D17" s="3250" t="s">
        <v>3139</v>
      </c>
      <c r="E17" s="3269">
        <v>13</v>
      </c>
      <c r="F17" s="3315"/>
      <c r="G17" s="3252" t="s">
        <v>3111</v>
      </c>
      <c r="H17" s="3252" t="s">
        <v>3140</v>
      </c>
      <c r="I17" s="3329">
        <v>5.25</v>
      </c>
      <c r="J17" s="3270"/>
      <c r="K17" s="3254" t="s">
        <v>3141</v>
      </c>
      <c r="L17" s="3255">
        <v>27283.75</v>
      </c>
      <c r="M17" s="3266"/>
    </row>
    <row r="18" spans="1:13">
      <c r="A18" s="4827"/>
      <c r="B18" s="3268" t="s">
        <v>3115</v>
      </c>
      <c r="C18" s="3249" t="s">
        <v>3109</v>
      </c>
      <c r="D18" s="3271" t="s">
        <v>3142</v>
      </c>
      <c r="E18" s="3272">
        <v>387.56</v>
      </c>
      <c r="F18" s="3315">
        <f>96.89*4</f>
        <v>387.56</v>
      </c>
      <c r="G18" s="3252" t="s">
        <v>3117</v>
      </c>
      <c r="H18" s="3252" t="s">
        <v>3118</v>
      </c>
      <c r="I18" s="3329">
        <v>3.75</v>
      </c>
      <c r="J18" s="3264">
        <f>(3.85-3.75)/3.75</f>
        <v>2.6666666666666689E-2</v>
      </c>
      <c r="K18" s="3254" t="s">
        <v>3143</v>
      </c>
      <c r="L18" s="3255">
        <v>533689.82999999996</v>
      </c>
      <c r="M18" s="3266"/>
    </row>
    <row r="19" spans="1:13">
      <c r="A19" s="4827"/>
      <c r="B19" s="3268" t="s">
        <v>3115</v>
      </c>
      <c r="C19" s="3249" t="s">
        <v>3109</v>
      </c>
      <c r="D19" s="3250">
        <v>321</v>
      </c>
      <c r="E19" s="3269">
        <v>89.51</v>
      </c>
      <c r="F19" s="3315">
        <v>76.17</v>
      </c>
      <c r="G19" s="3252" t="s">
        <v>3117</v>
      </c>
      <c r="H19" s="3252" t="s">
        <v>3118</v>
      </c>
      <c r="I19" s="3329">
        <v>3.75</v>
      </c>
      <c r="J19" s="3264">
        <f>(3.85-3.75)/3.75</f>
        <v>2.6666666666666689E-2</v>
      </c>
      <c r="K19" s="3254" t="s">
        <v>3144</v>
      </c>
      <c r="L19" s="3255">
        <v>120860.15</v>
      </c>
      <c r="M19" s="3266"/>
    </row>
    <row r="20" spans="1:13">
      <c r="A20" s="4827"/>
      <c r="B20" s="3280" t="s">
        <v>3145</v>
      </c>
      <c r="C20" s="3249" t="s">
        <v>3109</v>
      </c>
      <c r="D20" s="3250">
        <v>323</v>
      </c>
      <c r="E20" s="3269">
        <v>74.31</v>
      </c>
      <c r="F20" s="3315">
        <v>74.31</v>
      </c>
      <c r="G20" s="3252" t="s">
        <v>3117</v>
      </c>
      <c r="H20" s="3252" t="s">
        <v>3118</v>
      </c>
      <c r="I20" s="3329">
        <v>4.55</v>
      </c>
      <c r="J20" s="3270"/>
      <c r="K20" s="3281"/>
      <c r="L20" s="3255">
        <v>235376.78750000001</v>
      </c>
      <c r="M20" s="3274"/>
    </row>
    <row r="21" spans="1:13" ht="24.75" customHeight="1">
      <c r="A21" s="4827"/>
      <c r="B21" s="3282" t="s">
        <v>3131</v>
      </c>
      <c r="C21" s="3282" t="s">
        <v>3146</v>
      </c>
      <c r="D21" s="3250">
        <v>326</v>
      </c>
      <c r="E21" s="3269">
        <v>58</v>
      </c>
      <c r="F21" s="3315">
        <v>57.32</v>
      </c>
      <c r="G21" s="3252" t="s">
        <v>3117</v>
      </c>
      <c r="H21" s="3252" t="s">
        <v>3147</v>
      </c>
      <c r="I21" s="3329">
        <v>4.6500000000000004</v>
      </c>
      <c r="J21" s="3270"/>
      <c r="K21" s="3254" t="s">
        <v>3148</v>
      </c>
      <c r="L21" s="3255">
        <v>104217.3</v>
      </c>
      <c r="M21" s="3266"/>
    </row>
    <row r="22" spans="1:13" ht="22.5" customHeight="1">
      <c r="A22" s="4827"/>
      <c r="B22" s="3268" t="s">
        <v>3149</v>
      </c>
      <c r="C22" s="3282" t="s">
        <v>3150</v>
      </c>
      <c r="D22" s="3250">
        <v>329</v>
      </c>
      <c r="E22" s="3269">
        <v>80.88</v>
      </c>
      <c r="F22" s="3315">
        <v>80.900000000000006</v>
      </c>
      <c r="G22" s="3252" t="s">
        <v>3117</v>
      </c>
      <c r="H22" s="3252" t="s">
        <v>3122</v>
      </c>
      <c r="I22" s="3329">
        <v>4.75</v>
      </c>
      <c r="J22" s="3270"/>
      <c r="K22" s="3254" t="s">
        <v>3151</v>
      </c>
      <c r="L22" s="3255">
        <v>336278.82</v>
      </c>
      <c r="M22" s="3266"/>
    </row>
    <row r="23" spans="1:13" s="3278" customFormat="1">
      <c r="A23" s="4828"/>
      <c r="B23" s="4830" t="s">
        <v>54</v>
      </c>
      <c r="C23" s="4830"/>
      <c r="D23" s="4830"/>
      <c r="E23" s="3257">
        <f>SUM(E13:E22)</f>
        <v>1412.88</v>
      </c>
      <c r="F23" s="3313">
        <f>SUM(F13:F22)</f>
        <v>1384.46</v>
      </c>
      <c r="G23" s="3258" t="s">
        <v>563</v>
      </c>
      <c r="H23" s="3258" t="s">
        <v>563</v>
      </c>
      <c r="I23" s="3328" t="s">
        <v>563</v>
      </c>
      <c r="J23" s="3258" t="s">
        <v>563</v>
      </c>
      <c r="K23" s="3258" t="s">
        <v>563</v>
      </c>
      <c r="L23" s="3276">
        <v>2524832.5424999995</v>
      </c>
      <c r="M23" s="3277"/>
    </row>
    <row r="24" spans="1:13">
      <c r="A24" s="4851" t="s">
        <v>3152</v>
      </c>
      <c r="B24" s="3268" t="s">
        <v>3153</v>
      </c>
      <c r="C24" s="3249" t="s">
        <v>3109</v>
      </c>
      <c r="D24" s="3250">
        <v>401</v>
      </c>
      <c r="E24" s="3269">
        <v>66.59</v>
      </c>
      <c r="F24" s="3315">
        <v>66.59</v>
      </c>
      <c r="G24" s="3252" t="s">
        <v>3117</v>
      </c>
      <c r="H24" s="3252" t="s">
        <v>3147</v>
      </c>
      <c r="I24" s="3329">
        <v>3.65</v>
      </c>
      <c r="J24" s="3270"/>
      <c r="K24" s="3254" t="s">
        <v>3154</v>
      </c>
      <c r="L24" s="3255">
        <v>108317.99</v>
      </c>
      <c r="M24" s="3266"/>
    </row>
    <row r="25" spans="1:13" ht="17.100000000000001" customHeight="1">
      <c r="A25" s="4852"/>
      <c r="B25" s="3268" t="s">
        <v>3115</v>
      </c>
      <c r="C25" s="3280" t="s">
        <v>3155</v>
      </c>
      <c r="D25" s="3279" t="s">
        <v>3156</v>
      </c>
      <c r="E25" s="3269">
        <v>413.87</v>
      </c>
      <c r="F25" s="3315">
        <f>58.16+26.82+142.6+92.89+92.89+2.59</f>
        <v>415.94999999999993</v>
      </c>
      <c r="G25" s="3252" t="s">
        <v>3117</v>
      </c>
      <c r="H25" s="3252" t="s">
        <v>3118</v>
      </c>
      <c r="I25" s="3329">
        <v>3.75</v>
      </c>
      <c r="J25" s="3264">
        <f>(3.85-3.75)/3.75</f>
        <v>2.6666666666666689E-2</v>
      </c>
      <c r="K25" s="3254" t="s">
        <v>3157</v>
      </c>
      <c r="L25" s="3255">
        <v>570084.57999999996</v>
      </c>
      <c r="M25" s="3274"/>
    </row>
    <row r="26" spans="1:13">
      <c r="A26" s="4852"/>
      <c r="B26" s="3280" t="s">
        <v>3158</v>
      </c>
      <c r="C26" s="3249" t="s">
        <v>3109</v>
      </c>
      <c r="D26" s="3250">
        <v>404</v>
      </c>
      <c r="E26" s="3269">
        <v>58.44</v>
      </c>
      <c r="F26" s="3315">
        <v>58.44</v>
      </c>
      <c r="G26" s="3252" t="s">
        <v>3159</v>
      </c>
      <c r="H26" s="3252" t="s">
        <v>3122</v>
      </c>
      <c r="I26" s="3329">
        <v>4.8499999999999996</v>
      </c>
      <c r="J26" s="3270"/>
      <c r="K26" s="3254" t="s">
        <v>3134</v>
      </c>
      <c r="L26" s="3255">
        <v>111985.65</v>
      </c>
      <c r="M26" s="3266"/>
    </row>
    <row r="27" spans="1:13" ht="15">
      <c r="A27" s="4852"/>
      <c r="B27" s="3268" t="s">
        <v>3160</v>
      </c>
      <c r="C27" s="3249" t="s">
        <v>3109</v>
      </c>
      <c r="D27" s="3250">
        <v>409</v>
      </c>
      <c r="E27" s="3269">
        <v>96.89</v>
      </c>
      <c r="F27" s="3316">
        <v>96.89</v>
      </c>
      <c r="G27" s="3252" t="s">
        <v>3117</v>
      </c>
      <c r="H27" s="3252" t="s">
        <v>3122</v>
      </c>
      <c r="I27" s="3329">
        <v>4.75</v>
      </c>
      <c r="J27" s="3270"/>
      <c r="K27" s="3254" t="s">
        <v>3161</v>
      </c>
      <c r="L27" s="3255">
        <v>185665.46249999999</v>
      </c>
      <c r="M27" s="3266"/>
    </row>
    <row r="28" spans="1:13">
      <c r="A28" s="4852"/>
      <c r="B28" s="4853" t="s">
        <v>3115</v>
      </c>
      <c r="C28" s="4854" t="s">
        <v>3162</v>
      </c>
      <c r="D28" s="4856" t="s">
        <v>3163</v>
      </c>
      <c r="E28" s="4857">
        <v>116.37</v>
      </c>
      <c r="F28" s="3338">
        <f>19.48</f>
        <v>19.48</v>
      </c>
      <c r="G28" s="3339" t="s">
        <v>3117</v>
      </c>
      <c r="H28" s="3339" t="s">
        <v>3118</v>
      </c>
      <c r="I28" s="4858">
        <v>3.75</v>
      </c>
      <c r="J28" s="4859">
        <v>2.6666666666666689E-2</v>
      </c>
      <c r="K28" s="4861" t="s">
        <v>3164</v>
      </c>
      <c r="L28" s="4863">
        <v>160329.04999999999</v>
      </c>
      <c r="M28" s="4837"/>
    </row>
    <row r="29" spans="1:13">
      <c r="A29" s="4852"/>
      <c r="B29" s="4853"/>
      <c r="C29" s="4855"/>
      <c r="D29" s="4856"/>
      <c r="E29" s="4857"/>
      <c r="F29" s="3338">
        <f>96.89</f>
        <v>96.89</v>
      </c>
      <c r="G29" s="3339" t="s">
        <v>3117</v>
      </c>
      <c r="H29" s="3339" t="s">
        <v>3118</v>
      </c>
      <c r="I29" s="4858"/>
      <c r="J29" s="4860"/>
      <c r="K29" s="4862"/>
      <c r="L29" s="4863"/>
      <c r="M29" s="4838"/>
    </row>
    <row r="30" spans="1:13" ht="14.25" customHeight="1">
      <c r="A30" s="4852"/>
      <c r="B30" s="3441" t="s">
        <v>3165</v>
      </c>
      <c r="C30" s="3442" t="s">
        <v>3162</v>
      </c>
      <c r="D30" s="3443" t="s">
        <v>3235</v>
      </c>
      <c r="E30" s="3338">
        <f>96.89+50.35</f>
        <v>147.24</v>
      </c>
      <c r="F30" s="3338">
        <f>96.89+50.35</f>
        <v>147.24</v>
      </c>
      <c r="G30" s="3444" t="s">
        <v>3117</v>
      </c>
      <c r="H30" s="3444" t="s">
        <v>3122</v>
      </c>
      <c r="I30" s="3445">
        <v>4.75</v>
      </c>
      <c r="J30" s="3446">
        <f>(5.05-4.75)/4.75</f>
        <v>6.3157894736842066E-2</v>
      </c>
      <c r="K30" s="3447" t="s">
        <v>3166</v>
      </c>
      <c r="L30" s="3255">
        <v>267379.93</v>
      </c>
      <c r="M30" s="3266"/>
    </row>
    <row r="31" spans="1:13">
      <c r="A31" s="4852"/>
      <c r="B31" s="3347" t="s">
        <v>3131</v>
      </c>
      <c r="C31" s="3343" t="s">
        <v>3162</v>
      </c>
      <c r="D31" s="3348">
        <v>419</v>
      </c>
      <c r="E31" s="3315">
        <v>96.89</v>
      </c>
      <c r="F31" s="3315">
        <v>96.89</v>
      </c>
      <c r="G31" s="3344" t="s">
        <v>3159</v>
      </c>
      <c r="H31" s="3344" t="s">
        <v>3133</v>
      </c>
      <c r="I31" s="3329">
        <v>4.3499999999999996</v>
      </c>
      <c r="J31" s="3345">
        <f>(4.45-4.35)/4.35</f>
        <v>2.2988505747126561E-2</v>
      </c>
      <c r="K31" s="3346" t="s">
        <v>3167</v>
      </c>
      <c r="L31" s="3255">
        <v>152596.23000000001</v>
      </c>
      <c r="M31" s="3274"/>
    </row>
    <row r="32" spans="1:13">
      <c r="A32" s="4852"/>
      <c r="B32" s="3349" t="s">
        <v>3168</v>
      </c>
      <c r="C32" s="3343" t="s">
        <v>3162</v>
      </c>
      <c r="D32" s="3350">
        <v>421</v>
      </c>
      <c r="E32" s="3315">
        <f>85.39-9.22+8.85</f>
        <v>85.02</v>
      </c>
      <c r="F32" s="3315">
        <v>76.17</v>
      </c>
      <c r="G32" s="3344" t="s">
        <v>3117</v>
      </c>
      <c r="H32" s="3344" t="s">
        <v>3147</v>
      </c>
      <c r="I32" s="3329">
        <v>4.75</v>
      </c>
      <c r="J32" s="3329"/>
      <c r="K32" s="3346" t="s">
        <v>3169</v>
      </c>
      <c r="L32" s="3255">
        <v>159264.14499999999</v>
      </c>
      <c r="M32" s="3248"/>
    </row>
    <row r="33" spans="1:13">
      <c r="A33" s="4852"/>
      <c r="B33" s="3349" t="s">
        <v>3170</v>
      </c>
      <c r="C33" s="3349" t="s">
        <v>3171</v>
      </c>
      <c r="D33" s="3350">
        <v>423</v>
      </c>
      <c r="E33" s="3315">
        <v>74.31</v>
      </c>
      <c r="F33" s="3315">
        <v>74.31</v>
      </c>
      <c r="G33" s="3344" t="s">
        <v>3117</v>
      </c>
      <c r="H33" s="3344" t="s">
        <v>3122</v>
      </c>
      <c r="I33" s="3329">
        <v>4.75</v>
      </c>
      <c r="J33" s="3329"/>
      <c r="K33" s="3346" t="s">
        <v>3172</v>
      </c>
      <c r="L33" s="3255">
        <v>138978.04749999999</v>
      </c>
      <c r="M33" s="3274"/>
    </row>
    <row r="34" spans="1:13" ht="15">
      <c r="A34" s="4852"/>
      <c r="B34" s="3351" t="s">
        <v>3153</v>
      </c>
      <c r="C34" s="3343" t="s">
        <v>3162</v>
      </c>
      <c r="D34" s="3352" t="s">
        <v>3236</v>
      </c>
      <c r="E34" s="3353">
        <f>63.6+87.18</f>
        <v>150.78</v>
      </c>
      <c r="F34" s="3316">
        <f>57.3+80.88</f>
        <v>138.18</v>
      </c>
      <c r="G34" s="3354" t="s">
        <v>3173</v>
      </c>
      <c r="H34" s="3354" t="s">
        <v>3174</v>
      </c>
      <c r="I34" s="3329">
        <v>3.65</v>
      </c>
      <c r="J34" s="3329"/>
      <c r="K34" s="3346" t="s">
        <v>3175</v>
      </c>
      <c r="L34" s="3255">
        <v>288932.17499999999</v>
      </c>
      <c r="M34" s="3287"/>
    </row>
    <row r="35" spans="1:13" s="3278" customFormat="1">
      <c r="A35" s="4836"/>
      <c r="B35" s="4830" t="s">
        <v>54</v>
      </c>
      <c r="C35" s="4830"/>
      <c r="D35" s="4830"/>
      <c r="E35" s="3288">
        <f>SUM(E24:E34)</f>
        <v>1306.4000000000001</v>
      </c>
      <c r="F35" s="3317">
        <f>SUM(F24:F34)</f>
        <v>1287.03</v>
      </c>
      <c r="G35" s="3258" t="s">
        <v>563</v>
      </c>
      <c r="H35" s="3258" t="s">
        <v>563</v>
      </c>
      <c r="I35" s="3328" t="s">
        <v>563</v>
      </c>
      <c r="J35" s="3258" t="s">
        <v>563</v>
      </c>
      <c r="K35" s="3258" t="s">
        <v>563</v>
      </c>
      <c r="L35" s="3276">
        <v>2143533.2599999998</v>
      </c>
      <c r="M35" s="3277"/>
    </row>
    <row r="36" spans="1:13">
      <c r="A36" s="4827"/>
      <c r="B36" s="3280" t="s">
        <v>3176</v>
      </c>
      <c r="C36" s="3283" t="s">
        <v>3162</v>
      </c>
      <c r="D36" s="3250">
        <v>509</v>
      </c>
      <c r="E36" s="3269">
        <v>96.89</v>
      </c>
      <c r="F36" s="3315">
        <v>96.62</v>
      </c>
      <c r="G36" s="3289" t="s">
        <v>3159</v>
      </c>
      <c r="H36" s="3289" t="s">
        <v>3147</v>
      </c>
      <c r="I36" s="3329">
        <v>4.6500000000000004</v>
      </c>
      <c r="J36" s="3270"/>
      <c r="K36" s="3281" t="s">
        <v>3177</v>
      </c>
      <c r="L36" s="3255">
        <v>174155.22750000001</v>
      </c>
      <c r="M36" s="3274"/>
    </row>
    <row r="37" spans="1:13">
      <c r="A37" s="4827"/>
      <c r="B37" s="3268" t="s">
        <v>3115</v>
      </c>
      <c r="C37" s="3283" t="s">
        <v>3162</v>
      </c>
      <c r="D37" s="3250" t="s">
        <v>3178</v>
      </c>
      <c r="E37" s="3269">
        <v>84.68</v>
      </c>
      <c r="F37" s="3315">
        <f>46.17+36.57</f>
        <v>82.740000000000009</v>
      </c>
      <c r="G37" s="3252" t="s">
        <v>3117</v>
      </c>
      <c r="H37" s="3252" t="s">
        <v>3118</v>
      </c>
      <c r="I37" s="3329">
        <v>3.75</v>
      </c>
      <c r="J37" s="3264">
        <f>(3.85-3.75)/3.75</f>
        <v>2.6666666666666689E-2</v>
      </c>
      <c r="K37" s="3265" t="s">
        <v>3179</v>
      </c>
      <c r="L37" s="3255">
        <v>116668.05</v>
      </c>
      <c r="M37" s="3266"/>
    </row>
    <row r="38" spans="1:13">
      <c r="A38" s="4827"/>
      <c r="B38" s="3334" t="s">
        <v>3180</v>
      </c>
      <c r="C38" s="3335" t="s">
        <v>3162</v>
      </c>
      <c r="D38" s="3336">
        <v>512</v>
      </c>
      <c r="E38" s="3337">
        <v>105.65</v>
      </c>
      <c r="F38" s="3338">
        <f>142.22-36.57</f>
        <v>105.65</v>
      </c>
      <c r="G38" s="3289" t="s">
        <v>3159</v>
      </c>
      <c r="H38" s="3339" t="s">
        <v>3147</v>
      </c>
      <c r="I38" s="3340">
        <v>4.8499999999999996</v>
      </c>
      <c r="J38" s="3341"/>
      <c r="K38" s="3342" t="s">
        <v>3177</v>
      </c>
      <c r="L38" s="3255">
        <v>194083.83749999997</v>
      </c>
      <c r="M38" s="3266"/>
    </row>
    <row r="39" spans="1:13" ht="14.25" customHeight="1">
      <c r="A39" s="4827"/>
      <c r="B39" s="3268" t="s">
        <v>3181</v>
      </c>
      <c r="C39" s="3283" t="s">
        <v>3162</v>
      </c>
      <c r="D39" s="3279" t="s">
        <v>3182</v>
      </c>
      <c r="E39" s="3286">
        <v>66.62</v>
      </c>
      <c r="F39" s="4839">
        <v>96.62</v>
      </c>
      <c r="G39" s="3289" t="s">
        <v>3159</v>
      </c>
      <c r="H39" s="3289" t="s">
        <v>3183</v>
      </c>
      <c r="I39" s="3329">
        <v>4.3499999999999996</v>
      </c>
      <c r="J39" s="3270"/>
      <c r="K39" s="3254" t="s">
        <v>3184</v>
      </c>
      <c r="L39" s="3255">
        <v>117288.36</v>
      </c>
      <c r="M39" s="3274"/>
    </row>
    <row r="40" spans="1:13" ht="14.25" customHeight="1">
      <c r="A40" s="4827"/>
      <c r="B40" s="3268" t="s">
        <v>3185</v>
      </c>
      <c r="C40" s="3283" t="s">
        <v>3162</v>
      </c>
      <c r="D40" s="3279" t="s">
        <v>3186</v>
      </c>
      <c r="E40" s="3286">
        <v>30</v>
      </c>
      <c r="F40" s="4839"/>
      <c r="G40" s="3289" t="s">
        <v>3159</v>
      </c>
      <c r="H40" s="3289" t="s">
        <v>3183</v>
      </c>
      <c r="I40" s="3329">
        <v>4.3499999999999996</v>
      </c>
      <c r="J40" s="3270"/>
      <c r="K40" s="3254" t="s">
        <v>3184</v>
      </c>
      <c r="L40" s="3255">
        <v>52816.5</v>
      </c>
      <c r="M40" s="3274"/>
    </row>
    <row r="41" spans="1:13">
      <c r="A41" s="4827"/>
      <c r="B41" s="4840" t="s">
        <v>3187</v>
      </c>
      <c r="C41" s="4841" t="s">
        <v>3162</v>
      </c>
      <c r="D41" s="4843" t="s">
        <v>3188</v>
      </c>
      <c r="E41" s="3448">
        <v>96.62</v>
      </c>
      <c r="F41" s="3449">
        <v>96.62</v>
      </c>
      <c r="G41" s="4844" t="s">
        <v>3117</v>
      </c>
      <c r="H41" s="4844" t="s">
        <v>3118</v>
      </c>
      <c r="I41" s="4846">
        <v>4.8499999999999996</v>
      </c>
      <c r="J41" s="4847"/>
      <c r="K41" s="4849" t="s">
        <v>3189</v>
      </c>
      <c r="L41" s="4850">
        <v>555444.22500000009</v>
      </c>
      <c r="M41" s="4837"/>
    </row>
    <row r="42" spans="1:13">
      <c r="A42" s="4827"/>
      <c r="B42" s="4840"/>
      <c r="C42" s="4842"/>
      <c r="D42" s="4843"/>
      <c r="E42" s="3333">
        <v>193.24</v>
      </c>
      <c r="F42" s="3333">
        <f>96.62+96.62</f>
        <v>193.24</v>
      </c>
      <c r="G42" s="4845"/>
      <c r="H42" s="4845"/>
      <c r="I42" s="4846"/>
      <c r="J42" s="4848"/>
      <c r="K42" s="4849"/>
      <c r="L42" s="4850"/>
      <c r="M42" s="4838"/>
    </row>
    <row r="43" spans="1:13" s="3278" customFormat="1">
      <c r="A43" s="4828"/>
      <c r="B43" s="4830" t="s">
        <v>54</v>
      </c>
      <c r="C43" s="4830"/>
      <c r="D43" s="4830"/>
      <c r="E43" s="3257">
        <f>SUM(E36:E42)</f>
        <v>673.7</v>
      </c>
      <c r="F43" s="3313">
        <f>SUM(F36:F42)</f>
        <v>671.49</v>
      </c>
      <c r="G43" s="3258" t="s">
        <v>563</v>
      </c>
      <c r="H43" s="3258" t="s">
        <v>563</v>
      </c>
      <c r="I43" s="3328" t="s">
        <v>563</v>
      </c>
      <c r="J43" s="3258" t="s">
        <v>563</v>
      </c>
      <c r="K43" s="3258" t="s">
        <v>563</v>
      </c>
      <c r="L43" s="3276">
        <v>1210456.2</v>
      </c>
      <c r="M43" s="3277"/>
    </row>
    <row r="44" spans="1:13">
      <c r="A44" s="4827" t="s">
        <v>3190</v>
      </c>
      <c r="B44" s="4829" t="s">
        <v>3131</v>
      </c>
      <c r="C44" s="3285"/>
      <c r="D44" s="3273" t="s">
        <v>3191</v>
      </c>
      <c r="E44" s="3272">
        <v>156.66999999999999</v>
      </c>
      <c r="F44" s="3315"/>
      <c r="G44" s="3289" t="s">
        <v>3159</v>
      </c>
      <c r="H44" s="3289" t="s">
        <v>3133</v>
      </c>
      <c r="I44" s="3329">
        <v>4.5</v>
      </c>
      <c r="J44" s="3284">
        <f>(4.6-4.5)/4.5</f>
        <v>2.2222222222222143E-2</v>
      </c>
      <c r="K44" s="3254" t="s">
        <v>3192</v>
      </c>
      <c r="L44" s="3255">
        <v>256548.8</v>
      </c>
      <c r="M44" s="3248"/>
    </row>
    <row r="45" spans="1:13">
      <c r="A45" s="4827"/>
      <c r="B45" s="4829"/>
      <c r="C45" s="3285"/>
      <c r="D45" s="3273">
        <v>3702</v>
      </c>
      <c r="E45" s="3272">
        <v>50</v>
      </c>
      <c r="F45" s="3315"/>
      <c r="G45" s="3289" t="s">
        <v>3159</v>
      </c>
      <c r="H45" s="3289" t="s">
        <v>3133</v>
      </c>
      <c r="I45" s="3329">
        <v>4.5</v>
      </c>
      <c r="J45" s="3284">
        <f t="shared" ref="J45:J67" si="0">(4.6-4.5)/4.5</f>
        <v>2.2222222222222143E-2</v>
      </c>
      <c r="K45" s="3254" t="s">
        <v>3193</v>
      </c>
      <c r="L45" s="3255">
        <v>81795</v>
      </c>
      <c r="M45" s="3248"/>
    </row>
    <row r="46" spans="1:13">
      <c r="A46" s="4827"/>
      <c r="B46" s="4829"/>
      <c r="C46" s="3285"/>
      <c r="D46" s="3273">
        <v>3703</v>
      </c>
      <c r="E46" s="3272">
        <v>68</v>
      </c>
      <c r="F46" s="3315"/>
      <c r="G46" s="3289" t="s">
        <v>3159</v>
      </c>
      <c r="H46" s="3289" t="s">
        <v>3133</v>
      </c>
      <c r="I46" s="3329">
        <v>4.5</v>
      </c>
      <c r="J46" s="3284">
        <f t="shared" si="0"/>
        <v>2.2222222222222143E-2</v>
      </c>
      <c r="K46" s="3254" t="s">
        <v>3194</v>
      </c>
      <c r="L46" s="3255">
        <v>112111.6</v>
      </c>
      <c r="M46" s="3266"/>
    </row>
    <row r="47" spans="1:13">
      <c r="A47" s="4827"/>
      <c r="B47" s="4829"/>
      <c r="C47" s="3285"/>
      <c r="D47" s="3273">
        <v>3705</v>
      </c>
      <c r="E47" s="3272">
        <v>65</v>
      </c>
      <c r="F47" s="3315"/>
      <c r="G47" s="3289" t="s">
        <v>3159</v>
      </c>
      <c r="H47" s="3289" t="s">
        <v>3133</v>
      </c>
      <c r="I47" s="3329">
        <v>4.5</v>
      </c>
      <c r="J47" s="3284">
        <f t="shared" si="0"/>
        <v>2.2222222222222143E-2</v>
      </c>
      <c r="K47" s="3254" t="s">
        <v>3195</v>
      </c>
      <c r="L47" s="3255">
        <v>107328</v>
      </c>
      <c r="M47" s="3266"/>
    </row>
    <row r="48" spans="1:13">
      <c r="A48" s="4827"/>
      <c r="B48" s="4829"/>
      <c r="C48" s="3285"/>
      <c r="D48" s="3273">
        <v>3707</v>
      </c>
      <c r="E48" s="3272">
        <v>40</v>
      </c>
      <c r="F48" s="3315"/>
      <c r="G48" s="3252" t="s">
        <v>3159</v>
      </c>
      <c r="H48" s="3252" t="s">
        <v>3133</v>
      </c>
      <c r="I48" s="3329">
        <v>4.5</v>
      </c>
      <c r="J48" s="3284">
        <f t="shared" si="0"/>
        <v>2.2222222222222143E-2</v>
      </c>
      <c r="K48" s="3254" t="s">
        <v>3196</v>
      </c>
      <c r="L48" s="3255">
        <v>65280</v>
      </c>
      <c r="M48" s="3274"/>
    </row>
    <row r="49" spans="1:13">
      <c r="A49" s="4827"/>
      <c r="B49" s="4829"/>
      <c r="C49" s="3285"/>
      <c r="D49" s="3273">
        <v>3708</v>
      </c>
      <c r="E49" s="3272">
        <v>94.29</v>
      </c>
      <c r="F49" s="3315"/>
      <c r="G49" s="3252" t="s">
        <v>3159</v>
      </c>
      <c r="H49" s="3252" t="s">
        <v>3133</v>
      </c>
      <c r="I49" s="3329">
        <v>4.5</v>
      </c>
      <c r="J49" s="3284">
        <f t="shared" si="0"/>
        <v>2.2222222222222143E-2</v>
      </c>
      <c r="K49" s="3254" t="s">
        <v>3197</v>
      </c>
      <c r="L49" s="3255">
        <v>155193.43</v>
      </c>
      <c r="M49" s="3266"/>
    </row>
    <row r="50" spans="1:13">
      <c r="A50" s="4827"/>
      <c r="B50" s="3285" t="s">
        <v>3131</v>
      </c>
      <c r="C50" s="3285"/>
      <c r="D50" s="3273">
        <v>3709</v>
      </c>
      <c r="E50" s="3272">
        <v>82.03</v>
      </c>
      <c r="F50" s="3315"/>
      <c r="G50" s="3252" t="s">
        <v>3159</v>
      </c>
      <c r="H50" s="3252" t="s">
        <v>3133</v>
      </c>
      <c r="I50" s="3329">
        <v>4.5</v>
      </c>
      <c r="J50" s="3284">
        <f t="shared" si="0"/>
        <v>2.2222222222222143E-2</v>
      </c>
      <c r="K50" s="3254" t="s">
        <v>3198</v>
      </c>
      <c r="L50" s="3255">
        <v>133323.98000000001</v>
      </c>
      <c r="M50" s="3248"/>
    </row>
    <row r="51" spans="1:13">
      <c r="A51" s="4827"/>
      <c r="B51" s="3285" t="s">
        <v>3131</v>
      </c>
      <c r="C51" s="3285"/>
      <c r="D51" s="3273">
        <v>3710</v>
      </c>
      <c r="E51" s="3272">
        <v>92</v>
      </c>
      <c r="F51" s="3315"/>
      <c r="G51" s="3252" t="s">
        <v>3159</v>
      </c>
      <c r="H51" s="3252" t="s">
        <v>3133</v>
      </c>
      <c r="I51" s="3329">
        <v>4.5</v>
      </c>
      <c r="J51" s="3284">
        <f t="shared" si="0"/>
        <v>2.2222222222222143E-2</v>
      </c>
      <c r="K51" s="3254" t="s">
        <v>3199</v>
      </c>
      <c r="L51" s="3255">
        <v>150006</v>
      </c>
      <c r="M51" s="3248"/>
    </row>
    <row r="52" spans="1:13">
      <c r="A52" s="4827"/>
      <c r="B52" s="3285" t="s">
        <v>3200</v>
      </c>
      <c r="C52" s="3285"/>
      <c r="D52" s="3273">
        <v>3711</v>
      </c>
      <c r="E52" s="3272">
        <v>85.36</v>
      </c>
      <c r="F52" s="3315"/>
      <c r="G52" s="3252" t="s">
        <v>3159</v>
      </c>
      <c r="H52" s="3252" t="s">
        <v>3133</v>
      </c>
      <c r="I52" s="3329">
        <v>4.5</v>
      </c>
      <c r="J52" s="3284">
        <f t="shared" si="0"/>
        <v>2.2222222222222143E-2</v>
      </c>
      <c r="K52" s="3254" t="s">
        <v>3201</v>
      </c>
      <c r="L52" s="3255">
        <v>139819.5</v>
      </c>
      <c r="M52" s="3248"/>
    </row>
    <row r="53" spans="1:13">
      <c r="A53" s="4827"/>
      <c r="B53" s="3285" t="s">
        <v>3200</v>
      </c>
      <c r="C53" s="3285"/>
      <c r="D53" s="3273">
        <v>3713</v>
      </c>
      <c r="E53" s="3272">
        <v>90</v>
      </c>
      <c r="F53" s="3315"/>
      <c r="G53" s="3252" t="s">
        <v>3159</v>
      </c>
      <c r="H53" s="3252" t="s">
        <v>3133</v>
      </c>
      <c r="I53" s="3329">
        <v>4.5</v>
      </c>
      <c r="J53" s="3284">
        <f t="shared" si="0"/>
        <v>2.2222222222222143E-2</v>
      </c>
      <c r="K53" s="3254" t="s">
        <v>3202</v>
      </c>
      <c r="L53" s="3255">
        <v>146295</v>
      </c>
      <c r="M53" s="3248"/>
    </row>
    <row r="54" spans="1:13">
      <c r="A54" s="4827"/>
      <c r="B54" s="3285" t="s">
        <v>3200</v>
      </c>
      <c r="C54" s="3285"/>
      <c r="D54" s="3273">
        <v>3715</v>
      </c>
      <c r="E54" s="3272">
        <v>90</v>
      </c>
      <c r="F54" s="3315"/>
      <c r="G54" s="3252" t="s">
        <v>3159</v>
      </c>
      <c r="H54" s="3252" t="s">
        <v>3133</v>
      </c>
      <c r="I54" s="3329">
        <v>4.5</v>
      </c>
      <c r="J54" s="3284">
        <f t="shared" si="0"/>
        <v>2.2222222222222143E-2</v>
      </c>
      <c r="K54" s="3254" t="s">
        <v>3203</v>
      </c>
      <c r="L54" s="3255">
        <v>147105</v>
      </c>
      <c r="M54" s="3248"/>
    </row>
    <row r="55" spans="1:13">
      <c r="A55" s="4827"/>
      <c r="B55" s="3285" t="s">
        <v>3131</v>
      </c>
      <c r="C55" s="3285"/>
      <c r="D55" s="3273">
        <v>3716</v>
      </c>
      <c r="E55" s="3272">
        <v>91.41</v>
      </c>
      <c r="F55" s="3315"/>
      <c r="G55" s="3252" t="s">
        <v>3159</v>
      </c>
      <c r="H55" s="3252" t="s">
        <v>3133</v>
      </c>
      <c r="I55" s="3329">
        <v>4.5</v>
      </c>
      <c r="J55" s="3284">
        <f t="shared" si="0"/>
        <v>2.2222222222222143E-2</v>
      </c>
      <c r="K55" s="3254" t="s">
        <v>3204</v>
      </c>
      <c r="L55" s="3255">
        <v>149392.45000000001</v>
      </c>
      <c r="M55" s="3248"/>
    </row>
    <row r="56" spans="1:13">
      <c r="A56" s="4827"/>
      <c r="B56" s="3285" t="s">
        <v>3200</v>
      </c>
      <c r="C56" s="3285"/>
      <c r="D56" s="3273">
        <v>3717</v>
      </c>
      <c r="E56" s="3272">
        <v>85</v>
      </c>
      <c r="F56" s="3315"/>
      <c r="G56" s="3252" t="s">
        <v>3159</v>
      </c>
      <c r="H56" s="3252" t="s">
        <v>3133</v>
      </c>
      <c r="I56" s="3329">
        <v>4.5</v>
      </c>
      <c r="J56" s="3284">
        <f t="shared" si="0"/>
        <v>2.2222222222222143E-2</v>
      </c>
      <c r="K56" s="3254" t="s">
        <v>3205</v>
      </c>
      <c r="L56" s="3255">
        <v>139281</v>
      </c>
      <c r="M56" s="3248"/>
    </row>
    <row r="57" spans="1:13">
      <c r="A57" s="4827"/>
      <c r="B57" s="3285" t="s">
        <v>3131</v>
      </c>
      <c r="C57" s="3285"/>
      <c r="D57" s="3290">
        <v>3718</v>
      </c>
      <c r="E57" s="3269">
        <v>38</v>
      </c>
      <c r="F57" s="3315"/>
      <c r="G57" s="3252" t="s">
        <v>3159</v>
      </c>
      <c r="H57" s="3252" t="s">
        <v>3133</v>
      </c>
      <c r="I57" s="3329">
        <v>4.5</v>
      </c>
      <c r="J57" s="3284">
        <f t="shared" si="0"/>
        <v>2.2222222222222143E-2</v>
      </c>
      <c r="K57" s="3254" t="s">
        <v>3127</v>
      </c>
      <c r="L57" s="3255">
        <v>57114</v>
      </c>
      <c r="M57" s="3266"/>
    </row>
    <row r="58" spans="1:13">
      <c r="A58" s="4827"/>
      <c r="B58" s="3285" t="s">
        <v>3200</v>
      </c>
      <c r="C58" s="3285"/>
      <c r="D58" s="3273">
        <v>3719</v>
      </c>
      <c r="E58" s="3272">
        <v>81.45</v>
      </c>
      <c r="F58" s="3315"/>
      <c r="G58" s="3252" t="s">
        <v>3159</v>
      </c>
      <c r="H58" s="3252" t="s">
        <v>3133</v>
      </c>
      <c r="I58" s="3329">
        <v>4.5</v>
      </c>
      <c r="J58" s="3284">
        <f t="shared" si="0"/>
        <v>2.2222222222222143E-2</v>
      </c>
      <c r="K58" s="3254" t="s">
        <v>3206</v>
      </c>
      <c r="L58" s="3255">
        <v>144167.88</v>
      </c>
      <c r="M58" s="3274"/>
    </row>
    <row r="59" spans="1:13">
      <c r="A59" s="4827"/>
      <c r="B59" s="3285" t="s">
        <v>3131</v>
      </c>
      <c r="C59" s="3285"/>
      <c r="D59" s="3273">
        <v>3721</v>
      </c>
      <c r="E59" s="3272">
        <v>71.069999999999993</v>
      </c>
      <c r="F59" s="3315"/>
      <c r="G59" s="3252" t="s">
        <v>3159</v>
      </c>
      <c r="H59" s="3252" t="s">
        <v>3133</v>
      </c>
      <c r="I59" s="3329">
        <v>4.5</v>
      </c>
      <c r="J59" s="3284">
        <f t="shared" si="0"/>
        <v>2.2222222222222143E-2</v>
      </c>
      <c r="K59" s="3254" t="s">
        <v>3206</v>
      </c>
      <c r="L59" s="3255">
        <v>117529.5</v>
      </c>
      <c r="M59" s="3266"/>
    </row>
    <row r="60" spans="1:13">
      <c r="A60" s="4827"/>
      <c r="B60" s="3285" t="s">
        <v>3200</v>
      </c>
      <c r="C60" s="3285"/>
      <c r="D60" s="3273">
        <v>3723</v>
      </c>
      <c r="E60" s="3272">
        <v>74</v>
      </c>
      <c r="F60" s="3315"/>
      <c r="G60" s="3252" t="s">
        <v>3159</v>
      </c>
      <c r="H60" s="3252" t="s">
        <v>3133</v>
      </c>
      <c r="I60" s="3329">
        <v>4.5</v>
      </c>
      <c r="J60" s="3284">
        <f t="shared" si="0"/>
        <v>2.2222222222222143E-2</v>
      </c>
      <c r="K60" s="3254" t="s">
        <v>3207</v>
      </c>
      <c r="L60" s="3255">
        <v>120420.2</v>
      </c>
      <c r="M60" s="3274"/>
    </row>
    <row r="61" spans="1:13" ht="12.95" customHeight="1">
      <c r="A61" s="4827"/>
      <c r="B61" s="4829" t="s">
        <v>3131</v>
      </c>
      <c r="C61" s="3285"/>
      <c r="D61" s="3273" t="s">
        <v>3208</v>
      </c>
      <c r="E61" s="3272">
        <v>143</v>
      </c>
      <c r="F61" s="3315"/>
      <c r="G61" s="3252" t="s">
        <v>3159</v>
      </c>
      <c r="H61" s="3252" t="s">
        <v>3133</v>
      </c>
      <c r="I61" s="3329">
        <v>4.5999999999999996</v>
      </c>
      <c r="J61" s="3284">
        <f t="shared" si="0"/>
        <v>2.2222222222222143E-2</v>
      </c>
      <c r="K61" s="3254" t="s">
        <v>3209</v>
      </c>
      <c r="L61" s="3255">
        <v>237065.4</v>
      </c>
      <c r="M61" s="3266"/>
    </row>
    <row r="62" spans="1:13">
      <c r="A62" s="4827"/>
      <c r="B62" s="4829"/>
      <c r="C62" s="3285"/>
      <c r="D62" s="3273">
        <v>3726</v>
      </c>
      <c r="E62" s="3272">
        <v>54</v>
      </c>
      <c r="F62" s="3315"/>
      <c r="G62" s="3252" t="s">
        <v>3159</v>
      </c>
      <c r="H62" s="3252" t="s">
        <v>3133</v>
      </c>
      <c r="I62" s="3329">
        <v>4.5</v>
      </c>
      <c r="J62" s="3284">
        <f t="shared" si="0"/>
        <v>2.2222222222222143E-2</v>
      </c>
      <c r="K62" s="3254" t="s">
        <v>3210</v>
      </c>
      <c r="L62" s="3255">
        <v>88295.4</v>
      </c>
      <c r="M62" s="3248"/>
    </row>
    <row r="63" spans="1:13">
      <c r="A63" s="4827"/>
      <c r="B63" s="4829"/>
      <c r="C63" s="3285"/>
      <c r="D63" s="3273">
        <v>3728</v>
      </c>
      <c r="E63" s="3272">
        <v>55</v>
      </c>
      <c r="F63" s="3315"/>
      <c r="G63" s="3252" t="s">
        <v>3159</v>
      </c>
      <c r="H63" s="3252" t="s">
        <v>3133</v>
      </c>
      <c r="I63" s="3329">
        <v>4.5</v>
      </c>
      <c r="J63" s="3284">
        <f t="shared" si="0"/>
        <v>2.2222222222222143E-2</v>
      </c>
      <c r="K63" s="3254" t="s">
        <v>3211</v>
      </c>
      <c r="L63" s="3255">
        <v>82621</v>
      </c>
      <c r="M63" s="3248"/>
    </row>
    <row r="64" spans="1:13" s="3278" customFormat="1">
      <c r="A64" s="4828"/>
      <c r="B64" s="4830" t="s">
        <v>54</v>
      </c>
      <c r="C64" s="4830"/>
      <c r="D64" s="4830"/>
      <c r="E64" s="3275">
        <f>SUM(E44:E63)</f>
        <v>1606.28</v>
      </c>
      <c r="F64" s="3313">
        <f>SUM(F44:F63)</f>
        <v>0</v>
      </c>
      <c r="G64" s="3258" t="s">
        <v>563</v>
      </c>
      <c r="H64" s="3258" t="s">
        <v>563</v>
      </c>
      <c r="I64" s="3328" t="s">
        <v>563</v>
      </c>
      <c r="J64" s="3258" t="s">
        <v>563</v>
      </c>
      <c r="K64" s="3258" t="s">
        <v>563</v>
      </c>
      <c r="L64" s="3276">
        <v>2630693.14</v>
      </c>
      <c r="M64" s="3277"/>
    </row>
    <row r="65" spans="1:238" s="3267" customFormat="1" ht="15" customHeight="1">
      <c r="A65" s="4827" t="s">
        <v>3212</v>
      </c>
      <c r="B65" s="4829" t="s">
        <v>3131</v>
      </c>
      <c r="C65" s="3285"/>
      <c r="D65" s="3291" t="s">
        <v>3213</v>
      </c>
      <c r="E65" s="3292">
        <v>344</v>
      </c>
      <c r="F65" s="3318"/>
      <c r="G65" s="3252" t="s">
        <v>3159</v>
      </c>
      <c r="H65" s="3252" t="s">
        <v>3133</v>
      </c>
      <c r="I65" s="3330">
        <v>4.5</v>
      </c>
      <c r="J65" s="3284">
        <f t="shared" si="0"/>
        <v>2.2222222222222143E-2</v>
      </c>
      <c r="K65" s="3254" t="s">
        <v>3214</v>
      </c>
      <c r="L65" s="3255">
        <v>613592.80000000005</v>
      </c>
      <c r="M65" s="3266"/>
    </row>
    <row r="66" spans="1:238" s="3267" customFormat="1" ht="33.950000000000003" customHeight="1">
      <c r="A66" s="4827"/>
      <c r="B66" s="4829"/>
      <c r="C66" s="3285"/>
      <c r="D66" s="3279" t="s">
        <v>3215</v>
      </c>
      <c r="E66" s="3293">
        <v>1170.46</v>
      </c>
      <c r="F66" s="3318"/>
      <c r="G66" s="3252" t="s">
        <v>3159</v>
      </c>
      <c r="H66" s="3252" t="s">
        <v>3133</v>
      </c>
      <c r="I66" s="3329">
        <v>4.5</v>
      </c>
      <c r="J66" s="3284">
        <f t="shared" si="0"/>
        <v>2.2222222222222143E-2</v>
      </c>
      <c r="K66" s="3254" t="s">
        <v>3216</v>
      </c>
      <c r="L66" s="3255">
        <v>1904923.05</v>
      </c>
      <c r="M66" s="3248"/>
    </row>
    <row r="67" spans="1:238" s="3267" customFormat="1">
      <c r="A67" s="4827"/>
      <c r="B67" s="4829"/>
      <c r="C67" s="3285"/>
      <c r="D67" s="3294" t="s">
        <v>3217</v>
      </c>
      <c r="E67" s="3255">
        <v>170</v>
      </c>
      <c r="F67" s="3319"/>
      <c r="G67" s="3252" t="s">
        <v>3159</v>
      </c>
      <c r="H67" s="3252" t="s">
        <v>3133</v>
      </c>
      <c r="I67" s="3329">
        <v>4.5</v>
      </c>
      <c r="J67" s="3284">
        <f t="shared" si="0"/>
        <v>2.2222222222222143E-2</v>
      </c>
      <c r="K67" s="3254" t="s">
        <v>3218</v>
      </c>
      <c r="L67" s="3255">
        <v>278664</v>
      </c>
      <c r="M67" s="3248"/>
    </row>
    <row r="68" spans="1:238" s="3278" customFormat="1" ht="15" customHeight="1">
      <c r="A68" s="4828"/>
      <c r="B68" s="4830" t="s">
        <v>54</v>
      </c>
      <c r="C68" s="4830"/>
      <c r="D68" s="4830"/>
      <c r="E68" s="3295">
        <f>SUM(E65:E67)</f>
        <v>1684.46</v>
      </c>
      <c r="F68" s="3320">
        <f>SUM(F65:F67)</f>
        <v>0</v>
      </c>
      <c r="G68" s="3258" t="s">
        <v>563</v>
      </c>
      <c r="H68" s="3258" t="s">
        <v>563</v>
      </c>
      <c r="I68" s="3328" t="s">
        <v>563</v>
      </c>
      <c r="J68" s="3258" t="s">
        <v>563</v>
      </c>
      <c r="K68" s="3258" t="s">
        <v>563</v>
      </c>
      <c r="L68" s="3276">
        <v>2797179.85</v>
      </c>
      <c r="M68" s="3296"/>
    </row>
    <row r="69" spans="1:238" s="3278" customFormat="1">
      <c r="A69" s="4828" t="s">
        <v>3219</v>
      </c>
      <c r="B69" s="4831"/>
      <c r="C69" s="4831"/>
      <c r="D69" s="4828"/>
      <c r="E69" s="3295">
        <f>E6+E12+E23+E35+E43+E64+E68</f>
        <v>8142.9299999999994</v>
      </c>
      <c r="F69" s="3320">
        <f>F6+F12+F23+F35+F43+F64+F68</f>
        <v>4544.49</v>
      </c>
      <c r="G69" s="3258" t="s">
        <v>563</v>
      </c>
      <c r="H69" s="3258" t="s">
        <v>563</v>
      </c>
      <c r="I69" s="3328" t="s">
        <v>563</v>
      </c>
      <c r="J69" s="3258" t="s">
        <v>563</v>
      </c>
      <c r="K69" s="3258" t="s">
        <v>563</v>
      </c>
      <c r="L69" s="3276">
        <v>14674549.857000001</v>
      </c>
      <c r="M69" s="3277"/>
    </row>
    <row r="70" spans="1:238" s="3267" customFormat="1" ht="15" customHeight="1">
      <c r="A70" s="4832" t="s">
        <v>2930</v>
      </c>
      <c r="B70" s="3297" t="s">
        <v>3220</v>
      </c>
      <c r="C70" s="3297"/>
      <c r="D70" s="3298" t="s">
        <v>3221</v>
      </c>
      <c r="E70" s="3299">
        <f>349.81-83.98</f>
        <v>265.83</v>
      </c>
      <c r="F70" s="3321"/>
      <c r="G70" s="3300"/>
      <c r="H70" s="3301" t="s">
        <v>3122</v>
      </c>
      <c r="I70" s="3331">
        <v>4.18</v>
      </c>
      <c r="J70" s="3302"/>
      <c r="K70" s="3303" t="s">
        <v>3222</v>
      </c>
      <c r="L70" s="3255">
        <v>405577.05</v>
      </c>
      <c r="M70" s="3266"/>
    </row>
    <row r="71" spans="1:238" s="3267" customFormat="1" ht="15" customHeight="1">
      <c r="A71" s="4833"/>
      <c r="B71" s="3297" t="s">
        <v>3223</v>
      </c>
      <c r="D71" s="3298" t="s">
        <v>3224</v>
      </c>
      <c r="E71" s="3299">
        <v>1328</v>
      </c>
      <c r="F71" s="3322"/>
      <c r="G71" s="3301" t="s">
        <v>3159</v>
      </c>
      <c r="H71" s="3301"/>
      <c r="I71" s="3331"/>
      <c r="J71" s="3304">
        <f>(3.676-3.501)/3.501</f>
        <v>4.9985718366181167E-2</v>
      </c>
      <c r="K71" s="3303" t="s">
        <v>3225</v>
      </c>
      <c r="L71" s="3255">
        <v>1697004.72</v>
      </c>
      <c r="M71" s="3266"/>
    </row>
    <row r="72" spans="1:238" s="3267" customFormat="1" ht="15" customHeight="1">
      <c r="A72" s="4833"/>
      <c r="B72" s="3297" t="s">
        <v>3223</v>
      </c>
      <c r="C72" s="3283" t="s">
        <v>3162</v>
      </c>
      <c r="D72" s="3298" t="s">
        <v>3226</v>
      </c>
      <c r="E72" s="3299">
        <v>1573.02</v>
      </c>
      <c r="F72" s="3322">
        <f>466.26+1011.34+55.65+55.93</f>
        <v>1589.18</v>
      </c>
      <c r="G72" s="3301" t="s">
        <v>3159</v>
      </c>
      <c r="H72" s="3301"/>
      <c r="I72" s="3331"/>
      <c r="J72" s="3304">
        <f>(3.342-3.183)/3.183</f>
        <v>4.9952874646559932E-2</v>
      </c>
      <c r="K72" s="3303" t="s">
        <v>3225</v>
      </c>
      <c r="L72" s="3255">
        <v>1879769.88</v>
      </c>
      <c r="M72" s="3266"/>
    </row>
    <row r="73" spans="1:238" s="3267" customFormat="1">
      <c r="A73" s="4834"/>
      <c r="B73" s="3248" t="s">
        <v>3227</v>
      </c>
      <c r="C73" s="3283" t="s">
        <v>3109</v>
      </c>
      <c r="D73" s="3297" t="s">
        <v>3228</v>
      </c>
      <c r="E73" s="3299">
        <v>2480</v>
      </c>
      <c r="F73" s="3322">
        <f>210.5+216.11</f>
        <v>426.61</v>
      </c>
      <c r="G73" s="3300"/>
      <c r="H73" s="3301" t="s">
        <v>3147</v>
      </c>
      <c r="I73" s="3331">
        <v>2.06</v>
      </c>
      <c r="J73" s="3302"/>
      <c r="K73" s="3305" t="s">
        <v>3229</v>
      </c>
      <c r="L73" s="3255">
        <v>1919024</v>
      </c>
      <c r="M73" s="3266"/>
      <c r="ID73" s="3230"/>
    </row>
    <row r="74" spans="1:238" s="3278" customFormat="1" ht="15" customHeight="1">
      <c r="A74" s="4835"/>
      <c r="B74" s="4830" t="s">
        <v>3230</v>
      </c>
      <c r="C74" s="4830"/>
      <c r="D74" s="4830"/>
      <c r="E74" s="3306">
        <f>SUM(E70:E73)</f>
        <v>5646.85</v>
      </c>
      <c r="F74" s="3323">
        <f>SUM(F70:F73)</f>
        <v>2015.79</v>
      </c>
      <c r="G74" s="3258" t="s">
        <v>563</v>
      </c>
      <c r="H74" s="3258" t="s">
        <v>563</v>
      </c>
      <c r="I74" s="3328" t="s">
        <v>563</v>
      </c>
      <c r="J74" s="3258" t="s">
        <v>563</v>
      </c>
      <c r="K74" s="3258" t="s">
        <v>563</v>
      </c>
      <c r="L74" s="3306">
        <v>5901375.6500000004</v>
      </c>
      <c r="M74" s="3277"/>
    </row>
    <row r="75" spans="1:238" s="3278" customFormat="1">
      <c r="A75" s="4828" t="s">
        <v>3231</v>
      </c>
      <c r="B75" s="4828"/>
      <c r="C75" s="4828"/>
      <c r="D75" s="4828"/>
      <c r="E75" s="3276">
        <f>E69+E74</f>
        <v>13789.779999999999</v>
      </c>
      <c r="F75" s="3324">
        <f>F69+F74</f>
        <v>6560.28</v>
      </c>
      <c r="G75" s="3258" t="s">
        <v>563</v>
      </c>
      <c r="H75" s="3258" t="s">
        <v>563</v>
      </c>
      <c r="I75" s="3328" t="s">
        <v>563</v>
      </c>
      <c r="J75" s="3258" t="s">
        <v>563</v>
      </c>
      <c r="K75" s="3258" t="s">
        <v>563</v>
      </c>
      <c r="L75" s="3276">
        <v>20575925.506999999</v>
      </c>
      <c r="M75" s="3277"/>
      <c r="N75" s="3307"/>
    </row>
    <row r="77" spans="1:238">
      <c r="K77" s="4826" t="s">
        <v>3232</v>
      </c>
      <c r="L77" s="4826"/>
    </row>
    <row r="78" spans="1:238">
      <c r="K78" s="4825">
        <v>42674</v>
      </c>
      <c r="L78" s="4826"/>
    </row>
    <row r="79" spans="1:238">
      <c r="F79" s="3326"/>
    </row>
    <row r="80" spans="1:238">
      <c r="F80" s="3326"/>
    </row>
    <row r="81" spans="6:6">
      <c r="F81" s="3326"/>
    </row>
  </sheetData>
  <mergeCells count="56">
    <mergeCell ref="A5:A6"/>
    <mergeCell ref="A1:M1"/>
    <mergeCell ref="L2:M2"/>
    <mergeCell ref="A3:B4"/>
    <mergeCell ref="C3:C4"/>
    <mergeCell ref="D3:D4"/>
    <mergeCell ref="E3:E4"/>
    <mergeCell ref="F3:F4"/>
    <mergeCell ref="G3:H4"/>
    <mergeCell ref="I3:I4"/>
    <mergeCell ref="J3:J4"/>
    <mergeCell ref="K3:K4"/>
    <mergeCell ref="L3:L4"/>
    <mergeCell ref="M3:M4"/>
    <mergeCell ref="B6:D6"/>
    <mergeCell ref="E28:E29"/>
    <mergeCell ref="I28:I29"/>
    <mergeCell ref="J28:J29"/>
    <mergeCell ref="K28:K29"/>
    <mergeCell ref="L28:L29"/>
    <mergeCell ref="A13:A23"/>
    <mergeCell ref="B23:D23"/>
    <mergeCell ref="A24:A35"/>
    <mergeCell ref="B28:B29"/>
    <mergeCell ref="C28:C29"/>
    <mergeCell ref="D28:D29"/>
    <mergeCell ref="B35:D35"/>
    <mergeCell ref="A7:A12"/>
    <mergeCell ref="B12:D12"/>
    <mergeCell ref="M41:M42"/>
    <mergeCell ref="A36:A43"/>
    <mergeCell ref="F39:F40"/>
    <mergeCell ref="B41:B42"/>
    <mergeCell ref="C41:C42"/>
    <mergeCell ref="D41:D42"/>
    <mergeCell ref="G41:G42"/>
    <mergeCell ref="B43:D43"/>
    <mergeCell ref="H41:H42"/>
    <mergeCell ref="I41:I42"/>
    <mergeCell ref="J41:J42"/>
    <mergeCell ref="K41:K42"/>
    <mergeCell ref="L41:L42"/>
    <mergeCell ref="M28:M29"/>
    <mergeCell ref="K78:L78"/>
    <mergeCell ref="A44:A64"/>
    <mergeCell ref="B44:B49"/>
    <mergeCell ref="B61:B63"/>
    <mergeCell ref="B64:D64"/>
    <mergeCell ref="A65:A68"/>
    <mergeCell ref="B65:B67"/>
    <mergeCell ref="B68:D68"/>
    <mergeCell ref="A69:D69"/>
    <mergeCell ref="A70:A74"/>
    <mergeCell ref="B74:D74"/>
    <mergeCell ref="A75:D75"/>
    <mergeCell ref="K77:L77"/>
  </mergeCells>
  <phoneticPr fontId="147" type="noConversion"/>
  <pageMargins left="0.16" right="0.16" top="0.3" bottom="0.28000000000000003" header="0.22" footer="0.16"/>
  <pageSetup paperSize="9" orientation="landscape" verticalDpi="0" r:id="rId1"/>
  <headerFooter alignWithMargins="0"/>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pageSetUpPr fitToPage="1"/>
  </sheetPr>
  <dimension ref="A1:IE15"/>
  <sheetViews>
    <sheetView workbookViewId="0">
      <selection activeCell="L13" sqref="L13"/>
    </sheetView>
  </sheetViews>
  <sheetFormatPr defaultColWidth="9" defaultRowHeight="14.25"/>
  <cols>
    <col min="1" max="1" width="6.875" style="3419" customWidth="1"/>
    <col min="2" max="2" width="9" style="3419"/>
    <col min="3" max="3" width="11.5" style="3419" customWidth="1"/>
    <col min="4" max="8" width="9" style="3419"/>
    <col min="9" max="9" width="16.625" style="3419" customWidth="1"/>
    <col min="10" max="11" width="9" style="3419"/>
    <col min="12" max="12" width="69.375" style="3419" customWidth="1"/>
    <col min="13" max="18" width="9" style="3419"/>
    <col min="19" max="19" width="10.875" style="3419" customWidth="1"/>
    <col min="20" max="24" width="9" style="3419"/>
    <col min="25" max="43" width="15.625" style="3419" customWidth="1"/>
    <col min="44" max="16384" width="9" style="3419"/>
  </cols>
  <sheetData>
    <row r="1" spans="1:239" s="3364" customFormat="1" ht="33.950000000000003" customHeight="1" thickBot="1">
      <c r="A1" s="4886" t="s">
        <v>3240</v>
      </c>
      <c r="B1" s="4887"/>
      <c r="C1" s="4887"/>
      <c r="D1" s="4887"/>
      <c r="E1" s="4887"/>
      <c r="F1" s="4887"/>
      <c r="G1" s="4887"/>
      <c r="H1" s="4887"/>
      <c r="I1" s="4887"/>
      <c r="J1" s="4887"/>
      <c r="K1" s="4887"/>
      <c r="L1" s="3363"/>
      <c r="R1" s="3365"/>
      <c r="S1" s="3366"/>
      <c r="Y1" s="3367"/>
      <c r="Z1" s="3367"/>
      <c r="AA1" s="3367"/>
      <c r="AB1" s="3368"/>
      <c r="AC1" s="3367"/>
      <c r="AD1" s="3367"/>
      <c r="AE1" s="3367"/>
      <c r="AF1" s="3368"/>
      <c r="AG1" s="3368"/>
      <c r="AH1" s="3367"/>
      <c r="AI1" s="3367"/>
      <c r="AJ1" s="3367"/>
      <c r="AK1" s="3368"/>
      <c r="AL1" s="3368"/>
      <c r="AM1" s="3367"/>
      <c r="AN1" s="3367"/>
      <c r="AO1" s="3367"/>
      <c r="AP1" s="3368"/>
      <c r="AQ1" s="3368"/>
    </row>
    <row r="2" spans="1:239" s="3370" customFormat="1" ht="27" customHeight="1">
      <c r="A2" s="3369" t="s">
        <v>3241</v>
      </c>
      <c r="B2" s="4888"/>
      <c r="C2" s="4888"/>
      <c r="D2" s="4888"/>
      <c r="E2" s="4888"/>
      <c r="F2" s="4888"/>
      <c r="G2" s="4888"/>
      <c r="H2" s="4888"/>
      <c r="I2" s="4888"/>
      <c r="J2" s="4888"/>
      <c r="K2" s="4888"/>
      <c r="L2" s="4888"/>
      <c r="M2" s="4889" t="s">
        <v>3242</v>
      </c>
      <c r="N2" s="4890"/>
      <c r="O2" s="4890"/>
      <c r="P2" s="4890"/>
      <c r="Q2" s="4890"/>
      <c r="R2" s="4890"/>
      <c r="S2" s="4890"/>
      <c r="T2" s="4890"/>
      <c r="U2" s="4890"/>
      <c r="V2" s="4890"/>
      <c r="W2" s="4890"/>
      <c r="X2" s="4890"/>
      <c r="Y2" s="4891" t="s">
        <v>3243</v>
      </c>
      <c r="Z2" s="4892"/>
      <c r="AA2" s="4892"/>
      <c r="AB2" s="4892"/>
      <c r="AC2" s="4892"/>
      <c r="AD2" s="4892"/>
      <c r="AE2" s="4892"/>
      <c r="AF2" s="4892"/>
      <c r="AG2" s="4892"/>
      <c r="AH2" s="4892"/>
      <c r="AI2" s="4892"/>
      <c r="AJ2" s="4892"/>
      <c r="AK2" s="4892"/>
      <c r="AL2" s="4892"/>
      <c r="AM2" s="4892"/>
      <c r="AN2" s="4892"/>
      <c r="AO2" s="4892"/>
      <c r="AP2" s="4892"/>
      <c r="AQ2" s="4893"/>
    </row>
    <row r="3" spans="1:239" s="3370" customFormat="1" ht="30" customHeight="1">
      <c r="A3" s="3371" t="s">
        <v>2745</v>
      </c>
      <c r="B3" s="3372" t="s">
        <v>3244</v>
      </c>
      <c r="C3" s="3372" t="s">
        <v>3245</v>
      </c>
      <c r="D3" s="3372" t="s">
        <v>3246</v>
      </c>
      <c r="E3" s="3373" t="s">
        <v>3247</v>
      </c>
      <c r="F3" s="3372" t="s">
        <v>3248</v>
      </c>
      <c r="G3" s="3372" t="s">
        <v>3249</v>
      </c>
      <c r="H3" s="3372" t="s">
        <v>3250</v>
      </c>
      <c r="I3" s="3374" t="s">
        <v>3251</v>
      </c>
      <c r="J3" s="3375" t="s">
        <v>3252</v>
      </c>
      <c r="K3" s="3375" t="s">
        <v>3253</v>
      </c>
      <c r="L3" s="3376" t="s">
        <v>3106</v>
      </c>
      <c r="M3" s="3377" t="s">
        <v>3254</v>
      </c>
      <c r="N3" s="3374" t="s">
        <v>3255</v>
      </c>
      <c r="O3" s="3374" t="s">
        <v>3256</v>
      </c>
      <c r="P3" s="3374" t="s">
        <v>3257</v>
      </c>
      <c r="Q3" s="3372" t="s">
        <v>3106</v>
      </c>
      <c r="R3" s="3374" t="s">
        <v>3258</v>
      </c>
      <c r="S3" s="3378" t="s">
        <v>3259</v>
      </c>
      <c r="T3" s="3374" t="s">
        <v>3106</v>
      </c>
      <c r="U3" s="3374" t="s">
        <v>3260</v>
      </c>
      <c r="V3" s="3374" t="s">
        <v>3261</v>
      </c>
      <c r="W3" s="3374" t="s">
        <v>3262</v>
      </c>
      <c r="X3" s="3372" t="s">
        <v>3263</v>
      </c>
      <c r="Y3" s="3375" t="s">
        <v>3264</v>
      </c>
      <c r="Z3" s="3375" t="s">
        <v>3265</v>
      </c>
      <c r="AA3" s="3375" t="s">
        <v>3266</v>
      </c>
      <c r="AB3" s="3379" t="s">
        <v>54</v>
      </c>
      <c r="AC3" s="3375" t="s">
        <v>3267</v>
      </c>
      <c r="AD3" s="3375" t="s">
        <v>3268</v>
      </c>
      <c r="AE3" s="3375" t="s">
        <v>3269</v>
      </c>
      <c r="AF3" s="3379" t="s">
        <v>54</v>
      </c>
      <c r="AG3" s="3379" t="s">
        <v>3270</v>
      </c>
      <c r="AH3" s="3375" t="s">
        <v>3271</v>
      </c>
      <c r="AI3" s="3375" t="s">
        <v>3272</v>
      </c>
      <c r="AJ3" s="3375" t="s">
        <v>3273</v>
      </c>
      <c r="AK3" s="3379" t="s">
        <v>54</v>
      </c>
      <c r="AL3" s="3379" t="s">
        <v>3270</v>
      </c>
      <c r="AM3" s="3375" t="s">
        <v>3274</v>
      </c>
      <c r="AN3" s="3375" t="s">
        <v>3275</v>
      </c>
      <c r="AO3" s="3375" t="s">
        <v>3276</v>
      </c>
      <c r="AP3" s="3380" t="s">
        <v>54</v>
      </c>
      <c r="AQ3" s="3381" t="s">
        <v>3270</v>
      </c>
    </row>
    <row r="4" spans="1:239" s="3364" customFormat="1" ht="63.75" customHeight="1">
      <c r="A4" s="3420">
        <v>1</v>
      </c>
      <c r="B4" s="3421" t="s">
        <v>3277</v>
      </c>
      <c r="C4" s="3421" t="s">
        <v>3278</v>
      </c>
      <c r="D4" s="3422" t="s">
        <v>3279</v>
      </c>
      <c r="E4" s="3422">
        <v>375</v>
      </c>
      <c r="F4" s="3422" t="s">
        <v>3280</v>
      </c>
      <c r="G4" s="3422" t="s">
        <v>3281</v>
      </c>
      <c r="H4" s="3422" t="s">
        <v>3282</v>
      </c>
      <c r="I4" s="3423">
        <v>862313</v>
      </c>
      <c r="J4" s="3423">
        <f>I4/365/E4</f>
        <v>6.3000036529680363</v>
      </c>
      <c r="K4" s="3384" t="s">
        <v>3283</v>
      </c>
      <c r="L4" s="3386" t="s">
        <v>3350</v>
      </c>
      <c r="M4" s="3387">
        <v>0.2</v>
      </c>
      <c r="N4" s="3388">
        <f>M4*E4*365</f>
        <v>27375</v>
      </c>
      <c r="O4" s="3388">
        <f>N4/12*6</f>
        <v>13687.5</v>
      </c>
      <c r="P4" s="3388">
        <v>2281</v>
      </c>
      <c r="Q4" s="3388"/>
      <c r="R4" s="3384">
        <v>47</v>
      </c>
      <c r="S4" s="3389">
        <f>R4*E4</f>
        <v>17625</v>
      </c>
      <c r="T4" s="3384" t="s">
        <v>3284</v>
      </c>
      <c r="U4" s="3384" t="s">
        <v>3285</v>
      </c>
      <c r="V4" s="3384" t="s">
        <v>3286</v>
      </c>
      <c r="W4" s="3388">
        <v>100</v>
      </c>
      <c r="X4" s="3388"/>
      <c r="Y4" s="3390">
        <v>0</v>
      </c>
      <c r="Z4" s="3385">
        <f>I4/2</f>
        <v>431156.5</v>
      </c>
      <c r="AA4" s="3385">
        <v>0</v>
      </c>
      <c r="AB4" s="3391">
        <f t="shared" ref="AB4:AB13" si="0">SUM(Y4:AA4)</f>
        <v>431156.5</v>
      </c>
      <c r="AC4" s="3385">
        <v>0</v>
      </c>
      <c r="AD4" s="3385">
        <v>0</v>
      </c>
      <c r="AE4" s="3385">
        <v>0</v>
      </c>
      <c r="AF4" s="3391">
        <f t="shared" ref="AF4:AF13" si="1">SUM(AC4:AE4)</f>
        <v>0</v>
      </c>
      <c r="AG4" s="3391">
        <f t="shared" ref="AG4:AG13" si="2">AB4+AF4</f>
        <v>431156.5</v>
      </c>
      <c r="AH4" s="3385">
        <v>0</v>
      </c>
      <c r="AI4" s="3392">
        <f>I4/2</f>
        <v>431156.5</v>
      </c>
      <c r="AJ4" s="3385">
        <v>0</v>
      </c>
      <c r="AK4" s="3391">
        <f t="shared" ref="AK4:AK13" si="3">SUM(AH4:AJ4)</f>
        <v>431156.5</v>
      </c>
      <c r="AL4" s="3391">
        <f t="shared" ref="AL4:AL13" si="4">AG4+AK4</f>
        <v>862313</v>
      </c>
      <c r="AM4" s="3385">
        <v>0</v>
      </c>
      <c r="AN4" s="3385">
        <v>0</v>
      </c>
      <c r="AO4" s="3385">
        <v>0</v>
      </c>
      <c r="AP4" s="3393">
        <f t="shared" ref="AP4:AP13" si="5">SUM(AM4:AO4)</f>
        <v>0</v>
      </c>
      <c r="AQ4" s="3394">
        <f t="shared" ref="AQ4:AQ13" si="6">AL4+AP4</f>
        <v>862313</v>
      </c>
    </row>
    <row r="5" spans="1:239" s="3364" customFormat="1" ht="63.75" customHeight="1">
      <c r="A5" s="3424">
        <v>2</v>
      </c>
      <c r="B5" s="3425" t="s">
        <v>3287</v>
      </c>
      <c r="C5" s="3425" t="s">
        <v>3288</v>
      </c>
      <c r="D5" s="3426" t="s">
        <v>3289</v>
      </c>
      <c r="E5" s="3426">
        <v>550</v>
      </c>
      <c r="F5" s="3426" t="s">
        <v>3290</v>
      </c>
      <c r="G5" s="3426" t="s">
        <v>3291</v>
      </c>
      <c r="H5" s="3426" t="s">
        <v>3292</v>
      </c>
      <c r="I5" s="3427">
        <v>1304875</v>
      </c>
      <c r="J5" s="3427">
        <f>I5/365/E5</f>
        <v>6.5</v>
      </c>
      <c r="K5" s="3384" t="s">
        <v>3283</v>
      </c>
      <c r="L5" s="3386" t="s">
        <v>3516</v>
      </c>
      <c r="M5" s="3387">
        <v>0.2</v>
      </c>
      <c r="N5" s="3388">
        <f>M5*E5*365</f>
        <v>40150</v>
      </c>
      <c r="O5" s="3388">
        <f>N5/12*6</f>
        <v>20075</v>
      </c>
      <c r="P5" s="3388">
        <v>3346</v>
      </c>
      <c r="Q5" s="3388"/>
      <c r="R5" s="3384">
        <v>47</v>
      </c>
      <c r="S5" s="3389">
        <f>R5*E5</f>
        <v>25850</v>
      </c>
      <c r="T5" s="3384"/>
      <c r="U5" s="3384">
        <v>8.44</v>
      </c>
      <c r="V5" s="3384">
        <v>1.3</v>
      </c>
      <c r="W5" s="3388"/>
      <c r="X5" s="3388"/>
      <c r="Y5" s="3390"/>
      <c r="Z5" s="3385"/>
      <c r="AA5" s="3385"/>
      <c r="AB5" s="3391">
        <f t="shared" si="0"/>
        <v>0</v>
      </c>
      <c r="AC5" s="3385"/>
      <c r="AD5" s="3385"/>
      <c r="AE5" s="3385">
        <f>I5/2</f>
        <v>652437.5</v>
      </c>
      <c r="AF5" s="3391">
        <f t="shared" si="1"/>
        <v>652437.5</v>
      </c>
      <c r="AG5" s="3391">
        <f t="shared" si="2"/>
        <v>652437.5</v>
      </c>
      <c r="AH5" s="3385"/>
      <c r="AI5" s="3392"/>
      <c r="AJ5" s="3385"/>
      <c r="AK5" s="3391">
        <f t="shared" si="3"/>
        <v>0</v>
      </c>
      <c r="AL5" s="3391">
        <f t="shared" si="4"/>
        <v>652437.5</v>
      </c>
      <c r="AM5" s="3385"/>
      <c r="AN5" s="3385"/>
      <c r="AO5" s="3385">
        <f>I5/2</f>
        <v>652437.5</v>
      </c>
      <c r="AP5" s="3391">
        <f t="shared" si="5"/>
        <v>652437.5</v>
      </c>
      <c r="AQ5" s="3395">
        <f t="shared" si="6"/>
        <v>1304875</v>
      </c>
    </row>
    <row r="6" spans="1:239" s="3364" customFormat="1" ht="63.75" customHeight="1">
      <c r="A6" s="3382">
        <v>3</v>
      </c>
      <c r="B6" s="3383" t="s">
        <v>3287</v>
      </c>
      <c r="C6" s="3383" t="s">
        <v>3293</v>
      </c>
      <c r="D6" s="3384" t="s">
        <v>3294</v>
      </c>
      <c r="E6" s="3384"/>
      <c r="F6" s="3384" t="s">
        <v>3290</v>
      </c>
      <c r="G6" s="3384" t="s">
        <v>3291</v>
      </c>
      <c r="H6" s="3384" t="s">
        <v>3292</v>
      </c>
      <c r="I6" s="3385">
        <v>300000</v>
      </c>
      <c r="J6" s="3385"/>
      <c r="K6" s="3384" t="s">
        <v>3283</v>
      </c>
      <c r="L6" s="3386"/>
      <c r="M6" s="3387"/>
      <c r="N6" s="3388"/>
      <c r="O6" s="3388"/>
      <c r="P6" s="3388"/>
      <c r="Q6" s="3388"/>
      <c r="R6" s="3384"/>
      <c r="S6" s="3389"/>
      <c r="T6" s="3384"/>
      <c r="U6" s="3384"/>
      <c r="V6" s="3384"/>
      <c r="W6" s="3388"/>
      <c r="X6" s="3388"/>
      <c r="Y6" s="3390"/>
      <c r="Z6" s="3385"/>
      <c r="AA6" s="3385">
        <f>I6/2</f>
        <v>150000</v>
      </c>
      <c r="AB6" s="3391">
        <f t="shared" si="0"/>
        <v>150000</v>
      </c>
      <c r="AC6" s="3385"/>
      <c r="AD6" s="3385"/>
      <c r="AE6" s="3385">
        <f>I6/2</f>
        <v>150000</v>
      </c>
      <c r="AF6" s="3391">
        <f t="shared" si="1"/>
        <v>150000</v>
      </c>
      <c r="AG6" s="3391">
        <f t="shared" si="2"/>
        <v>300000</v>
      </c>
      <c r="AH6" s="3385"/>
      <c r="AI6" s="3392"/>
      <c r="AJ6" s="3385"/>
      <c r="AK6" s="3391">
        <f t="shared" si="3"/>
        <v>0</v>
      </c>
      <c r="AL6" s="3391">
        <f t="shared" si="4"/>
        <v>300000</v>
      </c>
      <c r="AM6" s="3385"/>
      <c r="AN6" s="3385"/>
      <c r="AO6" s="3385">
        <f>I6/2</f>
        <v>150000</v>
      </c>
      <c r="AP6" s="3391">
        <f t="shared" si="5"/>
        <v>150000</v>
      </c>
      <c r="AQ6" s="3395">
        <f t="shared" si="6"/>
        <v>450000</v>
      </c>
    </row>
    <row r="7" spans="1:239" s="3364" customFormat="1" ht="63.75" customHeight="1">
      <c r="A7" s="3382">
        <v>4</v>
      </c>
      <c r="B7" s="3383" t="s">
        <v>3295</v>
      </c>
      <c r="C7" s="3383" t="s">
        <v>3296</v>
      </c>
      <c r="D7" s="3384" t="s">
        <v>3297</v>
      </c>
      <c r="E7" s="3384">
        <v>425</v>
      </c>
      <c r="F7" s="3384" t="s">
        <v>3298</v>
      </c>
      <c r="G7" s="3384" t="s">
        <v>3299</v>
      </c>
      <c r="H7" s="3384" t="s">
        <v>3300</v>
      </c>
      <c r="I7" s="3385">
        <v>3500000</v>
      </c>
      <c r="J7" s="3385">
        <f>I7/365/E7</f>
        <v>22.5624496373892</v>
      </c>
      <c r="K7" s="3384" t="s">
        <v>3283</v>
      </c>
      <c r="L7" s="3386" t="s">
        <v>3301</v>
      </c>
      <c r="M7" s="3387" t="s">
        <v>3302</v>
      </c>
      <c r="N7" s="3388" t="s">
        <v>3302</v>
      </c>
      <c r="O7" s="3388" t="s">
        <v>3302</v>
      </c>
      <c r="P7" s="3388" t="s">
        <v>3302</v>
      </c>
      <c r="Q7" s="3388"/>
      <c r="R7" s="3384">
        <v>47</v>
      </c>
      <c r="S7" s="3389">
        <f>R7*E7</f>
        <v>19975</v>
      </c>
      <c r="T7" s="3384"/>
      <c r="U7" s="3384" t="s">
        <v>3303</v>
      </c>
      <c r="V7" s="3384" t="s">
        <v>3304</v>
      </c>
      <c r="W7" s="3388"/>
      <c r="X7" s="3388"/>
      <c r="Y7" s="3396">
        <v>0</v>
      </c>
      <c r="Z7" s="3385">
        <v>0</v>
      </c>
      <c r="AA7" s="3385">
        <f>I7/2</f>
        <v>1750000</v>
      </c>
      <c r="AB7" s="3391">
        <f t="shared" si="0"/>
        <v>1750000</v>
      </c>
      <c r="AC7" s="3385">
        <v>0</v>
      </c>
      <c r="AD7" s="3385">
        <v>0</v>
      </c>
      <c r="AE7" s="3385">
        <v>0</v>
      </c>
      <c r="AF7" s="3391">
        <f t="shared" si="1"/>
        <v>0</v>
      </c>
      <c r="AG7" s="3391">
        <f t="shared" si="2"/>
        <v>1750000</v>
      </c>
      <c r="AH7" s="3385">
        <v>0</v>
      </c>
      <c r="AI7" s="3385">
        <v>0</v>
      </c>
      <c r="AJ7" s="3385">
        <v>1750000</v>
      </c>
      <c r="AK7" s="3391">
        <f t="shared" si="3"/>
        <v>1750000</v>
      </c>
      <c r="AL7" s="3391">
        <f t="shared" si="4"/>
        <v>3500000</v>
      </c>
      <c r="AM7" s="3385">
        <v>0</v>
      </c>
      <c r="AN7" s="3385">
        <v>0</v>
      </c>
      <c r="AO7" s="3385">
        <v>0</v>
      </c>
      <c r="AP7" s="3391">
        <f t="shared" si="5"/>
        <v>0</v>
      </c>
      <c r="AQ7" s="3395">
        <f t="shared" si="6"/>
        <v>3500000</v>
      </c>
      <c r="HG7" s="3370"/>
      <c r="HH7" s="3370"/>
      <c r="HI7" s="3370"/>
      <c r="HJ7" s="3370"/>
      <c r="HK7" s="3370"/>
      <c r="HL7" s="3370"/>
      <c r="HM7" s="3370"/>
      <c r="HN7" s="3370"/>
      <c r="HO7" s="3370"/>
      <c r="HP7" s="3370"/>
      <c r="HQ7" s="3370"/>
      <c r="HR7" s="3370"/>
      <c r="HS7" s="3370"/>
      <c r="HT7" s="3370"/>
      <c r="HU7" s="3370"/>
      <c r="HV7" s="3370"/>
      <c r="HW7" s="3370"/>
      <c r="HX7" s="3370"/>
      <c r="HY7" s="3370"/>
      <c r="HZ7" s="3370"/>
      <c r="IA7" s="3370"/>
      <c r="IB7" s="3370"/>
      <c r="IC7" s="3370"/>
      <c r="ID7" s="3370"/>
      <c r="IE7" s="3370"/>
    </row>
    <row r="8" spans="1:239" s="3364" customFormat="1" ht="63.75" customHeight="1">
      <c r="A8" s="3382">
        <v>5</v>
      </c>
      <c r="B8" s="3383" t="s">
        <v>3277</v>
      </c>
      <c r="C8" s="3383" t="s">
        <v>3305</v>
      </c>
      <c r="D8" s="3384" t="s">
        <v>3279</v>
      </c>
      <c r="E8" s="3384">
        <v>212</v>
      </c>
      <c r="F8" s="3384" t="s">
        <v>3306</v>
      </c>
      <c r="G8" s="3384" t="s">
        <v>3307</v>
      </c>
      <c r="H8" s="3384" t="s">
        <v>3308</v>
      </c>
      <c r="I8" s="3385">
        <v>200000</v>
      </c>
      <c r="J8" s="3385">
        <f>I8/365/E8</f>
        <v>2.5846471956577926</v>
      </c>
      <c r="K8" s="3384" t="s">
        <v>3309</v>
      </c>
      <c r="L8" s="3386"/>
      <c r="M8" s="3387" t="s">
        <v>3302</v>
      </c>
      <c r="N8" s="3388" t="s">
        <v>3302</v>
      </c>
      <c r="O8" s="3388" t="s">
        <v>3302</v>
      </c>
      <c r="P8" s="3388" t="s">
        <v>3302</v>
      </c>
      <c r="Q8" s="3384" t="s">
        <v>3310</v>
      </c>
      <c r="R8" s="3384">
        <v>47</v>
      </c>
      <c r="S8" s="3389">
        <f>R8*E8</f>
        <v>9964</v>
      </c>
      <c r="T8" s="3384" t="s">
        <v>3284</v>
      </c>
      <c r="U8" s="3384" t="s">
        <v>3310</v>
      </c>
      <c r="V8" s="3384" t="s">
        <v>3311</v>
      </c>
      <c r="W8" s="3388" t="s">
        <v>3302</v>
      </c>
      <c r="X8" s="3388"/>
      <c r="Y8" s="3396">
        <v>0</v>
      </c>
      <c r="Z8" s="3385">
        <f>I8/4</f>
        <v>50000</v>
      </c>
      <c r="AA8" s="3385">
        <v>0</v>
      </c>
      <c r="AB8" s="3391">
        <f t="shared" si="0"/>
        <v>50000</v>
      </c>
      <c r="AC8" s="3385">
        <v>0</v>
      </c>
      <c r="AD8" s="3385">
        <f>I8/4</f>
        <v>50000</v>
      </c>
      <c r="AE8" s="3385">
        <v>0</v>
      </c>
      <c r="AF8" s="3391">
        <f t="shared" si="1"/>
        <v>50000</v>
      </c>
      <c r="AG8" s="3391">
        <f t="shared" si="2"/>
        <v>100000</v>
      </c>
      <c r="AH8" s="3385">
        <v>0</v>
      </c>
      <c r="AI8" s="3385">
        <f>I8/4</f>
        <v>50000</v>
      </c>
      <c r="AJ8" s="3385">
        <v>0</v>
      </c>
      <c r="AK8" s="3391">
        <f t="shared" si="3"/>
        <v>50000</v>
      </c>
      <c r="AL8" s="3391">
        <f t="shared" si="4"/>
        <v>150000</v>
      </c>
      <c r="AM8" s="3385">
        <v>0</v>
      </c>
      <c r="AN8" s="3385">
        <f>I8/4</f>
        <v>50000</v>
      </c>
      <c r="AO8" s="3385">
        <v>0</v>
      </c>
      <c r="AP8" s="3393">
        <f t="shared" si="5"/>
        <v>50000</v>
      </c>
      <c r="AQ8" s="3394">
        <f t="shared" si="6"/>
        <v>200000</v>
      </c>
    </row>
    <row r="9" spans="1:239" s="3397" customFormat="1" ht="63.75" customHeight="1">
      <c r="A9" s="3382">
        <v>6</v>
      </c>
      <c r="B9" s="3383" t="s">
        <v>3312</v>
      </c>
      <c r="C9" s="3383" t="s">
        <v>3313</v>
      </c>
      <c r="D9" s="3384" t="s">
        <v>2929</v>
      </c>
      <c r="E9" s="3384">
        <v>212</v>
      </c>
      <c r="F9" s="3384" t="s">
        <v>3314</v>
      </c>
      <c r="G9" s="3384" t="s">
        <v>3315</v>
      </c>
      <c r="H9" s="3384" t="s">
        <v>3308</v>
      </c>
      <c r="I9" s="3385">
        <v>270000</v>
      </c>
      <c r="J9" s="3385">
        <f>I9/365/E9</f>
        <v>3.4892737141380201</v>
      </c>
      <c r="K9" s="3384" t="s">
        <v>3309</v>
      </c>
      <c r="L9" s="3386" t="s">
        <v>3316</v>
      </c>
      <c r="M9" s="3387" t="s">
        <v>3302</v>
      </c>
      <c r="N9" s="3388" t="s">
        <v>3302</v>
      </c>
      <c r="O9" s="3388" t="s">
        <v>3302</v>
      </c>
      <c r="P9" s="3388" t="s">
        <v>3302</v>
      </c>
      <c r="Q9" s="3384" t="s">
        <v>3310</v>
      </c>
      <c r="R9" s="3384">
        <v>47</v>
      </c>
      <c r="S9" s="3389">
        <f>R9*E9</f>
        <v>9964</v>
      </c>
      <c r="T9" s="3384" t="s">
        <v>3284</v>
      </c>
      <c r="U9" s="3384" t="s">
        <v>3310</v>
      </c>
      <c r="V9" s="3384" t="s">
        <v>3311</v>
      </c>
      <c r="W9" s="3388" t="s">
        <v>3302</v>
      </c>
      <c r="X9" s="3388"/>
      <c r="Y9" s="3396">
        <v>0</v>
      </c>
      <c r="Z9" s="3385">
        <f>I9/4</f>
        <v>67500</v>
      </c>
      <c r="AA9" s="3385">
        <v>0</v>
      </c>
      <c r="AB9" s="3391">
        <f t="shared" si="0"/>
        <v>67500</v>
      </c>
      <c r="AC9" s="3385">
        <v>0</v>
      </c>
      <c r="AD9" s="3385">
        <f>I9/4</f>
        <v>67500</v>
      </c>
      <c r="AE9" s="3385">
        <v>0</v>
      </c>
      <c r="AF9" s="3391">
        <f t="shared" si="1"/>
        <v>67500</v>
      </c>
      <c r="AG9" s="3391">
        <f t="shared" si="2"/>
        <v>135000</v>
      </c>
      <c r="AH9" s="3385">
        <v>0</v>
      </c>
      <c r="AI9" s="3385">
        <f>I9/4</f>
        <v>67500</v>
      </c>
      <c r="AJ9" s="3385">
        <v>0</v>
      </c>
      <c r="AK9" s="3391">
        <f t="shared" si="3"/>
        <v>67500</v>
      </c>
      <c r="AL9" s="3391">
        <f t="shared" si="4"/>
        <v>202500</v>
      </c>
      <c r="AM9" s="3385">
        <v>0</v>
      </c>
      <c r="AN9" s="3385">
        <f>I9/4</f>
        <v>67500</v>
      </c>
      <c r="AO9" s="3385">
        <v>0</v>
      </c>
      <c r="AP9" s="3391">
        <f t="shared" si="5"/>
        <v>67500</v>
      </c>
      <c r="AQ9" s="3395">
        <f t="shared" si="6"/>
        <v>270000</v>
      </c>
      <c r="AR9" s="3364"/>
      <c r="AS9" s="3364"/>
      <c r="AT9" s="3364"/>
      <c r="AU9" s="3364"/>
      <c r="AV9" s="3364"/>
      <c r="AW9" s="3364"/>
      <c r="AX9" s="3364"/>
      <c r="AY9" s="3364"/>
      <c r="AZ9" s="3364"/>
      <c r="BA9" s="3364"/>
      <c r="BB9" s="3364"/>
      <c r="BC9" s="3364"/>
      <c r="BD9" s="3364"/>
      <c r="BE9" s="3364"/>
      <c r="BF9" s="3364"/>
      <c r="BG9" s="3364"/>
      <c r="BH9" s="3364"/>
      <c r="BI9" s="3364"/>
      <c r="BJ9" s="3364"/>
      <c r="BK9" s="3364"/>
      <c r="BL9" s="3364"/>
      <c r="BM9" s="3364"/>
      <c r="BN9" s="3364"/>
      <c r="BO9" s="3364"/>
      <c r="BP9" s="3364"/>
      <c r="BQ9" s="3364"/>
      <c r="BR9" s="3364"/>
      <c r="BS9" s="3364"/>
      <c r="BT9" s="3364"/>
      <c r="BU9" s="3364"/>
      <c r="BV9" s="3364"/>
      <c r="BW9" s="3364"/>
      <c r="BX9" s="3364"/>
      <c r="BY9" s="3364"/>
      <c r="BZ9" s="3364"/>
      <c r="CA9" s="3364"/>
      <c r="CB9" s="3364"/>
      <c r="CC9" s="3364"/>
      <c r="CD9" s="3364"/>
      <c r="CE9" s="3364"/>
      <c r="CF9" s="3364"/>
      <c r="CG9" s="3364"/>
      <c r="CH9" s="3364"/>
      <c r="CI9" s="3364"/>
      <c r="CJ9" s="3364"/>
      <c r="CK9" s="3364"/>
      <c r="CL9" s="3364"/>
      <c r="CM9" s="3364"/>
      <c r="CN9" s="3364"/>
      <c r="CO9" s="3364"/>
      <c r="CP9" s="3364"/>
      <c r="CQ9" s="3364"/>
      <c r="CR9" s="3364"/>
      <c r="CS9" s="3364"/>
      <c r="CT9" s="3364"/>
      <c r="CU9" s="3364"/>
      <c r="CV9" s="3364"/>
      <c r="CW9" s="3364"/>
      <c r="CX9" s="3364"/>
      <c r="CY9" s="3364"/>
      <c r="CZ9" s="3364"/>
      <c r="DA9" s="3364"/>
      <c r="DB9" s="3364"/>
      <c r="DC9" s="3364"/>
      <c r="DD9" s="3364"/>
      <c r="DE9" s="3364"/>
      <c r="DF9" s="3364"/>
      <c r="DG9" s="3364"/>
      <c r="DH9" s="3364"/>
      <c r="DI9" s="3364"/>
      <c r="DJ9" s="3364"/>
      <c r="DK9" s="3364"/>
      <c r="DL9" s="3364"/>
      <c r="DM9" s="3364"/>
      <c r="DN9" s="3364"/>
      <c r="DO9" s="3364"/>
      <c r="DP9" s="3364"/>
      <c r="DQ9" s="3364"/>
      <c r="DR9" s="3364"/>
      <c r="DS9" s="3364"/>
      <c r="DT9" s="3364"/>
      <c r="DU9" s="3364"/>
      <c r="DV9" s="3364"/>
      <c r="DW9" s="3364"/>
      <c r="DX9" s="3364"/>
      <c r="DY9" s="3364"/>
      <c r="DZ9" s="3364"/>
      <c r="EA9" s="3364"/>
      <c r="EB9" s="3364"/>
      <c r="EC9" s="3364"/>
      <c r="ED9" s="3364"/>
      <c r="EE9" s="3364"/>
      <c r="EF9" s="3364"/>
      <c r="EG9" s="3364"/>
      <c r="EH9" s="3364"/>
      <c r="EI9" s="3364"/>
      <c r="EJ9" s="3364"/>
      <c r="EK9" s="3364"/>
      <c r="EL9" s="3364"/>
      <c r="EM9" s="3364"/>
      <c r="EN9" s="3364"/>
      <c r="EO9" s="3364"/>
      <c r="EP9" s="3364"/>
      <c r="EQ9" s="3364"/>
      <c r="ER9" s="3364"/>
      <c r="ES9" s="3364"/>
      <c r="ET9" s="3364"/>
      <c r="EU9" s="3364"/>
      <c r="EV9" s="3364"/>
      <c r="EW9" s="3364"/>
      <c r="EX9" s="3364"/>
      <c r="EY9" s="3364"/>
      <c r="EZ9" s="3364"/>
      <c r="FA9" s="3364"/>
      <c r="FB9" s="3364"/>
      <c r="FC9" s="3364"/>
      <c r="FD9" s="3364"/>
      <c r="FE9" s="3364"/>
      <c r="FF9" s="3364"/>
      <c r="FG9" s="3364"/>
      <c r="FH9" s="3364"/>
      <c r="FI9" s="3364"/>
      <c r="FJ9" s="3364"/>
      <c r="FK9" s="3364"/>
      <c r="FL9" s="3364"/>
      <c r="FM9" s="3364"/>
      <c r="FN9" s="3364"/>
      <c r="FO9" s="3364"/>
      <c r="FP9" s="3364"/>
      <c r="FQ9" s="3364"/>
      <c r="FR9" s="3364"/>
      <c r="FS9" s="3364"/>
      <c r="FT9" s="3364"/>
      <c r="FU9" s="3364"/>
      <c r="FV9" s="3364"/>
      <c r="FW9" s="3364"/>
      <c r="FX9" s="3364"/>
      <c r="FY9" s="3364"/>
      <c r="FZ9" s="3364"/>
      <c r="GA9" s="3364"/>
      <c r="GB9" s="3364"/>
      <c r="GC9" s="3364"/>
      <c r="GD9" s="3364"/>
      <c r="GE9" s="3364"/>
      <c r="GF9" s="3364"/>
      <c r="GG9" s="3364"/>
      <c r="GH9" s="3364"/>
      <c r="GI9" s="3364"/>
      <c r="GJ9" s="3364"/>
      <c r="GK9" s="3364"/>
      <c r="GL9" s="3364"/>
      <c r="GM9" s="3364"/>
      <c r="GN9" s="3364"/>
      <c r="GO9" s="3364"/>
      <c r="GP9" s="3364"/>
      <c r="GQ9" s="3364"/>
      <c r="GR9" s="3364"/>
      <c r="GS9" s="3364"/>
      <c r="GT9" s="3364"/>
      <c r="GU9" s="3364"/>
      <c r="GV9" s="3364"/>
      <c r="GW9" s="3364"/>
      <c r="GX9" s="3364"/>
      <c r="GY9" s="3364"/>
      <c r="GZ9" s="3364"/>
      <c r="HA9" s="3364"/>
      <c r="HB9" s="3364"/>
      <c r="HC9" s="3364"/>
      <c r="HD9" s="3364"/>
      <c r="HE9" s="3364"/>
      <c r="HF9" s="3364"/>
    </row>
    <row r="10" spans="1:239" s="3370" customFormat="1" ht="63.75" customHeight="1">
      <c r="A10" s="3382">
        <v>7</v>
      </c>
      <c r="B10" s="3383" t="s">
        <v>3312</v>
      </c>
      <c r="C10" s="3383" t="s">
        <v>3317</v>
      </c>
      <c r="D10" s="3384" t="s">
        <v>3318</v>
      </c>
      <c r="E10" s="3384"/>
      <c r="F10" s="3384" t="s">
        <v>3319</v>
      </c>
      <c r="G10" s="3384" t="s">
        <v>3320</v>
      </c>
      <c r="H10" s="3384" t="s">
        <v>3321</v>
      </c>
      <c r="I10" s="3385">
        <v>800000</v>
      </c>
      <c r="J10" s="3385"/>
      <c r="K10" s="3384" t="s">
        <v>3309</v>
      </c>
      <c r="L10" s="3386" t="s">
        <v>3322</v>
      </c>
      <c r="M10" s="3387" t="s">
        <v>3302</v>
      </c>
      <c r="N10" s="3388" t="s">
        <v>3302</v>
      </c>
      <c r="O10" s="3388" t="s">
        <v>3302</v>
      </c>
      <c r="P10" s="3388" t="s">
        <v>3302</v>
      </c>
      <c r="Q10" s="3388"/>
      <c r="R10" s="3388" t="s">
        <v>3302</v>
      </c>
      <c r="S10" s="3388" t="s">
        <v>3302</v>
      </c>
      <c r="T10" s="3388"/>
      <c r="U10" s="3388" t="s">
        <v>3302</v>
      </c>
      <c r="V10" s="3384" t="s">
        <v>3323</v>
      </c>
      <c r="W10" s="3388" t="s">
        <v>3302</v>
      </c>
      <c r="X10" s="3388"/>
      <c r="Y10" s="3396">
        <v>0</v>
      </c>
      <c r="Z10" s="3385">
        <v>0</v>
      </c>
      <c r="AA10" s="3385">
        <f>I10/4</f>
        <v>200000</v>
      </c>
      <c r="AB10" s="3391">
        <f t="shared" si="0"/>
        <v>200000</v>
      </c>
      <c r="AC10" s="3385">
        <v>0</v>
      </c>
      <c r="AD10" s="3385"/>
      <c r="AE10" s="3385">
        <f>I10/4</f>
        <v>200000</v>
      </c>
      <c r="AF10" s="3391">
        <f t="shared" si="1"/>
        <v>200000</v>
      </c>
      <c r="AG10" s="3391">
        <f t="shared" si="2"/>
        <v>400000</v>
      </c>
      <c r="AH10" s="3385">
        <v>0</v>
      </c>
      <c r="AI10" s="3385">
        <v>0</v>
      </c>
      <c r="AJ10" s="3385">
        <f>I10/4</f>
        <v>200000</v>
      </c>
      <c r="AK10" s="3391">
        <f t="shared" si="3"/>
        <v>200000</v>
      </c>
      <c r="AL10" s="3391">
        <f t="shared" si="4"/>
        <v>600000</v>
      </c>
      <c r="AM10" s="3385">
        <v>0</v>
      </c>
      <c r="AN10" s="3385">
        <v>0</v>
      </c>
      <c r="AO10" s="3385">
        <f>I10/4</f>
        <v>200000</v>
      </c>
      <c r="AP10" s="3391">
        <f t="shared" si="5"/>
        <v>200000</v>
      </c>
      <c r="AQ10" s="3395">
        <f t="shared" si="6"/>
        <v>800000</v>
      </c>
      <c r="AR10" s="3364"/>
      <c r="AS10" s="3364"/>
      <c r="AT10" s="3364"/>
      <c r="AU10" s="3364"/>
      <c r="AV10" s="3364"/>
      <c r="AW10" s="3364"/>
      <c r="AX10" s="3364"/>
      <c r="AY10" s="3364"/>
      <c r="AZ10" s="3364"/>
      <c r="BA10" s="3364"/>
      <c r="BB10" s="3364"/>
      <c r="BC10" s="3364"/>
      <c r="BD10" s="3364"/>
      <c r="BE10" s="3364"/>
      <c r="BF10" s="3364"/>
      <c r="BG10" s="3364"/>
      <c r="BH10" s="3364"/>
      <c r="BI10" s="3364"/>
      <c r="BJ10" s="3364"/>
      <c r="BK10" s="3364"/>
      <c r="BL10" s="3364"/>
      <c r="BM10" s="3364"/>
      <c r="BN10" s="3364"/>
      <c r="BO10" s="3364"/>
      <c r="BP10" s="3364"/>
      <c r="BQ10" s="3364"/>
      <c r="BR10" s="3364"/>
      <c r="BS10" s="3364"/>
      <c r="BT10" s="3364"/>
      <c r="BU10" s="3364"/>
      <c r="BV10" s="3364"/>
      <c r="BW10" s="3364"/>
      <c r="BX10" s="3364"/>
      <c r="BY10" s="3364"/>
      <c r="BZ10" s="3364"/>
      <c r="CA10" s="3364"/>
      <c r="CB10" s="3364"/>
      <c r="CC10" s="3364"/>
      <c r="CD10" s="3364"/>
      <c r="CE10" s="3364"/>
      <c r="CF10" s="3364"/>
      <c r="CG10" s="3364"/>
      <c r="CH10" s="3364"/>
      <c r="CI10" s="3364"/>
      <c r="CJ10" s="3364"/>
      <c r="CK10" s="3364"/>
      <c r="CL10" s="3364"/>
      <c r="CM10" s="3364"/>
      <c r="CN10" s="3364"/>
      <c r="CO10" s="3364"/>
      <c r="CP10" s="3364"/>
      <c r="CQ10" s="3364"/>
      <c r="CR10" s="3364"/>
      <c r="CS10" s="3364"/>
      <c r="CT10" s="3364"/>
      <c r="CU10" s="3364"/>
      <c r="CV10" s="3364"/>
      <c r="CW10" s="3364"/>
      <c r="CX10" s="3364"/>
      <c r="CY10" s="3364"/>
      <c r="CZ10" s="3364"/>
      <c r="DA10" s="3364"/>
      <c r="DB10" s="3364"/>
      <c r="DC10" s="3364"/>
      <c r="DD10" s="3364"/>
      <c r="DE10" s="3364"/>
      <c r="DF10" s="3364"/>
      <c r="DG10" s="3364"/>
      <c r="DH10" s="3364"/>
      <c r="DI10" s="3364"/>
      <c r="DJ10" s="3364"/>
      <c r="DK10" s="3364"/>
      <c r="DL10" s="3364"/>
      <c r="DM10" s="3364"/>
      <c r="DN10" s="3364"/>
      <c r="DO10" s="3364"/>
      <c r="DP10" s="3364"/>
      <c r="DQ10" s="3364"/>
      <c r="DR10" s="3364"/>
      <c r="DS10" s="3364"/>
      <c r="DT10" s="3364"/>
      <c r="DU10" s="3364"/>
      <c r="DV10" s="3364"/>
      <c r="DW10" s="3364"/>
      <c r="DX10" s="3364"/>
      <c r="DY10" s="3364"/>
      <c r="DZ10" s="3364"/>
      <c r="EA10" s="3364"/>
      <c r="EB10" s="3364"/>
      <c r="EC10" s="3364"/>
      <c r="ED10" s="3364"/>
      <c r="EE10" s="3364"/>
      <c r="EF10" s="3364"/>
      <c r="EG10" s="3364"/>
      <c r="EH10" s="3364"/>
      <c r="EI10" s="3364"/>
      <c r="EJ10" s="3364"/>
      <c r="EK10" s="3364"/>
      <c r="EL10" s="3364"/>
      <c r="EM10" s="3364"/>
      <c r="EN10" s="3364"/>
      <c r="EO10" s="3364"/>
      <c r="EP10" s="3364"/>
      <c r="EQ10" s="3364"/>
      <c r="ER10" s="3364"/>
      <c r="ES10" s="3364"/>
      <c r="ET10" s="3364"/>
      <c r="EU10" s="3364"/>
      <c r="EV10" s="3364"/>
      <c r="EW10" s="3364"/>
      <c r="EX10" s="3364"/>
      <c r="EY10" s="3364"/>
      <c r="EZ10" s="3364"/>
      <c r="FA10" s="3364"/>
      <c r="FB10" s="3364"/>
      <c r="FC10" s="3364"/>
      <c r="FD10" s="3364"/>
      <c r="FE10" s="3364"/>
      <c r="FF10" s="3364"/>
      <c r="FG10" s="3364"/>
      <c r="FH10" s="3364"/>
      <c r="FI10" s="3364"/>
      <c r="FJ10" s="3364"/>
      <c r="FK10" s="3364"/>
      <c r="FL10" s="3364"/>
      <c r="FM10" s="3364"/>
      <c r="FN10" s="3364"/>
      <c r="FO10" s="3364"/>
      <c r="FP10" s="3364"/>
      <c r="FQ10" s="3364"/>
      <c r="FR10" s="3364"/>
      <c r="FS10" s="3364"/>
      <c r="FT10" s="3364"/>
      <c r="FU10" s="3364"/>
      <c r="FV10" s="3364"/>
      <c r="FW10" s="3364"/>
      <c r="FX10" s="3364"/>
      <c r="FY10" s="3364"/>
      <c r="FZ10" s="3364"/>
      <c r="GA10" s="3364"/>
      <c r="GB10" s="3364"/>
      <c r="GC10" s="3364"/>
      <c r="GD10" s="3364"/>
      <c r="GE10" s="3364"/>
      <c r="GF10" s="3364"/>
      <c r="GG10" s="3364"/>
      <c r="GH10" s="3364"/>
      <c r="GI10" s="3364"/>
      <c r="GJ10" s="3364"/>
      <c r="GK10" s="3364"/>
      <c r="GL10" s="3364"/>
      <c r="GM10" s="3364"/>
      <c r="GN10" s="3364"/>
      <c r="GO10" s="3364"/>
      <c r="GP10" s="3364"/>
      <c r="GQ10" s="3364"/>
      <c r="GR10" s="3364"/>
      <c r="GS10" s="3364"/>
      <c r="GT10" s="3364"/>
      <c r="GU10" s="3364"/>
      <c r="GV10" s="3364"/>
      <c r="GW10" s="3364"/>
      <c r="GX10" s="3364"/>
      <c r="GY10" s="3364"/>
      <c r="GZ10" s="3364"/>
      <c r="HA10" s="3364"/>
      <c r="HB10" s="3364"/>
      <c r="HC10" s="3364"/>
      <c r="HD10" s="3364"/>
      <c r="HE10" s="3364"/>
      <c r="HF10" s="3364"/>
    </row>
    <row r="11" spans="1:239" s="3370" customFormat="1" ht="63.75" customHeight="1">
      <c r="A11" s="3382">
        <v>8</v>
      </c>
      <c r="B11" s="3383" t="s">
        <v>3324</v>
      </c>
      <c r="C11" s="3383" t="s">
        <v>3325</v>
      </c>
      <c r="D11" s="3384" t="s">
        <v>3326</v>
      </c>
      <c r="E11" s="3384">
        <v>417</v>
      </c>
      <c r="F11" s="3384" t="s">
        <v>3327</v>
      </c>
      <c r="G11" s="3384" t="s">
        <v>3328</v>
      </c>
      <c r="H11" s="3384" t="s">
        <v>3329</v>
      </c>
      <c r="I11" s="3385">
        <v>1600000</v>
      </c>
      <c r="J11" s="3385">
        <f>I11/365/E11</f>
        <v>10.512138234617785</v>
      </c>
      <c r="K11" s="3384" t="s">
        <v>3309</v>
      </c>
      <c r="L11" s="3386" t="s">
        <v>3330</v>
      </c>
      <c r="M11" s="3387" t="s">
        <v>3302</v>
      </c>
      <c r="N11" s="3388" t="s">
        <v>3302</v>
      </c>
      <c r="O11" s="3388" t="s">
        <v>3302</v>
      </c>
      <c r="P11" s="3388" t="s">
        <v>3302</v>
      </c>
      <c r="Q11" s="3388"/>
      <c r="R11" s="3384">
        <v>47</v>
      </c>
      <c r="S11" s="3389">
        <f>R11*E11</f>
        <v>19599</v>
      </c>
      <c r="T11" s="3384" t="s">
        <v>3284</v>
      </c>
      <c r="U11" s="3384" t="s">
        <v>3331</v>
      </c>
      <c r="V11" s="3384" t="s">
        <v>3332</v>
      </c>
      <c r="W11" s="3384" t="s">
        <v>3333</v>
      </c>
      <c r="X11" s="3388"/>
      <c r="Y11" s="3396"/>
      <c r="Z11" s="3385">
        <v>0</v>
      </c>
      <c r="AA11" s="3385">
        <f>I11/4</f>
        <v>400000</v>
      </c>
      <c r="AB11" s="3391">
        <f t="shared" si="0"/>
        <v>400000</v>
      </c>
      <c r="AC11" s="3385"/>
      <c r="AD11" s="3385">
        <v>0</v>
      </c>
      <c r="AE11" s="3385">
        <f>I11/4</f>
        <v>400000</v>
      </c>
      <c r="AF11" s="3391">
        <f t="shared" si="1"/>
        <v>400000</v>
      </c>
      <c r="AG11" s="3391">
        <f t="shared" si="2"/>
        <v>800000</v>
      </c>
      <c r="AH11" s="3385"/>
      <c r="AI11" s="3385">
        <v>0</v>
      </c>
      <c r="AJ11" s="3385" t="e">
        <f>#REF!/4</f>
        <v>#REF!</v>
      </c>
      <c r="AK11" s="3391" t="e">
        <f t="shared" si="3"/>
        <v>#REF!</v>
      </c>
      <c r="AL11" s="3391" t="e">
        <f t="shared" si="4"/>
        <v>#REF!</v>
      </c>
      <c r="AM11" s="3385"/>
      <c r="AN11" s="3385">
        <v>0</v>
      </c>
      <c r="AO11" s="3385" t="e">
        <f>#REF!/4</f>
        <v>#REF!</v>
      </c>
      <c r="AP11" s="3391" t="e">
        <f t="shared" si="5"/>
        <v>#REF!</v>
      </c>
      <c r="AQ11" s="3395" t="e">
        <f t="shared" si="6"/>
        <v>#REF!</v>
      </c>
      <c r="AR11" s="3364"/>
      <c r="AS11" s="3364"/>
      <c r="AT11" s="3364"/>
      <c r="AU11" s="3364"/>
      <c r="AV11" s="3364"/>
      <c r="AW11" s="3364"/>
      <c r="AX11" s="3364"/>
      <c r="AY11" s="3364"/>
      <c r="AZ11" s="3364"/>
      <c r="BA11" s="3364"/>
      <c r="BB11" s="3364"/>
      <c r="BC11" s="3364"/>
      <c r="BD11" s="3364"/>
      <c r="BE11" s="3364"/>
      <c r="BF11" s="3364"/>
      <c r="BG11" s="3364"/>
      <c r="BH11" s="3364"/>
      <c r="BI11" s="3364"/>
      <c r="BJ11" s="3364"/>
      <c r="BK11" s="3364"/>
      <c r="BL11" s="3364"/>
      <c r="BM11" s="3364"/>
      <c r="BN11" s="3364"/>
      <c r="BO11" s="3364"/>
      <c r="BP11" s="3364"/>
      <c r="BQ11" s="3364"/>
      <c r="BR11" s="3364"/>
      <c r="BS11" s="3364"/>
      <c r="BT11" s="3364"/>
      <c r="BU11" s="3364"/>
      <c r="BV11" s="3364"/>
      <c r="BW11" s="3364"/>
      <c r="BX11" s="3364"/>
      <c r="BY11" s="3364"/>
      <c r="BZ11" s="3364"/>
      <c r="CA11" s="3364"/>
      <c r="CB11" s="3364"/>
      <c r="CC11" s="3364"/>
      <c r="CD11" s="3364"/>
      <c r="CE11" s="3364"/>
      <c r="CF11" s="3364"/>
      <c r="CG11" s="3364"/>
      <c r="CH11" s="3364"/>
      <c r="CI11" s="3364"/>
      <c r="CJ11" s="3364"/>
      <c r="CK11" s="3364"/>
      <c r="CL11" s="3364"/>
      <c r="CM11" s="3364"/>
      <c r="CN11" s="3364"/>
      <c r="CO11" s="3364"/>
      <c r="CP11" s="3364"/>
      <c r="CQ11" s="3364"/>
      <c r="CR11" s="3364"/>
      <c r="CS11" s="3364"/>
      <c r="CT11" s="3364"/>
      <c r="CU11" s="3364"/>
      <c r="CV11" s="3364"/>
      <c r="CW11" s="3364"/>
      <c r="CX11" s="3364"/>
      <c r="CY11" s="3364"/>
      <c r="CZ11" s="3364"/>
      <c r="DA11" s="3364"/>
      <c r="DB11" s="3364"/>
      <c r="DC11" s="3364"/>
      <c r="DD11" s="3364"/>
      <c r="DE11" s="3364"/>
      <c r="DF11" s="3364"/>
      <c r="DG11" s="3364"/>
      <c r="DH11" s="3364"/>
      <c r="DI11" s="3364"/>
      <c r="DJ11" s="3364"/>
      <c r="DK11" s="3364"/>
      <c r="DL11" s="3364"/>
      <c r="DM11" s="3364"/>
      <c r="DN11" s="3364"/>
      <c r="DO11" s="3364"/>
      <c r="DP11" s="3364"/>
      <c r="DQ11" s="3364"/>
      <c r="DR11" s="3364"/>
      <c r="DS11" s="3364"/>
      <c r="DT11" s="3364"/>
      <c r="DU11" s="3364"/>
      <c r="DV11" s="3364"/>
      <c r="DW11" s="3364"/>
      <c r="DX11" s="3364"/>
      <c r="DY11" s="3364"/>
      <c r="DZ11" s="3364"/>
      <c r="EA11" s="3364"/>
      <c r="EB11" s="3364"/>
      <c r="EC11" s="3364"/>
      <c r="ED11" s="3364"/>
      <c r="EE11" s="3364"/>
      <c r="EF11" s="3364"/>
      <c r="EG11" s="3364"/>
      <c r="EH11" s="3364"/>
      <c r="EI11" s="3364"/>
      <c r="EJ11" s="3364"/>
      <c r="EK11" s="3364"/>
      <c r="EL11" s="3364"/>
      <c r="EM11" s="3364"/>
      <c r="EN11" s="3364"/>
      <c r="EO11" s="3364"/>
      <c r="EP11" s="3364"/>
      <c r="EQ11" s="3364"/>
      <c r="ER11" s="3364"/>
      <c r="ES11" s="3364"/>
      <c r="ET11" s="3364"/>
      <c r="EU11" s="3364"/>
      <c r="EV11" s="3364"/>
      <c r="EW11" s="3364"/>
      <c r="EX11" s="3364"/>
      <c r="EY11" s="3364"/>
      <c r="EZ11" s="3364"/>
      <c r="FA11" s="3364"/>
      <c r="FB11" s="3364"/>
      <c r="FC11" s="3364"/>
      <c r="FD11" s="3364"/>
      <c r="FE11" s="3364"/>
      <c r="FF11" s="3364"/>
      <c r="FG11" s="3364"/>
      <c r="FH11" s="3364"/>
      <c r="FI11" s="3364"/>
      <c r="FJ11" s="3364"/>
      <c r="FK11" s="3364"/>
      <c r="FL11" s="3364"/>
      <c r="FM11" s="3364"/>
      <c r="FN11" s="3364"/>
      <c r="FO11" s="3364"/>
      <c r="FP11" s="3364"/>
      <c r="FQ11" s="3364"/>
      <c r="FR11" s="3364"/>
      <c r="FS11" s="3364"/>
      <c r="FT11" s="3364"/>
      <c r="FU11" s="3364"/>
      <c r="FV11" s="3364"/>
      <c r="FW11" s="3364"/>
      <c r="FX11" s="3364"/>
      <c r="FY11" s="3364"/>
      <c r="FZ11" s="3364"/>
      <c r="GA11" s="3364"/>
      <c r="GB11" s="3364"/>
      <c r="GC11" s="3364"/>
      <c r="GD11" s="3364"/>
      <c r="GE11" s="3364"/>
      <c r="GF11" s="3364"/>
      <c r="GG11" s="3364"/>
      <c r="GH11" s="3364"/>
      <c r="GI11" s="3364"/>
      <c r="GJ11" s="3364"/>
      <c r="GK11" s="3364"/>
      <c r="GL11" s="3364"/>
      <c r="GM11" s="3364"/>
      <c r="GN11" s="3364"/>
      <c r="GO11" s="3364"/>
      <c r="GP11" s="3364"/>
      <c r="GQ11" s="3364"/>
      <c r="GR11" s="3364"/>
      <c r="GS11" s="3364"/>
      <c r="GT11" s="3364"/>
      <c r="GU11" s="3364"/>
      <c r="GV11" s="3364"/>
      <c r="GW11" s="3364"/>
      <c r="GX11" s="3364"/>
      <c r="GY11" s="3364"/>
      <c r="GZ11" s="3364"/>
      <c r="HA11" s="3364"/>
      <c r="HB11" s="3364"/>
      <c r="HC11" s="3364"/>
      <c r="HD11" s="3364"/>
      <c r="HE11" s="3364"/>
      <c r="HF11" s="3364"/>
    </row>
    <row r="12" spans="1:239" s="3370" customFormat="1" ht="93.75" customHeight="1">
      <c r="A12" s="3382">
        <v>9</v>
      </c>
      <c r="B12" s="3383" t="s">
        <v>3334</v>
      </c>
      <c r="C12" s="3383" t="s">
        <v>3335</v>
      </c>
      <c r="D12" s="3384" t="s">
        <v>3318</v>
      </c>
      <c r="E12" s="3384"/>
      <c r="F12" s="3384" t="s">
        <v>3314</v>
      </c>
      <c r="G12" s="3384" t="s">
        <v>3336</v>
      </c>
      <c r="H12" s="3384" t="s">
        <v>3337</v>
      </c>
      <c r="I12" s="3385">
        <v>800000</v>
      </c>
      <c r="J12" s="3385"/>
      <c r="K12" s="3384" t="s">
        <v>3283</v>
      </c>
      <c r="L12" s="3386" t="s">
        <v>3338</v>
      </c>
      <c r="M12" s="3387"/>
      <c r="N12" s="3388"/>
      <c r="O12" s="3388"/>
      <c r="P12" s="3388"/>
      <c r="Q12" s="3388"/>
      <c r="R12" s="3384"/>
      <c r="S12" s="3389">
        <f>R12*E12</f>
        <v>0</v>
      </c>
      <c r="T12" s="3388"/>
      <c r="U12" s="3388"/>
      <c r="V12" s="3384" t="s">
        <v>3339</v>
      </c>
      <c r="W12" s="3388"/>
      <c r="X12" s="3384" t="s">
        <v>3340</v>
      </c>
      <c r="Y12" s="3396">
        <v>0</v>
      </c>
      <c r="Z12" s="3385">
        <v>0</v>
      </c>
      <c r="AA12" s="3385" t="e">
        <f>#REF!/2</f>
        <v>#REF!</v>
      </c>
      <c r="AB12" s="3391" t="e">
        <f t="shared" si="0"/>
        <v>#REF!</v>
      </c>
      <c r="AC12" s="3385">
        <v>0</v>
      </c>
      <c r="AD12" s="3385">
        <v>0</v>
      </c>
      <c r="AE12" s="3385">
        <v>0</v>
      </c>
      <c r="AF12" s="3391">
        <f t="shared" si="1"/>
        <v>0</v>
      </c>
      <c r="AG12" s="3391" t="e">
        <f t="shared" si="2"/>
        <v>#REF!</v>
      </c>
      <c r="AH12" s="3385">
        <v>0</v>
      </c>
      <c r="AI12" s="3385">
        <v>0</v>
      </c>
      <c r="AJ12" s="3385" t="e">
        <f>#REF!/2</f>
        <v>#REF!</v>
      </c>
      <c r="AK12" s="3391" t="e">
        <f t="shared" si="3"/>
        <v>#REF!</v>
      </c>
      <c r="AL12" s="3391" t="e">
        <f t="shared" si="4"/>
        <v>#REF!</v>
      </c>
      <c r="AM12" s="3385">
        <v>0</v>
      </c>
      <c r="AN12" s="3385">
        <v>0</v>
      </c>
      <c r="AO12" s="3385">
        <v>0</v>
      </c>
      <c r="AP12" s="3391">
        <f t="shared" si="5"/>
        <v>0</v>
      </c>
      <c r="AQ12" s="3395" t="e">
        <f t="shared" si="6"/>
        <v>#REF!</v>
      </c>
      <c r="AR12" s="3364"/>
      <c r="AS12" s="3364"/>
      <c r="AT12" s="3364"/>
      <c r="AU12" s="3364"/>
      <c r="AV12" s="3364"/>
      <c r="AW12" s="3364"/>
      <c r="AX12" s="3364"/>
      <c r="AY12" s="3364"/>
      <c r="AZ12" s="3364"/>
      <c r="BA12" s="3364"/>
      <c r="BB12" s="3364"/>
      <c r="BC12" s="3364"/>
      <c r="BD12" s="3364"/>
      <c r="BE12" s="3364"/>
      <c r="BF12" s="3364"/>
      <c r="BG12" s="3364"/>
      <c r="BH12" s="3364"/>
      <c r="BI12" s="3364"/>
      <c r="BJ12" s="3364"/>
      <c r="BK12" s="3364"/>
      <c r="BL12" s="3364"/>
      <c r="BM12" s="3364"/>
      <c r="BN12" s="3364"/>
      <c r="BO12" s="3364"/>
      <c r="BP12" s="3364"/>
      <c r="BQ12" s="3364"/>
      <c r="BR12" s="3364"/>
      <c r="BS12" s="3364"/>
      <c r="BT12" s="3364"/>
      <c r="BU12" s="3364"/>
      <c r="BV12" s="3364"/>
      <c r="BW12" s="3364"/>
      <c r="BX12" s="3364"/>
      <c r="BY12" s="3364"/>
      <c r="BZ12" s="3364"/>
      <c r="CA12" s="3364"/>
      <c r="CB12" s="3364"/>
      <c r="CC12" s="3364"/>
      <c r="CD12" s="3364"/>
      <c r="CE12" s="3364"/>
      <c r="CF12" s="3364"/>
      <c r="CG12" s="3364"/>
      <c r="CH12" s="3364"/>
      <c r="CI12" s="3364"/>
      <c r="CJ12" s="3364"/>
      <c r="CK12" s="3364"/>
      <c r="CL12" s="3364"/>
      <c r="CM12" s="3364"/>
      <c r="CN12" s="3364"/>
      <c r="CO12" s="3364"/>
      <c r="CP12" s="3364"/>
      <c r="CQ12" s="3364"/>
      <c r="CR12" s="3364"/>
      <c r="CS12" s="3364"/>
      <c r="CT12" s="3364"/>
      <c r="CU12" s="3364"/>
      <c r="CV12" s="3364"/>
      <c r="CW12" s="3364"/>
      <c r="CX12" s="3364"/>
      <c r="CY12" s="3364"/>
      <c r="CZ12" s="3364"/>
      <c r="DA12" s="3364"/>
      <c r="DB12" s="3364"/>
      <c r="DC12" s="3364"/>
      <c r="DD12" s="3364"/>
      <c r="DE12" s="3364"/>
      <c r="DF12" s="3364"/>
      <c r="DG12" s="3364"/>
      <c r="DH12" s="3364"/>
      <c r="DI12" s="3364"/>
      <c r="DJ12" s="3364"/>
      <c r="DK12" s="3364"/>
      <c r="DL12" s="3364"/>
      <c r="DM12" s="3364"/>
      <c r="DN12" s="3364"/>
      <c r="DO12" s="3364"/>
      <c r="DP12" s="3364"/>
      <c r="DQ12" s="3364"/>
      <c r="DR12" s="3364"/>
      <c r="DS12" s="3364"/>
      <c r="DT12" s="3364"/>
      <c r="DU12" s="3364"/>
      <c r="DV12" s="3364"/>
      <c r="DW12" s="3364"/>
      <c r="DX12" s="3364"/>
      <c r="DY12" s="3364"/>
      <c r="DZ12" s="3364"/>
      <c r="EA12" s="3364"/>
      <c r="EB12" s="3364"/>
      <c r="EC12" s="3364"/>
      <c r="ED12" s="3364"/>
      <c r="EE12" s="3364"/>
      <c r="EF12" s="3364"/>
      <c r="EG12" s="3364"/>
      <c r="EH12" s="3364"/>
      <c r="EI12" s="3364"/>
      <c r="EJ12" s="3364"/>
      <c r="EK12" s="3364"/>
      <c r="EL12" s="3364"/>
      <c r="EM12" s="3364"/>
      <c r="EN12" s="3364"/>
      <c r="EO12" s="3364"/>
      <c r="EP12" s="3364"/>
      <c r="EQ12" s="3364"/>
      <c r="ER12" s="3364"/>
      <c r="ES12" s="3364"/>
      <c r="ET12" s="3364"/>
      <c r="EU12" s="3364"/>
      <c r="EV12" s="3364"/>
      <c r="EW12" s="3364"/>
      <c r="EX12" s="3364"/>
      <c r="EY12" s="3364"/>
      <c r="EZ12" s="3364"/>
      <c r="FA12" s="3364"/>
      <c r="FB12" s="3364"/>
      <c r="FC12" s="3364"/>
      <c r="FD12" s="3364"/>
      <c r="FE12" s="3364"/>
      <c r="FF12" s="3364"/>
      <c r="FG12" s="3364"/>
      <c r="FH12" s="3364"/>
      <c r="FI12" s="3364"/>
      <c r="FJ12" s="3364"/>
      <c r="FK12" s="3364"/>
      <c r="FL12" s="3364"/>
      <c r="FM12" s="3364"/>
      <c r="FN12" s="3364"/>
      <c r="FO12" s="3364"/>
      <c r="FP12" s="3364"/>
      <c r="FQ12" s="3364"/>
      <c r="FR12" s="3364"/>
      <c r="FS12" s="3364"/>
      <c r="FT12" s="3364"/>
      <c r="FU12" s="3364"/>
      <c r="FV12" s="3364"/>
      <c r="FW12" s="3364"/>
      <c r="FX12" s="3364"/>
      <c r="FY12" s="3364"/>
      <c r="FZ12" s="3364"/>
      <c r="GA12" s="3364"/>
      <c r="GB12" s="3364"/>
      <c r="GC12" s="3364"/>
      <c r="GD12" s="3364"/>
      <c r="GE12" s="3364"/>
      <c r="GF12" s="3364"/>
      <c r="GG12" s="3364"/>
      <c r="GH12" s="3364"/>
      <c r="GI12" s="3364"/>
      <c r="GJ12" s="3364"/>
      <c r="GK12" s="3364"/>
      <c r="GL12" s="3364"/>
      <c r="GM12" s="3364"/>
      <c r="GN12" s="3364"/>
      <c r="GO12" s="3364"/>
      <c r="GP12" s="3364"/>
      <c r="GQ12" s="3364"/>
      <c r="GR12" s="3364"/>
      <c r="GS12" s="3364"/>
      <c r="GT12" s="3364"/>
      <c r="GU12" s="3364"/>
      <c r="GV12" s="3364"/>
      <c r="GW12" s="3364"/>
      <c r="GX12" s="3364"/>
      <c r="GY12" s="3364"/>
      <c r="GZ12" s="3364"/>
      <c r="HA12" s="3364"/>
      <c r="HB12" s="3364"/>
      <c r="HC12" s="3364"/>
      <c r="HD12" s="3364"/>
      <c r="HE12" s="3364"/>
      <c r="HF12" s="3364"/>
    </row>
    <row r="13" spans="1:239" s="3370" customFormat="1" ht="87" customHeight="1">
      <c r="A13" s="3382">
        <v>10</v>
      </c>
      <c r="B13" s="3383" t="s">
        <v>3341</v>
      </c>
      <c r="C13" s="3383" t="s">
        <v>3342</v>
      </c>
      <c r="D13" s="3384" t="s">
        <v>3289</v>
      </c>
      <c r="E13" s="3384">
        <v>425</v>
      </c>
      <c r="F13" s="3384" t="s">
        <v>3343</v>
      </c>
      <c r="G13" s="3384" t="s">
        <v>3344</v>
      </c>
      <c r="H13" s="3384" t="s">
        <v>3345</v>
      </c>
      <c r="I13" s="3385">
        <v>1396125</v>
      </c>
      <c r="J13" s="3385">
        <f>I13/365/E13</f>
        <v>9</v>
      </c>
      <c r="K13" s="3384" t="s">
        <v>3309</v>
      </c>
      <c r="L13" s="3386" t="s">
        <v>3346</v>
      </c>
      <c r="M13" s="3387" t="s">
        <v>3302</v>
      </c>
      <c r="N13" s="3388" t="s">
        <v>3302</v>
      </c>
      <c r="O13" s="3388" t="s">
        <v>3302</v>
      </c>
      <c r="P13" s="3388" t="s">
        <v>3302</v>
      </c>
      <c r="Q13" s="3388"/>
      <c r="R13" s="3384">
        <v>47</v>
      </c>
      <c r="S13" s="3389">
        <f>R13*E13</f>
        <v>19975</v>
      </c>
      <c r="T13" s="3398"/>
      <c r="U13" s="3399" t="s">
        <v>3347</v>
      </c>
      <c r="V13" s="3399" t="s">
        <v>3348</v>
      </c>
      <c r="W13" s="3384" t="s">
        <v>3333</v>
      </c>
      <c r="X13" s="3399" t="s">
        <v>3349</v>
      </c>
      <c r="Y13" s="3400" t="e">
        <f>#REF!/4</f>
        <v>#REF!</v>
      </c>
      <c r="Z13" s="3401"/>
      <c r="AA13" s="3401"/>
      <c r="AB13" s="3391" t="e">
        <f t="shared" si="0"/>
        <v>#REF!</v>
      </c>
      <c r="AC13" s="3401" t="e">
        <f>#REF!/4</f>
        <v>#REF!</v>
      </c>
      <c r="AD13" s="3401"/>
      <c r="AE13" s="3401"/>
      <c r="AF13" s="3391" t="e">
        <f t="shared" si="1"/>
        <v>#REF!</v>
      </c>
      <c r="AG13" s="3391" t="e">
        <f t="shared" si="2"/>
        <v>#REF!</v>
      </c>
      <c r="AH13" s="3402" t="e">
        <f>#REF!/4</f>
        <v>#REF!</v>
      </c>
      <c r="AI13" s="3401"/>
      <c r="AJ13" s="3401"/>
      <c r="AK13" s="3391" t="e">
        <f t="shared" si="3"/>
        <v>#REF!</v>
      </c>
      <c r="AL13" s="3391" t="e">
        <f t="shared" si="4"/>
        <v>#REF!</v>
      </c>
      <c r="AM13" s="3401" t="e">
        <f>#REF!/4</f>
        <v>#REF!</v>
      </c>
      <c r="AN13" s="3401"/>
      <c r="AO13" s="3401"/>
      <c r="AP13" s="3391" t="e">
        <f t="shared" si="5"/>
        <v>#REF!</v>
      </c>
      <c r="AQ13" s="3395" t="e">
        <f t="shared" si="6"/>
        <v>#REF!</v>
      </c>
      <c r="AR13" s="3364"/>
      <c r="AS13" s="3364"/>
      <c r="AT13" s="3364"/>
      <c r="AU13" s="3364"/>
      <c r="AV13" s="3364"/>
      <c r="AW13" s="3364"/>
      <c r="AX13" s="3364"/>
      <c r="AY13" s="3364"/>
      <c r="AZ13" s="3364"/>
      <c r="BA13" s="3364"/>
      <c r="BB13" s="3364"/>
      <c r="BC13" s="3364"/>
      <c r="BD13" s="3364"/>
      <c r="BE13" s="3364"/>
      <c r="BF13" s="3364"/>
      <c r="BG13" s="3364"/>
      <c r="BH13" s="3364"/>
      <c r="BI13" s="3364"/>
      <c r="BJ13" s="3364"/>
      <c r="BK13" s="3364"/>
      <c r="BL13" s="3364"/>
      <c r="BM13" s="3364"/>
      <c r="BN13" s="3364"/>
      <c r="BO13" s="3364"/>
      <c r="BP13" s="3364"/>
      <c r="BQ13" s="3364"/>
      <c r="BR13" s="3364"/>
      <c r="BS13" s="3364"/>
      <c r="BT13" s="3364"/>
      <c r="BU13" s="3364"/>
      <c r="BV13" s="3364"/>
      <c r="BW13" s="3364"/>
      <c r="BX13" s="3364"/>
      <c r="BY13" s="3364"/>
      <c r="BZ13" s="3364"/>
      <c r="CA13" s="3364"/>
      <c r="CB13" s="3364"/>
      <c r="CC13" s="3364"/>
      <c r="CD13" s="3364"/>
      <c r="CE13" s="3364"/>
      <c r="CF13" s="3364"/>
      <c r="CG13" s="3364"/>
      <c r="CH13" s="3364"/>
      <c r="CI13" s="3364"/>
      <c r="CJ13" s="3364"/>
      <c r="CK13" s="3364"/>
      <c r="CL13" s="3364"/>
      <c r="CM13" s="3364"/>
      <c r="CN13" s="3364"/>
      <c r="CO13" s="3364"/>
      <c r="CP13" s="3364"/>
      <c r="CQ13" s="3364"/>
      <c r="CR13" s="3364"/>
      <c r="CS13" s="3364"/>
      <c r="CT13" s="3364"/>
      <c r="CU13" s="3364"/>
      <c r="CV13" s="3364"/>
      <c r="CW13" s="3364"/>
      <c r="CX13" s="3364"/>
      <c r="CY13" s="3364"/>
      <c r="CZ13" s="3364"/>
      <c r="DA13" s="3364"/>
      <c r="DB13" s="3364"/>
      <c r="DC13" s="3364"/>
      <c r="DD13" s="3364"/>
      <c r="DE13" s="3364"/>
      <c r="DF13" s="3364"/>
      <c r="DG13" s="3364"/>
      <c r="DH13" s="3364"/>
      <c r="DI13" s="3364"/>
      <c r="DJ13" s="3364"/>
      <c r="DK13" s="3364"/>
      <c r="DL13" s="3364"/>
      <c r="DM13" s="3364"/>
      <c r="DN13" s="3364"/>
      <c r="DO13" s="3364"/>
      <c r="DP13" s="3364"/>
      <c r="DQ13" s="3364"/>
      <c r="DR13" s="3364"/>
      <c r="DS13" s="3364"/>
      <c r="DT13" s="3364"/>
      <c r="DU13" s="3364"/>
      <c r="DV13" s="3364"/>
      <c r="DW13" s="3364"/>
      <c r="DX13" s="3364"/>
      <c r="DY13" s="3364"/>
      <c r="DZ13" s="3364"/>
      <c r="EA13" s="3364"/>
      <c r="EB13" s="3364"/>
      <c r="EC13" s="3364"/>
      <c r="ED13" s="3364"/>
      <c r="EE13" s="3364"/>
      <c r="EF13" s="3364"/>
      <c r="EG13" s="3364"/>
      <c r="EH13" s="3364"/>
      <c r="EI13" s="3364"/>
      <c r="EJ13" s="3364"/>
      <c r="EK13" s="3364"/>
      <c r="EL13" s="3364"/>
      <c r="EM13" s="3364"/>
      <c r="EN13" s="3364"/>
      <c r="EO13" s="3364"/>
      <c r="EP13" s="3364"/>
      <c r="EQ13" s="3364"/>
      <c r="ER13" s="3364"/>
      <c r="ES13" s="3364"/>
      <c r="ET13" s="3364"/>
      <c r="EU13" s="3364"/>
      <c r="EV13" s="3364"/>
      <c r="EW13" s="3364"/>
      <c r="EX13" s="3364"/>
      <c r="EY13" s="3364"/>
      <c r="EZ13" s="3364"/>
      <c r="FA13" s="3364"/>
      <c r="FB13" s="3364"/>
      <c r="FC13" s="3364"/>
      <c r="FD13" s="3364"/>
      <c r="FE13" s="3364"/>
      <c r="FF13" s="3364"/>
      <c r="FG13" s="3364"/>
      <c r="FH13" s="3364"/>
      <c r="FI13" s="3364"/>
      <c r="FJ13" s="3364"/>
      <c r="FK13" s="3364"/>
      <c r="FL13" s="3364"/>
      <c r="FM13" s="3364"/>
      <c r="FN13" s="3364"/>
      <c r="FO13" s="3364"/>
      <c r="FP13" s="3364"/>
      <c r="FQ13" s="3364"/>
      <c r="FR13" s="3364"/>
      <c r="FS13" s="3364"/>
      <c r="FT13" s="3364"/>
      <c r="FU13" s="3364"/>
      <c r="FV13" s="3364"/>
      <c r="FW13" s="3364"/>
      <c r="FX13" s="3364"/>
      <c r="FY13" s="3364"/>
      <c r="FZ13" s="3364"/>
      <c r="GA13" s="3364"/>
      <c r="GB13" s="3364"/>
      <c r="GC13" s="3364"/>
      <c r="GD13" s="3364"/>
      <c r="GE13" s="3364"/>
      <c r="GF13" s="3364"/>
      <c r="GG13" s="3364"/>
      <c r="GH13" s="3364"/>
      <c r="GI13" s="3364"/>
      <c r="GJ13" s="3364"/>
      <c r="GK13" s="3364"/>
      <c r="GL13" s="3364"/>
      <c r="GM13" s="3364"/>
      <c r="GN13" s="3364"/>
      <c r="GO13" s="3364"/>
      <c r="GP13" s="3364"/>
      <c r="GQ13" s="3364"/>
      <c r="GR13" s="3364"/>
      <c r="GS13" s="3364"/>
      <c r="GT13" s="3364"/>
      <c r="GU13" s="3364"/>
      <c r="GV13" s="3364"/>
      <c r="GW13" s="3364"/>
      <c r="GX13" s="3364"/>
      <c r="GY13" s="3364"/>
      <c r="GZ13" s="3364"/>
      <c r="HA13" s="3364"/>
      <c r="HB13" s="3364"/>
      <c r="HC13" s="3364"/>
      <c r="HD13" s="3364"/>
      <c r="HE13" s="3364"/>
      <c r="HF13" s="3364"/>
    </row>
    <row r="14" spans="1:239" s="3370" customFormat="1" ht="30" customHeight="1">
      <c r="A14" s="3403"/>
      <c r="B14" s="3383"/>
      <c r="C14" s="3383"/>
      <c r="D14" s="3384"/>
      <c r="E14" s="3384"/>
      <c r="F14" s="3384"/>
      <c r="G14" s="3384"/>
      <c r="H14" s="3384"/>
      <c r="I14" s="3385"/>
      <c r="J14" s="3385"/>
      <c r="K14" s="3384"/>
      <c r="L14" s="3386"/>
      <c r="M14" s="3404"/>
      <c r="N14" s="3398"/>
      <c r="O14" s="3398"/>
      <c r="P14" s="3398"/>
      <c r="Q14" s="3398"/>
      <c r="R14" s="3399"/>
      <c r="S14" s="3405"/>
      <c r="T14" s="3398"/>
      <c r="U14" s="3398"/>
      <c r="V14" s="3399"/>
      <c r="W14" s="3398"/>
      <c r="X14" s="3399"/>
      <c r="Y14" s="3400"/>
      <c r="Z14" s="3401"/>
      <c r="AA14" s="3401"/>
      <c r="AB14" s="3406"/>
      <c r="AC14" s="3401"/>
      <c r="AD14" s="3401"/>
      <c r="AE14" s="3401"/>
      <c r="AF14" s="3406"/>
      <c r="AG14" s="3406"/>
      <c r="AH14" s="3401"/>
      <c r="AI14" s="3401"/>
      <c r="AJ14" s="3401"/>
      <c r="AK14" s="3406"/>
      <c r="AL14" s="3406"/>
      <c r="AM14" s="3401"/>
      <c r="AN14" s="3401"/>
      <c r="AO14" s="3401"/>
      <c r="AP14" s="3406"/>
      <c r="AQ14" s="3407"/>
      <c r="AR14" s="3364"/>
      <c r="AS14" s="3364"/>
      <c r="AT14" s="3364"/>
      <c r="AU14" s="3364"/>
      <c r="AV14" s="3364"/>
      <c r="AW14" s="3364"/>
      <c r="AX14" s="3364"/>
      <c r="AY14" s="3364"/>
      <c r="AZ14" s="3364"/>
      <c r="BA14" s="3364"/>
      <c r="BB14" s="3364"/>
      <c r="BC14" s="3364"/>
      <c r="BD14" s="3364"/>
      <c r="BE14" s="3364"/>
      <c r="BF14" s="3364"/>
      <c r="BG14" s="3364"/>
      <c r="BH14" s="3364"/>
      <c r="BI14" s="3364"/>
      <c r="BJ14" s="3364"/>
      <c r="BK14" s="3364"/>
      <c r="BL14" s="3364"/>
      <c r="BM14" s="3364"/>
      <c r="BN14" s="3364"/>
      <c r="BO14" s="3364"/>
      <c r="BP14" s="3364"/>
      <c r="BQ14" s="3364"/>
      <c r="BR14" s="3364"/>
      <c r="BS14" s="3364"/>
      <c r="BT14" s="3364"/>
      <c r="BU14" s="3364"/>
      <c r="BV14" s="3364"/>
      <c r="BW14" s="3364"/>
      <c r="BX14" s="3364"/>
      <c r="BY14" s="3364"/>
      <c r="BZ14" s="3364"/>
      <c r="CA14" s="3364"/>
      <c r="CB14" s="3364"/>
      <c r="CC14" s="3364"/>
      <c r="CD14" s="3364"/>
      <c r="CE14" s="3364"/>
      <c r="CF14" s="3364"/>
      <c r="CG14" s="3364"/>
      <c r="CH14" s="3364"/>
      <c r="CI14" s="3364"/>
      <c r="CJ14" s="3364"/>
      <c r="CK14" s="3364"/>
      <c r="CL14" s="3364"/>
      <c r="CM14" s="3364"/>
      <c r="CN14" s="3364"/>
      <c r="CO14" s="3364"/>
      <c r="CP14" s="3364"/>
      <c r="CQ14" s="3364"/>
      <c r="CR14" s="3364"/>
      <c r="CS14" s="3364"/>
      <c r="CT14" s="3364"/>
      <c r="CU14" s="3364"/>
      <c r="CV14" s="3364"/>
      <c r="CW14" s="3364"/>
      <c r="CX14" s="3364"/>
      <c r="CY14" s="3364"/>
      <c r="CZ14" s="3364"/>
      <c r="DA14" s="3364"/>
      <c r="DB14" s="3364"/>
      <c r="DC14" s="3364"/>
      <c r="DD14" s="3364"/>
      <c r="DE14" s="3364"/>
      <c r="DF14" s="3364"/>
      <c r="DG14" s="3364"/>
      <c r="DH14" s="3364"/>
      <c r="DI14" s="3364"/>
      <c r="DJ14" s="3364"/>
      <c r="DK14" s="3364"/>
      <c r="DL14" s="3364"/>
      <c r="DM14" s="3364"/>
      <c r="DN14" s="3364"/>
      <c r="DO14" s="3364"/>
      <c r="DP14" s="3364"/>
      <c r="DQ14" s="3364"/>
      <c r="DR14" s="3364"/>
      <c r="DS14" s="3364"/>
      <c r="DT14" s="3364"/>
      <c r="DU14" s="3364"/>
      <c r="DV14" s="3364"/>
      <c r="DW14" s="3364"/>
      <c r="DX14" s="3364"/>
      <c r="DY14" s="3364"/>
      <c r="DZ14" s="3364"/>
      <c r="EA14" s="3364"/>
      <c r="EB14" s="3364"/>
      <c r="EC14" s="3364"/>
      <c r="ED14" s="3364"/>
      <c r="EE14" s="3364"/>
      <c r="EF14" s="3364"/>
      <c r="EG14" s="3364"/>
      <c r="EH14" s="3364"/>
      <c r="EI14" s="3364"/>
      <c r="EJ14" s="3364"/>
      <c r="EK14" s="3364"/>
      <c r="EL14" s="3364"/>
      <c r="EM14" s="3364"/>
      <c r="EN14" s="3364"/>
      <c r="EO14" s="3364"/>
      <c r="EP14" s="3364"/>
      <c r="EQ14" s="3364"/>
      <c r="ER14" s="3364"/>
      <c r="ES14" s="3364"/>
      <c r="ET14" s="3364"/>
      <c r="EU14" s="3364"/>
      <c r="EV14" s="3364"/>
      <c r="EW14" s="3364"/>
      <c r="EX14" s="3364"/>
      <c r="EY14" s="3364"/>
      <c r="EZ14" s="3364"/>
      <c r="FA14" s="3364"/>
      <c r="FB14" s="3364"/>
      <c r="FC14" s="3364"/>
      <c r="FD14" s="3364"/>
      <c r="FE14" s="3364"/>
      <c r="FF14" s="3364"/>
      <c r="FG14" s="3364"/>
      <c r="FH14" s="3364"/>
      <c r="FI14" s="3364"/>
      <c r="FJ14" s="3364"/>
      <c r="FK14" s="3364"/>
      <c r="FL14" s="3364"/>
      <c r="FM14" s="3364"/>
      <c r="FN14" s="3364"/>
      <c r="FO14" s="3364"/>
      <c r="FP14" s="3364"/>
      <c r="FQ14" s="3364"/>
      <c r="FR14" s="3364"/>
      <c r="FS14" s="3364"/>
      <c r="FT14" s="3364"/>
      <c r="FU14" s="3364"/>
      <c r="FV14" s="3364"/>
      <c r="FW14" s="3364"/>
      <c r="FX14" s="3364"/>
      <c r="FY14" s="3364"/>
      <c r="FZ14" s="3364"/>
      <c r="GA14" s="3364"/>
      <c r="GB14" s="3364"/>
      <c r="GC14" s="3364"/>
      <c r="GD14" s="3364"/>
      <c r="GE14" s="3364"/>
      <c r="GF14" s="3364"/>
      <c r="GG14" s="3364"/>
      <c r="GH14" s="3364"/>
      <c r="GI14" s="3364"/>
      <c r="GJ14" s="3364"/>
      <c r="GK14" s="3364"/>
      <c r="GL14" s="3364"/>
      <c r="GM14" s="3364"/>
      <c r="GN14" s="3364"/>
      <c r="GO14" s="3364"/>
      <c r="GP14" s="3364"/>
      <c r="GQ14" s="3364"/>
      <c r="GR14" s="3364"/>
      <c r="GS14" s="3364"/>
      <c r="GT14" s="3364"/>
      <c r="GU14" s="3364"/>
      <c r="GV14" s="3364"/>
      <c r="GW14" s="3364"/>
      <c r="GX14" s="3364"/>
      <c r="GY14" s="3364"/>
      <c r="GZ14" s="3364"/>
      <c r="HA14" s="3364"/>
      <c r="HB14" s="3364"/>
      <c r="HC14" s="3364"/>
      <c r="HD14" s="3364"/>
      <c r="HE14" s="3364"/>
      <c r="HF14" s="3364"/>
    </row>
    <row r="15" spans="1:239" s="3370" customFormat="1" ht="30" customHeight="1" thickBot="1">
      <c r="A15" s="3408">
        <f>COUNT(A4:A13)</f>
        <v>10</v>
      </c>
      <c r="B15" s="3409"/>
      <c r="C15" s="3409"/>
      <c r="D15" s="3409"/>
      <c r="E15" s="3409">
        <f>SUM(E4:E14)</f>
        <v>2616</v>
      </c>
      <c r="F15" s="3409"/>
      <c r="G15" s="3409"/>
      <c r="H15" s="3409"/>
      <c r="I15" s="3410">
        <f>SUM(I4:I14)</f>
        <v>11033313</v>
      </c>
      <c r="J15" s="3411"/>
      <c r="K15" s="3409"/>
      <c r="L15" s="3412"/>
      <c r="M15" s="3413"/>
      <c r="N15" s="3414"/>
      <c r="O15" s="3414"/>
      <c r="P15" s="3414"/>
      <c r="Q15" s="3414"/>
      <c r="R15" s="3415"/>
      <c r="S15" s="3416"/>
      <c r="T15" s="3414"/>
      <c r="U15" s="3414"/>
      <c r="V15" s="3414"/>
      <c r="W15" s="3414"/>
      <c r="X15" s="3414"/>
      <c r="Y15" s="3417" t="e">
        <f t="shared" ref="Y15:AQ15" si="7">SUM(Y4:Y14)</f>
        <v>#REF!</v>
      </c>
      <c r="Z15" s="3411">
        <f t="shared" si="7"/>
        <v>548656.5</v>
      </c>
      <c r="AA15" s="3411" t="e">
        <f t="shared" si="7"/>
        <v>#REF!</v>
      </c>
      <c r="AB15" s="3411" t="e">
        <f t="shared" si="7"/>
        <v>#REF!</v>
      </c>
      <c r="AC15" s="3411" t="e">
        <f t="shared" si="7"/>
        <v>#REF!</v>
      </c>
      <c r="AD15" s="3411">
        <f t="shared" si="7"/>
        <v>117500</v>
      </c>
      <c r="AE15" s="3411">
        <f t="shared" si="7"/>
        <v>1402437.5</v>
      </c>
      <c r="AF15" s="3411" t="e">
        <f t="shared" si="7"/>
        <v>#REF!</v>
      </c>
      <c r="AG15" s="3411" t="e">
        <f t="shared" si="7"/>
        <v>#REF!</v>
      </c>
      <c r="AH15" s="3411" t="e">
        <f t="shared" si="7"/>
        <v>#REF!</v>
      </c>
      <c r="AI15" s="3411">
        <f t="shared" si="7"/>
        <v>548656.5</v>
      </c>
      <c r="AJ15" s="3411" t="e">
        <f t="shared" si="7"/>
        <v>#REF!</v>
      </c>
      <c r="AK15" s="3411" t="e">
        <f t="shared" si="7"/>
        <v>#REF!</v>
      </c>
      <c r="AL15" s="3411" t="e">
        <f t="shared" si="7"/>
        <v>#REF!</v>
      </c>
      <c r="AM15" s="3411" t="e">
        <f t="shared" si="7"/>
        <v>#REF!</v>
      </c>
      <c r="AN15" s="3411">
        <f t="shared" si="7"/>
        <v>117500</v>
      </c>
      <c r="AO15" s="3411" t="e">
        <f t="shared" si="7"/>
        <v>#REF!</v>
      </c>
      <c r="AP15" s="3411" t="e">
        <f t="shared" si="7"/>
        <v>#REF!</v>
      </c>
      <c r="AQ15" s="3418" t="e">
        <f t="shared" si="7"/>
        <v>#REF!</v>
      </c>
      <c r="AR15" s="3364"/>
      <c r="AS15" s="3364"/>
      <c r="AT15" s="3364"/>
      <c r="AU15" s="3364"/>
      <c r="AV15" s="3364"/>
      <c r="AW15" s="3364"/>
      <c r="AX15" s="3364"/>
      <c r="AY15" s="3364"/>
      <c r="AZ15" s="3364"/>
      <c r="BA15" s="3364"/>
      <c r="BB15" s="3364"/>
      <c r="BC15" s="3364"/>
      <c r="BD15" s="3364"/>
      <c r="BE15" s="3364"/>
      <c r="BF15" s="3364"/>
      <c r="BG15" s="3364"/>
      <c r="BH15" s="3364"/>
      <c r="BI15" s="3364"/>
      <c r="BJ15" s="3364"/>
      <c r="BK15" s="3364"/>
      <c r="BL15" s="3364"/>
      <c r="BM15" s="3364"/>
      <c r="BN15" s="3364"/>
      <c r="BO15" s="3364"/>
      <c r="BP15" s="3364"/>
      <c r="BQ15" s="3364"/>
      <c r="BR15" s="3364"/>
      <c r="BS15" s="3364"/>
      <c r="BT15" s="3364"/>
      <c r="BU15" s="3364"/>
      <c r="BV15" s="3364"/>
      <c r="BW15" s="3364"/>
      <c r="BX15" s="3364"/>
      <c r="BY15" s="3364"/>
      <c r="BZ15" s="3364"/>
      <c r="CA15" s="3364"/>
      <c r="CB15" s="3364"/>
      <c r="CC15" s="3364"/>
      <c r="CD15" s="3364"/>
      <c r="CE15" s="3364"/>
      <c r="CF15" s="3364"/>
      <c r="CG15" s="3364"/>
      <c r="CH15" s="3364"/>
      <c r="CI15" s="3364"/>
      <c r="CJ15" s="3364"/>
      <c r="CK15" s="3364"/>
      <c r="CL15" s="3364"/>
      <c r="CM15" s="3364"/>
      <c r="CN15" s="3364"/>
      <c r="CO15" s="3364"/>
      <c r="CP15" s="3364"/>
      <c r="CQ15" s="3364"/>
      <c r="CR15" s="3364"/>
      <c r="CS15" s="3364"/>
      <c r="CT15" s="3364"/>
      <c r="CU15" s="3364"/>
      <c r="CV15" s="3364"/>
      <c r="CW15" s="3364"/>
      <c r="CX15" s="3364"/>
      <c r="CY15" s="3364"/>
      <c r="CZ15" s="3364"/>
      <c r="DA15" s="3364"/>
      <c r="DB15" s="3364"/>
      <c r="DC15" s="3364"/>
      <c r="DD15" s="3364"/>
      <c r="DE15" s="3364"/>
      <c r="DF15" s="3364"/>
      <c r="DG15" s="3364"/>
      <c r="DH15" s="3364"/>
      <c r="DI15" s="3364"/>
      <c r="DJ15" s="3364"/>
      <c r="DK15" s="3364"/>
      <c r="DL15" s="3364"/>
      <c r="DM15" s="3364"/>
      <c r="DN15" s="3364"/>
      <c r="DO15" s="3364"/>
      <c r="DP15" s="3364"/>
      <c r="DQ15" s="3364"/>
      <c r="DR15" s="3364"/>
      <c r="DS15" s="3364"/>
      <c r="DT15" s="3364"/>
      <c r="DU15" s="3364"/>
      <c r="DV15" s="3364"/>
      <c r="DW15" s="3364"/>
      <c r="DX15" s="3364"/>
      <c r="DY15" s="3364"/>
      <c r="DZ15" s="3364"/>
      <c r="EA15" s="3364"/>
      <c r="EB15" s="3364"/>
      <c r="EC15" s="3364"/>
      <c r="ED15" s="3364"/>
      <c r="EE15" s="3364"/>
      <c r="EF15" s="3364"/>
      <c r="EG15" s="3364"/>
      <c r="EH15" s="3364"/>
      <c r="EI15" s="3364"/>
      <c r="EJ15" s="3364"/>
      <c r="EK15" s="3364"/>
      <c r="EL15" s="3364"/>
      <c r="EM15" s="3364"/>
      <c r="EN15" s="3364"/>
      <c r="EO15" s="3364"/>
      <c r="EP15" s="3364"/>
      <c r="EQ15" s="3364"/>
      <c r="ER15" s="3364"/>
      <c r="ES15" s="3364"/>
      <c r="ET15" s="3364"/>
      <c r="EU15" s="3364"/>
      <c r="EV15" s="3364"/>
      <c r="EW15" s="3364"/>
      <c r="EX15" s="3364"/>
      <c r="EY15" s="3364"/>
      <c r="EZ15" s="3364"/>
      <c r="FA15" s="3364"/>
      <c r="FB15" s="3364"/>
      <c r="FC15" s="3364"/>
      <c r="FD15" s="3364"/>
      <c r="FE15" s="3364"/>
      <c r="FF15" s="3364"/>
      <c r="FG15" s="3364"/>
      <c r="FH15" s="3364"/>
      <c r="FI15" s="3364"/>
      <c r="FJ15" s="3364"/>
      <c r="FK15" s="3364"/>
      <c r="FL15" s="3364"/>
      <c r="FM15" s="3364"/>
      <c r="FN15" s="3364"/>
      <c r="FO15" s="3364"/>
      <c r="FP15" s="3364"/>
      <c r="FQ15" s="3364"/>
      <c r="FR15" s="3364"/>
      <c r="FS15" s="3364"/>
      <c r="FT15" s="3364"/>
      <c r="FU15" s="3364"/>
      <c r="FV15" s="3364"/>
      <c r="FW15" s="3364"/>
      <c r="FX15" s="3364"/>
      <c r="FY15" s="3364"/>
      <c r="FZ15" s="3364"/>
      <c r="GA15" s="3364"/>
      <c r="GB15" s="3364"/>
      <c r="GC15" s="3364"/>
      <c r="GD15" s="3364"/>
      <c r="GE15" s="3364"/>
      <c r="GF15" s="3364"/>
      <c r="GG15" s="3364"/>
      <c r="GH15" s="3364"/>
      <c r="GI15" s="3364"/>
      <c r="GJ15" s="3364"/>
      <c r="GK15" s="3364"/>
      <c r="GL15" s="3364"/>
      <c r="GM15" s="3364"/>
      <c r="GN15" s="3364"/>
      <c r="GO15" s="3364"/>
      <c r="GP15" s="3364"/>
      <c r="GQ15" s="3364"/>
      <c r="GR15" s="3364"/>
      <c r="GS15" s="3364"/>
      <c r="GT15" s="3364"/>
      <c r="GU15" s="3364"/>
      <c r="GV15" s="3364"/>
      <c r="GW15" s="3364"/>
      <c r="GX15" s="3364"/>
      <c r="GY15" s="3364"/>
      <c r="GZ15" s="3364"/>
      <c r="HA15" s="3364"/>
      <c r="HB15" s="3364"/>
      <c r="HC15" s="3364"/>
      <c r="HD15" s="3364"/>
      <c r="HE15" s="3364"/>
      <c r="HF15" s="3364"/>
    </row>
  </sheetData>
  <mergeCells count="4">
    <mergeCell ref="A1:K1"/>
    <mergeCell ref="B2:L2"/>
    <mergeCell ref="M2:X2"/>
    <mergeCell ref="Y2:AQ2"/>
  </mergeCells>
  <phoneticPr fontId="147" type="noConversion"/>
  <pageMargins left="0.7" right="0.7" top="0.75" bottom="0.75" header="0.3" footer="0.3"/>
  <pageSetup paperSize="9" scale="75" fitToHeight="0" orientation="landscape" r:id="rId1"/>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FF00"/>
    <pageSetUpPr fitToPage="1"/>
  </sheetPr>
  <dimension ref="A1:BO174"/>
  <sheetViews>
    <sheetView zoomScaleSheetLayoutView="90" workbookViewId="0">
      <pane xSplit="3" ySplit="5" topLeftCell="L31" activePane="bottomRight" state="frozen"/>
      <selection activeCell="C50" sqref="C50"/>
      <selection pane="topRight" activeCell="C50" sqref="C50"/>
      <selection pane="bottomLeft" activeCell="C50" sqref="C50"/>
      <selection pane="bottomRight" activeCell="B37" sqref="B37"/>
    </sheetView>
  </sheetViews>
  <sheetFormatPr defaultColWidth="13.625" defaultRowHeight="12.75"/>
  <cols>
    <col min="1" max="1" width="20.875" style="3719" customWidth="1"/>
    <col min="2" max="2" width="12" style="3515" customWidth="1"/>
    <col min="3" max="3" width="12.625" style="3515" customWidth="1"/>
    <col min="4" max="4" width="9.125" style="3720" customWidth="1"/>
    <col min="5" max="5" width="15" style="3515" bestFit="1" customWidth="1"/>
    <col min="6" max="10" width="8.875" style="3515" customWidth="1"/>
    <col min="11" max="12" width="12.375" style="3721" customWidth="1"/>
    <col min="13" max="13" width="8.625" style="3515" customWidth="1"/>
    <col min="14" max="14" width="11.875" style="3515" customWidth="1"/>
    <col min="15" max="15" width="8.5" style="3515" customWidth="1"/>
    <col min="16" max="17" width="10.875" style="3515" customWidth="1"/>
    <col min="18" max="19" width="12.5" style="3515" customWidth="1"/>
    <col min="20" max="20" width="12.125" style="3515" customWidth="1"/>
    <col min="21" max="21" width="7.5" style="3515" customWidth="1"/>
    <col min="22" max="22" width="6.375" style="3515" customWidth="1"/>
    <col min="23" max="30" width="6.625" style="3515" customWidth="1"/>
    <col min="31" max="31" width="8" style="3515" customWidth="1"/>
    <col min="32" max="34" width="7.125" style="3515" customWidth="1"/>
    <col min="35" max="39" width="8" style="3515" customWidth="1"/>
    <col min="40" max="40" width="13.625" style="3514"/>
    <col min="41" max="41" width="11.625" style="3514" customWidth="1"/>
    <col min="42" max="42" width="9.625" style="3514" customWidth="1"/>
    <col min="43" max="67" width="13.625" style="3514"/>
    <col min="68" max="16384" width="13.625" style="3515"/>
  </cols>
  <sheetData>
    <row r="1" spans="1:67" ht="19.5" thickBot="1">
      <c r="A1" s="3508" t="s">
        <v>1618</v>
      </c>
      <c r="B1" s="3509"/>
      <c r="C1" s="3510"/>
      <c r="D1" s="3511"/>
      <c r="E1" s="3510"/>
      <c r="F1" s="3510"/>
      <c r="G1" s="3510"/>
      <c r="H1" s="3510"/>
      <c r="I1" s="3510"/>
      <c r="J1" s="3510"/>
      <c r="K1" s="3512"/>
      <c r="L1" s="3512"/>
      <c r="M1" s="3510"/>
      <c r="N1" s="3510"/>
      <c r="O1" s="3510"/>
      <c r="P1" s="3510"/>
      <c r="Q1" s="3510"/>
      <c r="R1" s="3510"/>
      <c r="S1" s="3510"/>
      <c r="T1" s="3510"/>
      <c r="U1" s="3510"/>
      <c r="V1" s="3510"/>
      <c r="W1" s="3510"/>
      <c r="X1" s="3510"/>
      <c r="Y1" s="3510"/>
      <c r="Z1" s="3510"/>
      <c r="AA1" s="3510"/>
      <c r="AB1" s="3510"/>
      <c r="AC1" s="3510"/>
      <c r="AD1" s="3510"/>
      <c r="AE1" s="3510"/>
      <c r="AF1" s="3510"/>
      <c r="AG1" s="3510"/>
      <c r="AH1" s="3510"/>
      <c r="AI1" s="3510"/>
      <c r="AJ1" s="3510"/>
      <c r="AK1" s="3510"/>
      <c r="AL1" s="3510"/>
      <c r="AM1" s="3510"/>
      <c r="AN1" s="3513"/>
      <c r="AO1" s="3513"/>
      <c r="AP1" s="3513"/>
      <c r="AQ1" s="3513"/>
      <c r="AR1" s="3513"/>
    </row>
    <row r="2" spans="1:67" s="3523" customFormat="1" ht="15.75" thickBot="1">
      <c r="A2" s="3516" t="s">
        <v>1619</v>
      </c>
      <c r="B2" s="3517">
        <f>[3]项目基本情况!D3</f>
        <v>44845</v>
      </c>
      <c r="C2" s="3518"/>
      <c r="D2" s="3519"/>
      <c r="E2" s="3518"/>
      <c r="F2" s="3518"/>
      <c r="G2" s="3518"/>
      <c r="H2" s="3518"/>
      <c r="I2" s="3518"/>
      <c r="J2" s="3518"/>
      <c r="K2" s="3520"/>
      <c r="L2" s="3520"/>
      <c r="M2" s="3518"/>
      <c r="N2" s="3518"/>
      <c r="O2" s="3518"/>
      <c r="P2" s="3518"/>
      <c r="Q2" s="3518"/>
      <c r="R2" s="3518"/>
      <c r="S2" s="3518"/>
      <c r="T2" s="3518"/>
      <c r="U2" s="3518"/>
      <c r="V2" s="3518"/>
      <c r="W2" s="3518"/>
      <c r="X2" s="3518"/>
      <c r="Y2" s="3518"/>
      <c r="Z2" s="3518"/>
      <c r="AA2" s="3518"/>
      <c r="AB2" s="3518"/>
      <c r="AC2" s="3518"/>
      <c r="AD2" s="3518"/>
      <c r="AE2" s="3518"/>
      <c r="AF2" s="3518"/>
      <c r="AG2" s="3518"/>
      <c r="AH2" s="3518"/>
      <c r="AI2" s="3518"/>
      <c r="AJ2" s="3518"/>
      <c r="AK2" s="3518"/>
      <c r="AL2" s="3518"/>
      <c r="AM2" s="3518"/>
      <c r="AN2" s="3521"/>
      <c r="AO2" s="3521"/>
      <c r="AP2" s="3521"/>
      <c r="AQ2" s="3521"/>
      <c r="AR2" s="3521"/>
      <c r="AS2" s="3522"/>
      <c r="AT2" s="3522"/>
      <c r="AU2" s="3522"/>
      <c r="AV2" s="3522"/>
      <c r="AW2" s="3522"/>
      <c r="AX2" s="3522"/>
      <c r="AY2" s="3522"/>
      <c r="AZ2" s="3522"/>
      <c r="BA2" s="3522"/>
      <c r="BB2" s="3522"/>
      <c r="BC2" s="3522"/>
      <c r="BD2" s="3522"/>
      <c r="BE2" s="3522"/>
      <c r="BF2" s="3522"/>
      <c r="BG2" s="3522"/>
      <c r="BH2" s="3522"/>
      <c r="BI2" s="3522"/>
      <c r="BJ2" s="3522"/>
      <c r="BK2" s="3522"/>
      <c r="BL2" s="3522"/>
      <c r="BM2" s="3522"/>
      <c r="BN2" s="3522"/>
      <c r="BO2" s="3522"/>
    </row>
    <row r="3" spans="1:67" s="3523" customFormat="1" ht="15" thickBot="1">
      <c r="A3" s="3524"/>
      <c r="B3" s="3525"/>
      <c r="C3" s="3518"/>
      <c r="D3" s="3519"/>
      <c r="E3" s="3518"/>
      <c r="F3" s="3518"/>
      <c r="G3" s="3518"/>
      <c r="H3" s="3518"/>
      <c r="I3" s="3518"/>
      <c r="J3" s="3518"/>
      <c r="K3" s="3520"/>
      <c r="L3" s="3520"/>
      <c r="M3" s="3518"/>
      <c r="N3" s="3518"/>
      <c r="O3" s="3518"/>
      <c r="P3" s="3518"/>
      <c r="Q3" s="3518"/>
      <c r="R3" s="3518"/>
      <c r="S3" s="3518"/>
      <c r="T3" s="3518"/>
      <c r="U3" s="3518"/>
      <c r="V3" s="3518"/>
      <c r="W3" s="3518"/>
      <c r="X3" s="3518"/>
      <c r="Y3" s="3518"/>
      <c r="Z3" s="3518"/>
      <c r="AA3" s="3518"/>
      <c r="AB3" s="3518"/>
      <c r="AC3" s="3518"/>
      <c r="AD3" s="3518"/>
      <c r="AE3" s="3518"/>
      <c r="AF3" s="3518"/>
      <c r="AG3" s="3518"/>
      <c r="AH3" s="3518"/>
      <c r="AI3" s="3518"/>
      <c r="AJ3" s="3518"/>
      <c r="AK3" s="3518"/>
      <c r="AL3" s="3518"/>
      <c r="AM3" s="3518"/>
      <c r="AN3" s="3521"/>
      <c r="AO3" s="3521"/>
      <c r="AP3" s="3521"/>
      <c r="AQ3" s="3521"/>
      <c r="AR3" s="3521"/>
      <c r="AS3" s="3522"/>
      <c r="AT3" s="3522"/>
      <c r="AU3" s="3522"/>
      <c r="AV3" s="3522"/>
      <c r="AW3" s="3522"/>
      <c r="AX3" s="3522"/>
      <c r="AY3" s="3522"/>
      <c r="AZ3" s="3522"/>
      <c r="BA3" s="3522"/>
      <c r="BB3" s="3522"/>
      <c r="BC3" s="3522"/>
      <c r="BD3" s="3522"/>
      <c r="BE3" s="3522"/>
      <c r="BF3" s="3522"/>
      <c r="BG3" s="3522"/>
      <c r="BH3" s="3522"/>
      <c r="BI3" s="3522"/>
      <c r="BJ3" s="3522"/>
      <c r="BK3" s="3522"/>
      <c r="BL3" s="3522"/>
      <c r="BM3" s="3522"/>
      <c r="BN3" s="3522"/>
      <c r="BO3" s="3522"/>
    </row>
    <row r="4" spans="1:67" s="3523" customFormat="1" ht="15" thickBot="1">
      <c r="A4" s="3526" t="s">
        <v>3460</v>
      </c>
      <c r="B4" s="3527"/>
      <c r="C4" s="3528"/>
      <c r="D4" s="3529"/>
      <c r="E4" s="3528" t="s">
        <v>3461</v>
      </c>
      <c r="F4" s="3528"/>
      <c r="G4" s="3528"/>
      <c r="H4" s="3528"/>
      <c r="I4" s="3528"/>
      <c r="J4" s="3530"/>
      <c r="K4" s="3531"/>
      <c r="L4" s="3532"/>
      <c r="M4" s="3528"/>
      <c r="N4" s="3528" t="s">
        <v>3462</v>
      </c>
      <c r="O4" s="3528"/>
      <c r="P4" s="3528"/>
      <c r="Q4" s="3528"/>
      <c r="R4" s="3528"/>
      <c r="S4" s="3530"/>
      <c r="T4" s="3533" t="str">
        <f>'[3]数据-汇总表'!I17</f>
        <v>按面积比例</v>
      </c>
      <c r="U4" s="3527" t="s">
        <v>3463</v>
      </c>
      <c r="V4" s="3528"/>
      <c r="W4" s="3528"/>
      <c r="X4" s="3528"/>
      <c r="Y4" s="3530"/>
      <c r="Z4" s="3534" t="s">
        <v>3464</v>
      </c>
      <c r="AA4" s="3534"/>
      <c r="AB4" s="3534"/>
      <c r="AC4" s="3534"/>
      <c r="AD4" s="3534"/>
      <c r="AE4" s="3535" t="s">
        <v>3465</v>
      </c>
      <c r="AF4" s="3534"/>
      <c r="AG4" s="3536"/>
      <c r="AH4" s="3527"/>
      <c r="AI4" s="3528"/>
      <c r="AJ4" s="3528"/>
      <c r="AK4" s="3528"/>
      <c r="AL4" s="3528"/>
      <c r="AM4" s="3530"/>
      <c r="AN4" s="3521"/>
      <c r="AO4" s="3521"/>
      <c r="AP4" s="3521"/>
      <c r="AQ4" s="3521"/>
      <c r="AR4" s="3521"/>
      <c r="AS4" s="3522"/>
      <c r="AT4" s="3522"/>
      <c r="AU4" s="3522"/>
      <c r="AV4" s="3522"/>
      <c r="AW4" s="3522"/>
      <c r="AX4" s="3522"/>
      <c r="AY4" s="3522"/>
      <c r="AZ4" s="3522"/>
      <c r="BA4" s="3522"/>
      <c r="BB4" s="3522"/>
      <c r="BC4" s="3522"/>
      <c r="BD4" s="3522"/>
      <c r="BE4" s="3522"/>
      <c r="BF4" s="3522"/>
      <c r="BG4" s="3522"/>
      <c r="BH4" s="3522"/>
      <c r="BI4" s="3522"/>
      <c r="BJ4" s="3522"/>
      <c r="BK4" s="3522"/>
      <c r="BL4" s="3522"/>
      <c r="BM4" s="3522"/>
      <c r="BN4" s="3522"/>
      <c r="BO4" s="3522"/>
    </row>
    <row r="5" spans="1:67" s="3562" customFormat="1" ht="42">
      <c r="A5" s="3537" t="s">
        <v>3466</v>
      </c>
      <c r="B5" s="3538" t="s">
        <v>3467</v>
      </c>
      <c r="C5" s="3539" t="s">
        <v>1627</v>
      </c>
      <c r="D5" s="3540" t="s">
        <v>1630</v>
      </c>
      <c r="E5" s="3541" t="s">
        <v>1633</v>
      </c>
      <c r="F5" s="3542" t="s">
        <v>1635</v>
      </c>
      <c r="G5" s="3541" t="s">
        <v>1637</v>
      </c>
      <c r="H5" s="3541" t="s">
        <v>1639</v>
      </c>
      <c r="I5" s="3541" t="s">
        <v>1641</v>
      </c>
      <c r="J5" s="3543" t="s">
        <v>1643</v>
      </c>
      <c r="K5" s="3544" t="s">
        <v>3468</v>
      </c>
      <c r="L5" s="3545" t="s">
        <v>3469</v>
      </c>
      <c r="M5" s="3546" t="s">
        <v>3470</v>
      </c>
      <c r="N5" s="3547" t="s">
        <v>3471</v>
      </c>
      <c r="O5" s="3545" t="s">
        <v>3472</v>
      </c>
      <c r="P5" s="3548" t="s">
        <v>3473</v>
      </c>
      <c r="Q5" s="3549" t="s">
        <v>1660</v>
      </c>
      <c r="R5" s="3550" t="s">
        <v>3474</v>
      </c>
      <c r="S5" s="3551" t="s">
        <v>3475</v>
      </c>
      <c r="T5" s="3552" t="s">
        <v>3476</v>
      </c>
      <c r="U5" s="3553" t="s">
        <v>3477</v>
      </c>
      <c r="V5" s="3541" t="s">
        <v>1664</v>
      </c>
      <c r="W5" s="3541" t="s">
        <v>1666</v>
      </c>
      <c r="X5" s="3554"/>
      <c r="Y5" s="3555" t="s">
        <v>2327</v>
      </c>
      <c r="Z5" s="3556" t="s">
        <v>3477</v>
      </c>
      <c r="AA5" s="3541" t="s">
        <v>1664</v>
      </c>
      <c r="AB5" s="3541" t="s">
        <v>1666</v>
      </c>
      <c r="AC5" s="3554"/>
      <c r="AD5" s="3554" t="s">
        <v>2327</v>
      </c>
      <c r="AE5" s="3553" t="s">
        <v>1668</v>
      </c>
      <c r="AF5" s="3541" t="s">
        <v>3478</v>
      </c>
      <c r="AG5" s="3555" t="s">
        <v>3479</v>
      </c>
      <c r="AH5" s="3553" t="s">
        <v>3480</v>
      </c>
      <c r="AI5" s="3556" t="s">
        <v>1687</v>
      </c>
      <c r="AJ5" s="3556" t="s">
        <v>1689</v>
      </c>
      <c r="AK5" s="3541" t="s">
        <v>1691</v>
      </c>
      <c r="AL5" s="3541" t="s">
        <v>1693</v>
      </c>
      <c r="AM5" s="3555" t="s">
        <v>1695</v>
      </c>
      <c r="AN5" s="3557" t="s">
        <v>3481</v>
      </c>
      <c r="AO5" s="3558" t="s">
        <v>3482</v>
      </c>
      <c r="AP5" s="3559" t="s">
        <v>3483</v>
      </c>
      <c r="AQ5" s="3560" t="s">
        <v>3484</v>
      </c>
      <c r="AR5" s="3560" t="s">
        <v>3485</v>
      </c>
      <c r="AS5" s="3561"/>
      <c r="AT5" s="3561"/>
      <c r="AU5" s="3561"/>
      <c r="AV5" s="3561"/>
      <c r="AW5" s="3561"/>
      <c r="AX5" s="3561"/>
      <c r="AY5" s="3561"/>
      <c r="AZ5" s="3561"/>
      <c r="BA5" s="3561"/>
      <c r="BB5" s="3561"/>
      <c r="BC5" s="3561"/>
      <c r="BD5" s="3561"/>
      <c r="BE5" s="3561"/>
      <c r="BF5" s="3561"/>
      <c r="BG5" s="3561"/>
      <c r="BH5" s="3561"/>
      <c r="BI5" s="3561"/>
      <c r="BJ5" s="3561"/>
      <c r="BK5" s="3561"/>
      <c r="BL5" s="3561"/>
      <c r="BM5" s="3561"/>
      <c r="BN5" s="3561"/>
      <c r="BO5" s="3561"/>
    </row>
    <row r="6" spans="1:67" s="3523" customFormat="1" ht="14.25">
      <c r="A6" s="3563" t="str">
        <f>'[3]数据-汇总表'!C19</f>
        <v>办公</v>
      </c>
      <c r="B6" s="3564" t="str">
        <f>IF(A6=0,"","经营性")</f>
        <v>经营性</v>
      </c>
      <c r="C6" s="3565" t="s">
        <v>2929</v>
      </c>
      <c r="D6" s="3566" t="e">
        <f>SUMIF([3]项目基本情况!C$12:I$12,C6,[3]项目基本情况!C$14:I$14)</f>
        <v>#VALUE!</v>
      </c>
      <c r="E6" s="3567" t="e">
        <f>IF(B6="","",SUMIF([3]项目基本情况!C$12:I$12,C6,[3]项目基本情况!C$13:I$13))</f>
        <v>#VALUE!</v>
      </c>
      <c r="F6" s="3568" t="e">
        <f>SUMIF([3]项目基本情况!C$12:I$12,C6,[3]项目基本情况!C$15:I$15)</f>
        <v>#VALUE!</v>
      </c>
      <c r="G6" s="3569">
        <f>IF(ISERROR(ROUND(POWER(1+H6,D6-F6)*(POWER(1+H6,F6)-1)/(POWER(1+H6,D6)-1),3)),0,ROUND(POWER(1+H6,D6-F6)*(POWER(1+H6,F6)-1)/(POWER(1+H6,D6)-1),3))</f>
        <v>0</v>
      </c>
      <c r="H6" s="3570">
        <v>4.4999999999999998E-2</v>
      </c>
      <c r="I6" s="3570">
        <v>0.05</v>
      </c>
      <c r="J6" s="3571">
        <v>5.5E-2</v>
      </c>
      <c r="K6" s="3572" t="e">
        <f>SUMIF('[3]数据-汇总表'!C$19:C$33,A6,'[3]数据-汇总表'!E$19:E$33)</f>
        <v>#VALUE!</v>
      </c>
      <c r="L6" s="3573">
        <v>5500</v>
      </c>
      <c r="M6" s="3574" t="e">
        <f t="shared" ref="M6:M14" si="0">ROUND(K6*L6/10000,0)</f>
        <v>#VALUE!</v>
      </c>
      <c r="N6" s="3575">
        <f>AVERAGE(N20:N21)</f>
        <v>0.75</v>
      </c>
      <c r="O6" s="3574" t="str">
        <f>IF($N$5="成新度","——",ROUND(M6*N6,0))</f>
        <v>——</v>
      </c>
      <c r="P6" s="3576" t="str">
        <f>IF($N$5="成新度","——",M6-O6)</f>
        <v>——</v>
      </c>
      <c r="Q6" s="3577">
        <v>0.15</v>
      </c>
      <c r="R6" s="3578" t="e">
        <f>SUMIF('[3]数据-汇总表'!C$19:C$33,A6,'[3]数据-汇总表'!R$19:R$27)</f>
        <v>#VALUE!</v>
      </c>
      <c r="S6" s="3579" t="e">
        <f>IF('[3]数据-汇总表'!$I$17="按面积比例",SUMIF('[3]数据-汇总表'!C$19:C$33,A6,'[3]数据-汇总表'!K$19:K$33),SUMIF('[3]数据-汇总表'!C$19:C$33,A6,'[3]数据-汇总表'!N$19:N$33))</f>
        <v>#VALUE!</v>
      </c>
      <c r="T6" s="3580" t="e">
        <f>ROUND($L$14*S6/10000,0)</f>
        <v>#VALUE!</v>
      </c>
      <c r="U6" s="3581">
        <f>[3]案例!I6</f>
        <v>5.4</v>
      </c>
      <c r="V6" s="3582">
        <v>0.03</v>
      </c>
      <c r="W6" s="3582">
        <v>0.1</v>
      </c>
      <c r="X6" s="3583"/>
      <c r="Y6" s="3584">
        <f>N6</f>
        <v>0.75</v>
      </c>
      <c r="Z6" s="3585"/>
      <c r="AA6" s="3571"/>
      <c r="AB6" s="3571"/>
      <c r="AC6" s="3583"/>
      <c r="AD6" s="3586"/>
      <c r="AE6" s="3587" t="e">
        <f ca="1">IF(AN6="",0,SUMIF(INDIRECT("'"&amp;AN6&amp;"'"&amp;"!E:E"),$AE$5,INDIRECT("'"&amp;AN6&amp;"'"&amp;"!F:F")))</f>
        <v>#REF!</v>
      </c>
      <c r="AF6" s="3588"/>
      <c r="AG6" s="3589">
        <f>IF(AF6="",0,AE6-AF6)</f>
        <v>0</v>
      </c>
      <c r="AH6" s="3590"/>
      <c r="AI6" s="3591">
        <v>365</v>
      </c>
      <c r="AJ6" s="3588"/>
      <c r="AK6" s="3592">
        <v>1.4999999999999999E-2</v>
      </c>
      <c r="AL6" s="3593">
        <v>1.5E-3</v>
      </c>
      <c r="AM6" s="3594">
        <v>0.01</v>
      </c>
      <c r="AN6" s="3595" t="s">
        <v>3486</v>
      </c>
      <c r="AO6" s="3596" t="e">
        <f ca="1">SUMIF(INDIRECT("'"&amp;AN6&amp;"'"&amp;"!A:A"),"总价",INDIRECT("'"&amp;AN6&amp;"'"&amp;"!B:B"))</f>
        <v>#REF!</v>
      </c>
      <c r="AP6" s="3597">
        <f>IF(C6="住宅",K6*L6,0)</f>
        <v>0</v>
      </c>
      <c r="AQ6" s="3596" t="e">
        <f>ROUND($L$14*$N$14*S6/10000,0)</f>
        <v>#VALUE!</v>
      </c>
      <c r="AR6" s="3596" t="e">
        <f>ROUND($L$14*(1-$N$14)*S6/10000,0)</f>
        <v>#VALUE!</v>
      </c>
      <c r="AS6" s="3522"/>
      <c r="AT6" s="3522"/>
      <c r="AU6" s="3522"/>
      <c r="AV6" s="3522"/>
      <c r="AW6" s="3522"/>
      <c r="AX6" s="3522"/>
      <c r="AY6" s="3522"/>
      <c r="AZ6" s="3522"/>
      <c r="BA6" s="3522"/>
      <c r="BB6" s="3522"/>
      <c r="BC6" s="3522"/>
      <c r="BD6" s="3522"/>
      <c r="BE6" s="3522"/>
      <c r="BF6" s="3522"/>
      <c r="BG6" s="3522"/>
      <c r="BH6" s="3522"/>
      <c r="BI6" s="3522"/>
      <c r="BJ6" s="3522"/>
      <c r="BK6" s="3522"/>
      <c r="BL6" s="3522"/>
      <c r="BM6" s="3522"/>
      <c r="BN6" s="3522"/>
      <c r="BO6" s="3522"/>
    </row>
    <row r="7" spans="1:67" s="3523" customFormat="1" ht="14.25">
      <c r="A7" s="3563">
        <f>'[3]数据-汇总表'!C20</f>
        <v>0</v>
      </c>
      <c r="B7" s="3564" t="str">
        <f t="shared" ref="B7:B13" si="1">IF(A7=0,"","经营性")</f>
        <v/>
      </c>
      <c r="C7" s="3565"/>
      <c r="D7" s="3566" t="e">
        <f>SUMIF([3]项目基本情况!C$12:I$12,C7,[3]项目基本情况!C$14:I$14)</f>
        <v>#VALUE!</v>
      </c>
      <c r="E7" s="3567" t="str">
        <f>IF(B7="","",SUMIF([3]项目基本情况!C$12:I$12,C7,[3]项目基本情况!C$13:I$13))</f>
        <v/>
      </c>
      <c r="F7" s="3568" t="e">
        <f>SUMIF([3]项目基本情况!C$12:I$12,C7,[3]项目基本情况!C$15:I$15)</f>
        <v>#VALUE!</v>
      </c>
      <c r="G7" s="3569">
        <f t="shared" ref="G7:G11" si="2">IF(ISERROR(ROUND(POWER(1+H7,D7-F7)*(POWER(1+H7,F7)-1)/(POWER(1+H7,D7)-1),3)),0,ROUND(POWER(1+H7,D7-F7)*(POWER(1+H7,F7)-1)/(POWER(1+H7,D7)-1),3))</f>
        <v>0</v>
      </c>
      <c r="H7" s="3570"/>
      <c r="I7" s="3570"/>
      <c r="J7" s="3571"/>
      <c r="K7" s="3572" t="e">
        <f>SUMIF('[3]数据-汇总表'!C$19:C$33,A7,'[3]数据-汇总表'!E$19:E$33)</f>
        <v>#VALUE!</v>
      </c>
      <c r="L7" s="3573"/>
      <c r="M7" s="3574" t="e">
        <f t="shared" si="0"/>
        <v>#VALUE!</v>
      </c>
      <c r="N7" s="3575"/>
      <c r="O7" s="3574" t="str">
        <f t="shared" ref="O7:O14" si="3">IF($N$5="成新度","——",ROUND(M7*N7,0))</f>
        <v>——</v>
      </c>
      <c r="P7" s="3576" t="str">
        <f t="shared" ref="P7:P14" si="4">IF($N$5="成新度","——",M7-O7)</f>
        <v>——</v>
      </c>
      <c r="Q7" s="3577"/>
      <c r="R7" s="3578" t="e">
        <f>SUMIF('[3]数据-汇总表'!C$19:C$33,A7,'[3]数据-汇总表'!R$19:R$27)</f>
        <v>#VALUE!</v>
      </c>
      <c r="S7" s="3579" t="e">
        <f>IF('[3]数据-汇总表'!$I$17="按面积比例",SUMIF('[3]数据-汇总表'!C$19:C$33,A7,'[3]数据-汇总表'!K$19:K$33),SUMIF('[3]数据-汇总表'!C$19:C$33,A7,'[3]数据-汇总表'!N$19:N$33))</f>
        <v>#VALUE!</v>
      </c>
      <c r="T7" s="3580" t="e">
        <f t="shared" ref="T7:T13" si="5">ROUND($L$14*S7/10000,0)</f>
        <v>#VALUE!</v>
      </c>
      <c r="U7" s="3581"/>
      <c r="V7" s="3582"/>
      <c r="W7" s="3582"/>
      <c r="X7" s="3583"/>
      <c r="Y7" s="3584"/>
      <c r="Z7" s="3585"/>
      <c r="AA7" s="3571"/>
      <c r="AB7" s="3571"/>
      <c r="AC7" s="3583"/>
      <c r="AD7" s="3586"/>
      <c r="AE7" s="3587">
        <f t="shared" ref="AE7:AE13" ca="1" si="6">IF(AN7="",0,SUMIF(INDIRECT("'"&amp;AN7&amp;"'"&amp;"!E:E"),$AE$5,INDIRECT("'"&amp;AN7&amp;"'"&amp;"!F:F")))</f>
        <v>0</v>
      </c>
      <c r="AF7" s="3588"/>
      <c r="AG7" s="3589">
        <f t="shared" ref="AG7:AG13" si="7">IF(AF7="",0,AE7-AF7)</f>
        <v>0</v>
      </c>
      <c r="AH7" s="3590"/>
      <c r="AI7" s="3591"/>
      <c r="AJ7" s="3588"/>
      <c r="AK7" s="3592"/>
      <c r="AL7" s="3593"/>
      <c r="AM7" s="3594"/>
      <c r="AN7" s="3595"/>
      <c r="AO7" s="3596" t="e">
        <f t="shared" ref="AO7:AO13" ca="1" si="8">SUMIF(INDIRECT("'"&amp;AN7&amp;"'"&amp;"!A:A"),"总价",INDIRECT("'"&amp;AN7&amp;"'"&amp;"!B:B"))</f>
        <v>#REF!</v>
      </c>
      <c r="AP7" s="3597">
        <f t="shared" ref="AP7:AP13" si="9">IF(C7="住宅",K7*L7,0)</f>
        <v>0</v>
      </c>
      <c r="AQ7" s="3596" t="e">
        <f t="shared" ref="AQ7:AQ13" si="10">ROUND($L$14*$N$14*S7/10000,0)</f>
        <v>#VALUE!</v>
      </c>
      <c r="AR7" s="3596" t="e">
        <f t="shared" ref="AR7:AR13" si="11">ROUND($L$14*(1-$N$14)*S7/10000,0)</f>
        <v>#VALUE!</v>
      </c>
      <c r="AS7" s="3522"/>
      <c r="AT7" s="3522"/>
      <c r="AU7" s="3522"/>
      <c r="AV7" s="3522"/>
      <c r="AW7" s="3522"/>
      <c r="AX7" s="3522"/>
      <c r="AY7" s="3522"/>
      <c r="AZ7" s="3522"/>
      <c r="BA7" s="3522"/>
      <c r="BB7" s="3522"/>
      <c r="BC7" s="3522"/>
      <c r="BD7" s="3522"/>
      <c r="BE7" s="3522"/>
      <c r="BF7" s="3522"/>
      <c r="BG7" s="3522"/>
      <c r="BH7" s="3522"/>
      <c r="BI7" s="3522"/>
      <c r="BJ7" s="3522"/>
      <c r="BK7" s="3522"/>
      <c r="BL7" s="3522"/>
      <c r="BM7" s="3522"/>
      <c r="BN7" s="3522"/>
      <c r="BO7" s="3522"/>
    </row>
    <row r="8" spans="1:67" s="3523" customFormat="1" ht="14.25">
      <c r="A8" s="3563">
        <f>'[3]数据-汇总表'!C21</f>
        <v>0</v>
      </c>
      <c r="B8" s="3564" t="str">
        <f t="shared" si="1"/>
        <v/>
      </c>
      <c r="C8" s="3565"/>
      <c r="D8" s="3566" t="e">
        <f>SUMIF([3]项目基本情况!C$12:I$12,C8,[3]项目基本情况!C$14:I$14)</f>
        <v>#VALUE!</v>
      </c>
      <c r="E8" s="3567" t="str">
        <f>IF(B8="","",SUMIF([3]项目基本情况!C$12:I$12,C8,[3]项目基本情况!C$13:I$13))</f>
        <v/>
      </c>
      <c r="F8" s="3568" t="e">
        <f>SUMIF([3]项目基本情况!C$12:I$12,C8,[3]项目基本情况!C$15:I$15)</f>
        <v>#VALUE!</v>
      </c>
      <c r="G8" s="3569">
        <f t="shared" si="2"/>
        <v>0</v>
      </c>
      <c r="H8" s="3570"/>
      <c r="I8" s="3570"/>
      <c r="J8" s="3571"/>
      <c r="K8" s="3572" t="e">
        <f>SUMIF('[3]数据-汇总表'!C$19:C$33,A8,'[3]数据-汇总表'!E$19:E$33)</f>
        <v>#VALUE!</v>
      </c>
      <c r="L8" s="3573"/>
      <c r="M8" s="3574" t="e">
        <f>ROUND(K8*L8/10000,0)</f>
        <v>#VALUE!</v>
      </c>
      <c r="N8" s="3575"/>
      <c r="O8" s="3574" t="str">
        <f t="shared" si="3"/>
        <v>——</v>
      </c>
      <c r="P8" s="3576" t="str">
        <f t="shared" si="4"/>
        <v>——</v>
      </c>
      <c r="Q8" s="3577"/>
      <c r="R8" s="3578" t="e">
        <f>SUMIF('[3]数据-汇总表'!C$19:C$33,A8,'[3]数据-汇总表'!R$19:R$27)</f>
        <v>#VALUE!</v>
      </c>
      <c r="S8" s="3579" t="e">
        <f>IF('[3]数据-汇总表'!$I$17="按面积比例",SUMIF('[3]数据-汇总表'!C$19:C$33,A8,'[3]数据-汇总表'!K$19:K$33),SUMIF('[3]数据-汇总表'!C$19:C$33,A8,'[3]数据-汇总表'!N$19:N$33))</f>
        <v>#VALUE!</v>
      </c>
      <c r="T8" s="3580" t="e">
        <f t="shared" si="5"/>
        <v>#VALUE!</v>
      </c>
      <c r="U8" s="3598"/>
      <c r="V8" s="3599"/>
      <c r="W8" s="3599"/>
      <c r="X8" s="3583"/>
      <c r="Y8" s="3584"/>
      <c r="Z8" s="3585"/>
      <c r="AA8" s="3571"/>
      <c r="AB8" s="3571"/>
      <c r="AC8" s="3583"/>
      <c r="AD8" s="3586"/>
      <c r="AE8" s="3587">
        <f t="shared" ca="1" si="6"/>
        <v>0</v>
      </c>
      <c r="AF8" s="3588"/>
      <c r="AG8" s="3589">
        <f t="shared" si="7"/>
        <v>0</v>
      </c>
      <c r="AH8" s="3600"/>
      <c r="AI8" s="3591"/>
      <c r="AJ8" s="3588"/>
      <c r="AK8" s="3601"/>
      <c r="AL8" s="3602"/>
      <c r="AM8" s="3603"/>
      <c r="AN8" s="3595"/>
      <c r="AO8" s="3596" t="e">
        <f t="shared" ca="1" si="8"/>
        <v>#REF!</v>
      </c>
      <c r="AP8" s="3597">
        <f t="shared" si="9"/>
        <v>0</v>
      </c>
      <c r="AQ8" s="3596" t="e">
        <f t="shared" si="10"/>
        <v>#VALUE!</v>
      </c>
      <c r="AR8" s="3596" t="e">
        <f t="shared" si="11"/>
        <v>#VALUE!</v>
      </c>
      <c r="AS8" s="3522"/>
      <c r="AT8" s="3522"/>
      <c r="AU8" s="3522"/>
      <c r="AV8" s="3522"/>
      <c r="AW8" s="3522"/>
      <c r="AX8" s="3522"/>
      <c r="AY8" s="3522"/>
      <c r="AZ8" s="3522"/>
      <c r="BA8" s="3522"/>
      <c r="BB8" s="3522"/>
      <c r="BC8" s="3522"/>
      <c r="BD8" s="3522"/>
      <c r="BE8" s="3522"/>
      <c r="BF8" s="3522"/>
      <c r="BG8" s="3522"/>
      <c r="BH8" s="3522"/>
      <c r="BI8" s="3522"/>
      <c r="BJ8" s="3522"/>
      <c r="BK8" s="3522"/>
      <c r="BL8" s="3522"/>
      <c r="BM8" s="3522"/>
      <c r="BN8" s="3522"/>
      <c r="BO8" s="3522"/>
    </row>
    <row r="9" spans="1:67" s="3523" customFormat="1" ht="14.25">
      <c r="A9" s="3563">
        <f>'[3]数据-汇总表'!C22</f>
        <v>0</v>
      </c>
      <c r="B9" s="3564" t="str">
        <f t="shared" si="1"/>
        <v/>
      </c>
      <c r="C9" s="3565"/>
      <c r="D9" s="3566" t="e">
        <f>SUMIF([3]项目基本情况!C$12:I$12,C9,[3]项目基本情况!C$14:I$14)</f>
        <v>#VALUE!</v>
      </c>
      <c r="E9" s="3567" t="str">
        <f>IF(B9="","",SUMIF([3]项目基本情况!C$12:I$12,C9,[3]项目基本情况!C$13:I$13))</f>
        <v/>
      </c>
      <c r="F9" s="3568" t="e">
        <f>SUMIF([3]项目基本情况!C$12:I$12,C9,[3]项目基本情况!C$15:I$15)</f>
        <v>#VALUE!</v>
      </c>
      <c r="G9" s="3569">
        <f t="shared" si="2"/>
        <v>0</v>
      </c>
      <c r="H9" s="3571"/>
      <c r="I9" s="3571"/>
      <c r="J9" s="3571"/>
      <c r="K9" s="3572" t="e">
        <f>SUMIF('[3]数据-汇总表'!C$19:C$33,A9,'[3]数据-汇总表'!E$19:E$33)</f>
        <v>#VALUE!</v>
      </c>
      <c r="L9" s="3573"/>
      <c r="M9" s="3574" t="e">
        <f t="shared" si="0"/>
        <v>#VALUE!</v>
      </c>
      <c r="N9" s="3575"/>
      <c r="O9" s="3574" t="str">
        <f t="shared" si="3"/>
        <v>——</v>
      </c>
      <c r="P9" s="3576" t="str">
        <f t="shared" si="4"/>
        <v>——</v>
      </c>
      <c r="Q9" s="3604"/>
      <c r="R9" s="3578" t="e">
        <f>SUMIF('[3]数据-汇总表'!C$19:C$33,A9,'[3]数据-汇总表'!R$19:R$27)</f>
        <v>#VALUE!</v>
      </c>
      <c r="S9" s="3579" t="e">
        <f>IF('[3]数据-汇总表'!$I$17="按面积比例",SUMIF('[3]数据-汇总表'!C$19:C$33,A9,'[3]数据-汇总表'!K$19:K$33),SUMIF('[3]数据-汇总表'!C$19:C$33,A9,'[3]数据-汇总表'!N$19:N$33))</f>
        <v>#VALUE!</v>
      </c>
      <c r="T9" s="3580" t="e">
        <f t="shared" si="5"/>
        <v>#VALUE!</v>
      </c>
      <c r="U9" s="3581"/>
      <c r="V9" s="3582"/>
      <c r="W9" s="3582"/>
      <c r="X9" s="3583"/>
      <c r="Y9" s="3584"/>
      <c r="Z9" s="3585"/>
      <c r="AA9" s="3571"/>
      <c r="AB9" s="3571"/>
      <c r="AC9" s="3583"/>
      <c r="AD9" s="3586"/>
      <c r="AE9" s="3587">
        <f t="shared" ca="1" si="6"/>
        <v>0</v>
      </c>
      <c r="AF9" s="3588"/>
      <c r="AG9" s="3589">
        <f t="shared" si="7"/>
        <v>0</v>
      </c>
      <c r="AH9" s="3590"/>
      <c r="AI9" s="3591"/>
      <c r="AJ9" s="3588"/>
      <c r="AK9" s="3592"/>
      <c r="AL9" s="3593"/>
      <c r="AM9" s="3594"/>
      <c r="AN9" s="3595"/>
      <c r="AO9" s="3596" t="e">
        <f t="shared" ca="1" si="8"/>
        <v>#REF!</v>
      </c>
      <c r="AP9" s="3597">
        <f t="shared" si="9"/>
        <v>0</v>
      </c>
      <c r="AQ9" s="3596" t="e">
        <f t="shared" si="10"/>
        <v>#VALUE!</v>
      </c>
      <c r="AR9" s="3596" t="e">
        <f t="shared" si="11"/>
        <v>#VALUE!</v>
      </c>
      <c r="AS9" s="3522"/>
      <c r="AT9" s="3522"/>
      <c r="AU9" s="3522"/>
      <c r="AV9" s="3522"/>
      <c r="AW9" s="3522"/>
      <c r="AX9" s="3522"/>
      <c r="AY9" s="3522"/>
      <c r="AZ9" s="3522"/>
      <c r="BA9" s="3522"/>
      <c r="BB9" s="3522"/>
      <c r="BC9" s="3522"/>
      <c r="BD9" s="3522"/>
      <c r="BE9" s="3522"/>
      <c r="BF9" s="3522"/>
      <c r="BG9" s="3522"/>
      <c r="BH9" s="3522"/>
      <c r="BI9" s="3522"/>
      <c r="BJ9" s="3522"/>
      <c r="BK9" s="3522"/>
      <c r="BL9" s="3522"/>
      <c r="BM9" s="3522"/>
      <c r="BN9" s="3522"/>
      <c r="BO9" s="3522"/>
    </row>
    <row r="10" spans="1:67" s="3523" customFormat="1" ht="14.25">
      <c r="A10" s="3563">
        <f>'[3]数据-汇总表'!C23</f>
        <v>0</v>
      </c>
      <c r="B10" s="3564" t="str">
        <f t="shared" si="1"/>
        <v/>
      </c>
      <c r="C10" s="3565"/>
      <c r="D10" s="3566" t="e">
        <f>SUMIF([3]项目基本情况!C$12:I$12,C10,[3]项目基本情况!C$14:I$14)</f>
        <v>#VALUE!</v>
      </c>
      <c r="E10" s="3567" t="str">
        <f>IF(B10="","",SUMIF([3]项目基本情况!C$12:I$12,C10,[3]项目基本情况!C$13:I$13))</f>
        <v/>
      </c>
      <c r="F10" s="3568" t="e">
        <f>SUMIF([3]项目基本情况!C$12:I$12,C10,[3]项目基本情况!C$15:I$15)</f>
        <v>#VALUE!</v>
      </c>
      <c r="G10" s="3569">
        <f t="shared" si="2"/>
        <v>0</v>
      </c>
      <c r="H10" s="3571"/>
      <c r="I10" s="3571"/>
      <c r="J10" s="3571"/>
      <c r="K10" s="3572" t="e">
        <f>SUMIF('[3]数据-汇总表'!C$19:C$33,A10,'[3]数据-汇总表'!E$19:E$33)</f>
        <v>#VALUE!</v>
      </c>
      <c r="L10" s="3573"/>
      <c r="M10" s="3574" t="e">
        <f t="shared" si="0"/>
        <v>#VALUE!</v>
      </c>
      <c r="N10" s="3575"/>
      <c r="O10" s="3574" t="str">
        <f t="shared" si="3"/>
        <v>——</v>
      </c>
      <c r="P10" s="3576" t="str">
        <f t="shared" si="4"/>
        <v>——</v>
      </c>
      <c r="Q10" s="3604"/>
      <c r="R10" s="3578" t="e">
        <f>SUMIF('[3]数据-汇总表'!C$19:C$33,A10,'[3]数据-汇总表'!R$19:R$27)</f>
        <v>#VALUE!</v>
      </c>
      <c r="S10" s="3579" t="e">
        <f>IF('[3]数据-汇总表'!$I$17="按面积比例",SUMIF('[3]数据-汇总表'!C$19:C$33,A10,'[3]数据-汇总表'!K$19:K$33),SUMIF('[3]数据-汇总表'!C$19:C$33,A10,'[3]数据-汇总表'!N$19:N$33))</f>
        <v>#VALUE!</v>
      </c>
      <c r="T10" s="3580" t="e">
        <f t="shared" si="5"/>
        <v>#VALUE!</v>
      </c>
      <c r="U10" s="3581"/>
      <c r="V10" s="3582"/>
      <c r="W10" s="3582"/>
      <c r="X10" s="3583"/>
      <c r="Y10" s="3584"/>
      <c r="Z10" s="3585"/>
      <c r="AA10" s="3571"/>
      <c r="AB10" s="3571"/>
      <c r="AC10" s="3583"/>
      <c r="AD10" s="3586"/>
      <c r="AE10" s="3587">
        <f t="shared" ca="1" si="6"/>
        <v>0</v>
      </c>
      <c r="AF10" s="3588"/>
      <c r="AG10" s="3589">
        <f t="shared" si="7"/>
        <v>0</v>
      </c>
      <c r="AH10" s="3590"/>
      <c r="AI10" s="3591"/>
      <c r="AJ10" s="3588"/>
      <c r="AK10" s="3592"/>
      <c r="AL10" s="3593"/>
      <c r="AM10" s="3594"/>
      <c r="AN10" s="3595"/>
      <c r="AO10" s="3596" t="e">
        <f t="shared" ca="1" si="8"/>
        <v>#REF!</v>
      </c>
      <c r="AP10" s="3597">
        <f t="shared" si="9"/>
        <v>0</v>
      </c>
      <c r="AQ10" s="3596" t="e">
        <f t="shared" si="10"/>
        <v>#VALUE!</v>
      </c>
      <c r="AR10" s="3596" t="e">
        <f t="shared" si="11"/>
        <v>#VALUE!</v>
      </c>
      <c r="AS10" s="3522"/>
      <c r="AT10" s="3522"/>
      <c r="AU10" s="3522"/>
      <c r="AV10" s="3522"/>
      <c r="AW10" s="3522"/>
      <c r="AX10" s="3522"/>
      <c r="AY10" s="3522"/>
      <c r="AZ10" s="3522"/>
      <c r="BA10" s="3522"/>
      <c r="BB10" s="3522"/>
      <c r="BC10" s="3522"/>
      <c r="BD10" s="3522"/>
      <c r="BE10" s="3522"/>
      <c r="BF10" s="3522"/>
      <c r="BG10" s="3522"/>
      <c r="BH10" s="3522"/>
      <c r="BI10" s="3522"/>
      <c r="BJ10" s="3522"/>
      <c r="BK10" s="3522"/>
      <c r="BL10" s="3522"/>
      <c r="BM10" s="3522"/>
      <c r="BN10" s="3522"/>
      <c r="BO10" s="3522"/>
    </row>
    <row r="11" spans="1:67" s="3523" customFormat="1" ht="14.25">
      <c r="A11" s="3563">
        <f>'[3]数据-汇总表'!C24</f>
        <v>0</v>
      </c>
      <c r="B11" s="3564" t="str">
        <f t="shared" si="1"/>
        <v/>
      </c>
      <c r="C11" s="3565"/>
      <c r="D11" s="3566" t="e">
        <f>SUMIF([3]项目基本情况!C$12:I$12,C11,[3]项目基本情况!C$14:I$14)</f>
        <v>#VALUE!</v>
      </c>
      <c r="E11" s="3567" t="str">
        <f>IF(B11="","",SUMIF([3]项目基本情况!C$12:I$12,C11,[3]项目基本情况!C$13:I$13))</f>
        <v/>
      </c>
      <c r="F11" s="3568" t="e">
        <f>SUMIF([3]项目基本情况!C$12:I$12,C11,[3]项目基本情况!C$15:I$15)</f>
        <v>#VALUE!</v>
      </c>
      <c r="G11" s="3569">
        <f t="shared" si="2"/>
        <v>0</v>
      </c>
      <c r="H11" s="3571"/>
      <c r="I11" s="3571"/>
      <c r="J11" s="3571"/>
      <c r="K11" s="3572" t="e">
        <f>SUMIF('[3]数据-汇总表'!C$19:C$33,A11,'[3]数据-汇总表'!E$19:E$33)</f>
        <v>#VALUE!</v>
      </c>
      <c r="L11" s="3605"/>
      <c r="M11" s="3574" t="e">
        <f t="shared" si="0"/>
        <v>#VALUE!</v>
      </c>
      <c r="N11" s="3575"/>
      <c r="O11" s="3574" t="str">
        <f t="shared" si="3"/>
        <v>——</v>
      </c>
      <c r="P11" s="3576" t="str">
        <f t="shared" si="4"/>
        <v>——</v>
      </c>
      <c r="Q11" s="3604"/>
      <c r="R11" s="3578" t="e">
        <f>SUMIF('[3]数据-汇总表'!C$19:C$33,A11,'[3]数据-汇总表'!R$19:R$27)</f>
        <v>#VALUE!</v>
      </c>
      <c r="S11" s="3579" t="e">
        <f>IF('[3]数据-汇总表'!$I$17="按面积比例",SUMIF('[3]数据-汇总表'!C$19:C$33,A11,'[3]数据-汇总表'!K$19:K$33),SUMIF('[3]数据-汇总表'!C$19:C$33,A11,'[3]数据-汇总表'!N$19:N$33))</f>
        <v>#VALUE!</v>
      </c>
      <c r="T11" s="3580" t="e">
        <f t="shared" si="5"/>
        <v>#VALUE!</v>
      </c>
      <c r="U11" s="3581"/>
      <c r="V11" s="3571"/>
      <c r="W11" s="3571"/>
      <c r="X11" s="3583"/>
      <c r="Y11" s="3584"/>
      <c r="Z11" s="3606"/>
      <c r="AA11" s="3571"/>
      <c r="AB11" s="3571"/>
      <c r="AC11" s="3583"/>
      <c r="AD11" s="3586"/>
      <c r="AE11" s="3587">
        <f t="shared" ca="1" si="6"/>
        <v>0</v>
      </c>
      <c r="AF11" s="3588"/>
      <c r="AG11" s="3589">
        <f t="shared" si="7"/>
        <v>0</v>
      </c>
      <c r="AH11" s="3590"/>
      <c r="AI11" s="3591"/>
      <c r="AJ11" s="3588"/>
      <c r="AK11" s="3592"/>
      <c r="AL11" s="3593"/>
      <c r="AM11" s="3594"/>
      <c r="AN11" s="3595"/>
      <c r="AO11" s="3596" t="e">
        <f t="shared" ca="1" si="8"/>
        <v>#REF!</v>
      </c>
      <c r="AP11" s="3597">
        <f t="shared" si="9"/>
        <v>0</v>
      </c>
      <c r="AQ11" s="3596" t="e">
        <f t="shared" si="10"/>
        <v>#VALUE!</v>
      </c>
      <c r="AR11" s="3596" t="e">
        <f t="shared" si="11"/>
        <v>#VALUE!</v>
      </c>
      <c r="AS11" s="3522"/>
      <c r="AT11" s="3522"/>
      <c r="AU11" s="3522"/>
      <c r="AV11" s="3522"/>
      <c r="AW11" s="3522"/>
      <c r="AX11" s="3522"/>
      <c r="AY11" s="3522"/>
      <c r="AZ11" s="3522"/>
      <c r="BA11" s="3522"/>
      <c r="BB11" s="3522"/>
      <c r="BC11" s="3522"/>
      <c r="BD11" s="3522"/>
      <c r="BE11" s="3522"/>
      <c r="BF11" s="3522"/>
      <c r="BG11" s="3522"/>
      <c r="BH11" s="3522"/>
      <c r="BI11" s="3522"/>
      <c r="BJ11" s="3522"/>
      <c r="BK11" s="3522"/>
      <c r="BL11" s="3522"/>
      <c r="BM11" s="3522"/>
      <c r="BN11" s="3522"/>
      <c r="BO11" s="3522"/>
    </row>
    <row r="12" spans="1:67" s="3523" customFormat="1" ht="14.25">
      <c r="A12" s="3563">
        <f>'[3]数据-汇总表'!C25</f>
        <v>0</v>
      </c>
      <c r="B12" s="3564" t="str">
        <f t="shared" si="1"/>
        <v/>
      </c>
      <c r="C12" s="3565"/>
      <c r="D12" s="3566" t="e">
        <f>SUMIF([3]项目基本情况!C$12:I$12,C12,[3]项目基本情况!C$14:I$14)</f>
        <v>#VALUE!</v>
      </c>
      <c r="E12" s="3567" t="str">
        <f>IF(B12="","",SUMIF([3]项目基本情况!C$12:I$12,C12,[3]项目基本情况!C$13:I$13))</f>
        <v/>
      </c>
      <c r="F12" s="3568" t="e">
        <f>SUMIF([3]项目基本情况!C$12:I$12,C12,[3]项目基本情况!C$15:I$15)</f>
        <v>#VALUE!</v>
      </c>
      <c r="G12" s="3569">
        <f>IF(ISERROR(ROUND(POWER(1+H12,D12-F12)*(POWER(1+H12,F12)-1)/(POWER(1+H12,D12)-1),3)),0,ROUND(POWER(1+H12,D12-F12)*(POWER(1+H12,F12)-1)/(POWER(1+H12,D12)-1),3))</f>
        <v>0</v>
      </c>
      <c r="H12" s="3571"/>
      <c r="I12" s="3571"/>
      <c r="J12" s="3571"/>
      <c r="K12" s="3572" t="e">
        <f>SUMIF('[3]数据-汇总表'!C$19:C$33,A12,'[3]数据-汇总表'!E$19:E$33)</f>
        <v>#VALUE!</v>
      </c>
      <c r="L12" s="3605"/>
      <c r="M12" s="3574" t="e">
        <f>ROUND(K12*L12/10000,0)</f>
        <v>#VALUE!</v>
      </c>
      <c r="N12" s="3575"/>
      <c r="O12" s="3574" t="str">
        <f t="shared" si="3"/>
        <v>——</v>
      </c>
      <c r="P12" s="3576" t="str">
        <f t="shared" si="4"/>
        <v>——</v>
      </c>
      <c r="Q12" s="3604"/>
      <c r="R12" s="3578" t="e">
        <f>SUMIF('[3]数据-汇总表'!C$19:C$33,A12,'[3]数据-汇总表'!R$19:R$27)</f>
        <v>#VALUE!</v>
      </c>
      <c r="S12" s="3579" t="e">
        <f>IF('[3]数据-汇总表'!$I$17="按面积比例",SUMIF('[3]数据-汇总表'!C$19:C$33,A12,'[3]数据-汇总表'!K$19:K$33),SUMIF('[3]数据-汇总表'!C$19:C$33,A12,'[3]数据-汇总表'!N$19:N$33))</f>
        <v>#VALUE!</v>
      </c>
      <c r="T12" s="3580" t="e">
        <f t="shared" si="5"/>
        <v>#VALUE!</v>
      </c>
      <c r="U12" s="3581"/>
      <c r="V12" s="3571"/>
      <c r="W12" s="3571"/>
      <c r="X12" s="3583"/>
      <c r="Y12" s="3584"/>
      <c r="Z12" s="3606"/>
      <c r="AA12" s="3571"/>
      <c r="AB12" s="3571"/>
      <c r="AC12" s="3583"/>
      <c r="AD12" s="3586"/>
      <c r="AE12" s="3587">
        <f t="shared" ca="1" si="6"/>
        <v>0</v>
      </c>
      <c r="AF12" s="3588"/>
      <c r="AG12" s="3589">
        <f t="shared" si="7"/>
        <v>0</v>
      </c>
      <c r="AH12" s="3590"/>
      <c r="AI12" s="3591"/>
      <c r="AJ12" s="3588"/>
      <c r="AK12" s="3592"/>
      <c r="AL12" s="3593"/>
      <c r="AM12" s="3594"/>
      <c r="AN12" s="3595"/>
      <c r="AO12" s="3596" t="e">
        <f t="shared" ca="1" si="8"/>
        <v>#REF!</v>
      </c>
      <c r="AP12" s="3597">
        <f t="shared" si="9"/>
        <v>0</v>
      </c>
      <c r="AQ12" s="3596" t="e">
        <f t="shared" si="10"/>
        <v>#VALUE!</v>
      </c>
      <c r="AR12" s="3596" t="e">
        <f t="shared" si="11"/>
        <v>#VALUE!</v>
      </c>
      <c r="AS12" s="3522"/>
      <c r="AT12" s="3522"/>
      <c r="AU12" s="3522"/>
      <c r="AV12" s="3522"/>
      <c r="AW12" s="3522"/>
      <c r="AX12" s="3522"/>
      <c r="AY12" s="3522"/>
      <c r="AZ12" s="3522"/>
      <c r="BA12" s="3522"/>
      <c r="BB12" s="3522"/>
      <c r="BC12" s="3522"/>
      <c r="BD12" s="3522"/>
      <c r="BE12" s="3522"/>
      <c r="BF12" s="3522"/>
      <c r="BG12" s="3522"/>
      <c r="BH12" s="3522"/>
      <c r="BI12" s="3522"/>
      <c r="BJ12" s="3522"/>
      <c r="BK12" s="3522"/>
      <c r="BL12" s="3522"/>
      <c r="BM12" s="3522"/>
      <c r="BN12" s="3522"/>
      <c r="BO12" s="3522"/>
    </row>
    <row r="13" spans="1:67" s="3523" customFormat="1" ht="14.25">
      <c r="A13" s="3563">
        <f>'[3]数据-汇总表'!C26</f>
        <v>0</v>
      </c>
      <c r="B13" s="3564" t="str">
        <f t="shared" si="1"/>
        <v/>
      </c>
      <c r="C13" s="3565"/>
      <c r="D13" s="3566" t="e">
        <f>SUMIF([3]项目基本情况!C$12:I$12,C13,[3]项目基本情况!C$14:I$14)</f>
        <v>#VALUE!</v>
      </c>
      <c r="E13" s="3567" t="str">
        <f>IF(B13="","",SUMIF([3]项目基本情况!C$12:I$12,C13,[3]项目基本情况!C$13:I$13))</f>
        <v/>
      </c>
      <c r="F13" s="3568" t="e">
        <f>SUMIF([3]项目基本情况!C$12:I$12,C13,[3]项目基本情况!C$15:I$15)</f>
        <v>#VALUE!</v>
      </c>
      <c r="G13" s="3569">
        <f>IF(ISERROR(ROUND(POWER(1+H13,D13-F13)*(POWER(1+H13,F13)-1)/(POWER(1+H13,D13)-1),3)),0,ROUND(POWER(1+H13,D13-F13)*(POWER(1+H13,F13)-1)/(POWER(1+H13,D13)-1),3))</f>
        <v>0</v>
      </c>
      <c r="H13" s="3571"/>
      <c r="I13" s="3571"/>
      <c r="J13" s="3571"/>
      <c r="K13" s="3572" t="e">
        <f>SUMIF('[3]数据-汇总表'!C$19:C$33,A13,'[3]数据-汇总表'!E$19:E$33)</f>
        <v>#VALUE!</v>
      </c>
      <c r="L13" s="3605"/>
      <c r="M13" s="3574" t="e">
        <f>ROUND(K13*L13/10000,0)</f>
        <v>#VALUE!</v>
      </c>
      <c r="N13" s="3607"/>
      <c r="O13" s="3574" t="str">
        <f t="shared" si="3"/>
        <v>——</v>
      </c>
      <c r="P13" s="3576" t="str">
        <f t="shared" si="4"/>
        <v>——</v>
      </c>
      <c r="Q13" s="3604"/>
      <c r="R13" s="3578" t="e">
        <f>SUMIF('[3]数据-汇总表'!C$19:C$33,A13,'[3]数据-汇总表'!R$19:R$27)</f>
        <v>#VALUE!</v>
      </c>
      <c r="S13" s="3579" t="e">
        <f>IF('[3]数据-汇总表'!$I$17="按面积比例",SUMIF('[3]数据-汇总表'!C$19:C$33,A13,'[3]数据-汇总表'!K$19:K$33),SUMIF('[3]数据-汇总表'!C$19:C$33,A13,'[3]数据-汇总表'!N$19:N$33))</f>
        <v>#VALUE!</v>
      </c>
      <c r="T13" s="3580" t="e">
        <f t="shared" si="5"/>
        <v>#VALUE!</v>
      </c>
      <c r="U13" s="3608"/>
      <c r="V13" s="3582"/>
      <c r="W13" s="3582"/>
      <c r="X13" s="3583"/>
      <c r="Y13" s="3584"/>
      <c r="Z13" s="3585"/>
      <c r="AA13" s="3571"/>
      <c r="AB13" s="3571"/>
      <c r="AC13" s="3583"/>
      <c r="AD13" s="3586"/>
      <c r="AE13" s="3587">
        <f t="shared" ca="1" si="6"/>
        <v>0</v>
      </c>
      <c r="AF13" s="3588"/>
      <c r="AG13" s="3589">
        <f t="shared" si="7"/>
        <v>0</v>
      </c>
      <c r="AH13" s="3590"/>
      <c r="AI13" s="3591"/>
      <c r="AJ13" s="3588"/>
      <c r="AK13" s="3592"/>
      <c r="AL13" s="3593"/>
      <c r="AM13" s="3594"/>
      <c r="AN13" s="3595"/>
      <c r="AO13" s="3596" t="e">
        <f t="shared" ca="1" si="8"/>
        <v>#REF!</v>
      </c>
      <c r="AP13" s="3597">
        <f t="shared" si="9"/>
        <v>0</v>
      </c>
      <c r="AQ13" s="3596" t="e">
        <f t="shared" si="10"/>
        <v>#VALUE!</v>
      </c>
      <c r="AR13" s="3596" t="e">
        <f t="shared" si="11"/>
        <v>#VALUE!</v>
      </c>
      <c r="AS13" s="3522"/>
      <c r="AT13" s="3522"/>
      <c r="AU13" s="3522"/>
      <c r="AV13" s="3522"/>
      <c r="AW13" s="3522"/>
      <c r="AX13" s="3522"/>
      <c r="AY13" s="3522"/>
      <c r="AZ13" s="3522"/>
      <c r="BA13" s="3522"/>
      <c r="BB13" s="3522"/>
      <c r="BC13" s="3522"/>
      <c r="BD13" s="3522"/>
      <c r="BE13" s="3522"/>
      <c r="BF13" s="3522"/>
      <c r="BG13" s="3522"/>
      <c r="BH13" s="3522"/>
      <c r="BI13" s="3522"/>
      <c r="BJ13" s="3522"/>
      <c r="BK13" s="3522"/>
      <c r="BL13" s="3522"/>
      <c r="BM13" s="3522"/>
      <c r="BN13" s="3522"/>
      <c r="BO13" s="3522"/>
    </row>
    <row r="14" spans="1:67" s="3523" customFormat="1" ht="14.25">
      <c r="A14" s="3609" t="s">
        <v>3487</v>
      </c>
      <c r="B14" s="3564" t="s">
        <v>3488</v>
      </c>
      <c r="C14" s="3610" t="s">
        <v>3487</v>
      </c>
      <c r="D14" s="3566"/>
      <c r="E14" s="3567"/>
      <c r="F14" s="3568"/>
      <c r="G14" s="3569"/>
      <c r="H14" s="3611"/>
      <c r="I14" s="3611"/>
      <c r="J14" s="3611"/>
      <c r="K14" s="3572" t="e">
        <f>SUMIF('[3]数据-汇总表'!C$19:C$33,A14,'[3]数据-汇总表'!E$19:E$33)</f>
        <v>#VALUE!</v>
      </c>
      <c r="L14" s="3605"/>
      <c r="M14" s="3574" t="e">
        <f t="shared" si="0"/>
        <v>#VALUE!</v>
      </c>
      <c r="N14" s="3607"/>
      <c r="O14" s="3574" t="str">
        <f t="shared" si="3"/>
        <v>——</v>
      </c>
      <c r="P14" s="3576" t="str">
        <f t="shared" si="4"/>
        <v>——</v>
      </c>
      <c r="Q14" s="3612"/>
      <c r="R14" s="3578"/>
      <c r="S14" s="3579"/>
      <c r="T14" s="3580"/>
      <c r="U14" s="3613"/>
      <c r="V14" s="3614"/>
      <c r="W14" s="3614"/>
      <c r="X14" s="3615"/>
      <c r="Y14" s="3616"/>
      <c r="Z14" s="3617"/>
      <c r="AA14" s="3618"/>
      <c r="AB14" s="3618"/>
      <c r="AC14" s="3583"/>
      <c r="AD14" s="3615"/>
      <c r="AE14" s="3587"/>
      <c r="AF14" s="3596"/>
      <c r="AG14" s="3589"/>
      <c r="AH14" s="3587"/>
      <c r="AI14" s="3619"/>
      <c r="AJ14" s="3596"/>
      <c r="AK14" s="3620"/>
      <c r="AL14" s="3621"/>
      <c r="AM14" s="3622"/>
      <c r="AN14" s="3513"/>
      <c r="AO14" s="3521"/>
      <c r="AP14" s="3521"/>
      <c r="AQ14" s="3521"/>
      <c r="AR14" s="3521"/>
      <c r="AS14" s="3522"/>
      <c r="AT14" s="3522"/>
      <c r="AU14" s="3522"/>
      <c r="AV14" s="3522"/>
      <c r="AW14" s="3522"/>
      <c r="AX14" s="3522"/>
      <c r="AY14" s="3522"/>
      <c r="AZ14" s="3522"/>
      <c r="BA14" s="3522"/>
      <c r="BB14" s="3522"/>
      <c r="BC14" s="3522"/>
      <c r="BD14" s="3522"/>
      <c r="BE14" s="3522"/>
      <c r="BF14" s="3522"/>
      <c r="BG14" s="3522"/>
      <c r="BH14" s="3522"/>
      <c r="BI14" s="3522"/>
      <c r="BJ14" s="3522"/>
      <c r="BK14" s="3522"/>
      <c r="BL14" s="3522"/>
      <c r="BM14" s="3522"/>
      <c r="BN14" s="3522"/>
      <c r="BO14" s="3522"/>
    </row>
    <row r="15" spans="1:67" s="3523" customFormat="1" ht="27">
      <c r="A15" s="3609" t="s">
        <v>3489</v>
      </c>
      <c r="B15" s="3564" t="s">
        <v>3488</v>
      </c>
      <c r="C15" s="3610" t="s">
        <v>3490</v>
      </c>
      <c r="D15" s="3566"/>
      <c r="E15" s="3567"/>
      <c r="F15" s="3568"/>
      <c r="G15" s="3569"/>
      <c r="H15" s="3611"/>
      <c r="I15" s="3611"/>
      <c r="J15" s="3611"/>
      <c r="K15" s="3572" t="e">
        <f>SUMIF('[3]数据-汇总表'!C$19:C$33,A15,'[3]数据-汇总表'!E$19:E$33)</f>
        <v>#VALUE!</v>
      </c>
      <c r="L15" s="3623"/>
      <c r="M15" s="3574"/>
      <c r="N15" s="3624"/>
      <c r="O15" s="3574"/>
      <c r="P15" s="3576"/>
      <c r="Q15" s="3612"/>
      <c r="R15" s="3578"/>
      <c r="S15" s="3579"/>
      <c r="T15" s="3580"/>
      <c r="U15" s="3613"/>
      <c r="V15" s="3614"/>
      <c r="W15" s="3614"/>
      <c r="X15" s="3615"/>
      <c r="Y15" s="3616"/>
      <c r="Z15" s="3617"/>
      <c r="AA15" s="3618"/>
      <c r="AB15" s="3618"/>
      <c r="AC15" s="3583"/>
      <c r="AD15" s="3615"/>
      <c r="AE15" s="3587"/>
      <c r="AF15" s="3596"/>
      <c r="AG15" s="3589"/>
      <c r="AH15" s="3587"/>
      <c r="AI15" s="3619"/>
      <c r="AJ15" s="3596"/>
      <c r="AK15" s="3620"/>
      <c r="AL15" s="3621"/>
      <c r="AM15" s="3622"/>
      <c r="AN15" s="3513"/>
      <c r="AO15" s="3521"/>
      <c r="AP15" s="3521"/>
      <c r="AQ15" s="3521"/>
      <c r="AR15" s="3521"/>
      <c r="AS15" s="3522"/>
      <c r="AT15" s="3522"/>
      <c r="AU15" s="3522"/>
      <c r="AV15" s="3522"/>
      <c r="AW15" s="3522"/>
      <c r="AX15" s="3522"/>
      <c r="AY15" s="3522"/>
      <c r="AZ15" s="3522"/>
      <c r="BA15" s="3522"/>
      <c r="BB15" s="3522"/>
      <c r="BC15" s="3522"/>
      <c r="BD15" s="3522"/>
      <c r="BE15" s="3522"/>
      <c r="BF15" s="3522"/>
      <c r="BG15" s="3522"/>
      <c r="BH15" s="3522"/>
      <c r="BI15" s="3522"/>
      <c r="BJ15" s="3522"/>
      <c r="BK15" s="3522"/>
      <c r="BL15" s="3522"/>
      <c r="BM15" s="3522"/>
      <c r="BN15" s="3522"/>
      <c r="BO15" s="3522"/>
    </row>
    <row r="16" spans="1:67" s="3523" customFormat="1" ht="15.75" thickBot="1">
      <c r="A16" s="3625" t="s">
        <v>3491</v>
      </c>
      <c r="B16" s="3626"/>
      <c r="C16" s="3627"/>
      <c r="D16" s="3628"/>
      <c r="E16" s="3626"/>
      <c r="F16" s="3626"/>
      <c r="G16" s="3629" t="e">
        <f>ROUND(SUMPRODUCT(G6:G13,K6:K13)/SUMPRODUCT((G6:G13&gt;0)*(K6:K13)),3)</f>
        <v>#VALUE!</v>
      </c>
      <c r="H16" s="3630" t="e">
        <f>ROUND(SUMPRODUCT(H6:H13,K6:K13)/SUMPRODUCT((H6:H13&gt;0)*(K6:K13)),3)</f>
        <v>#VALUE!</v>
      </c>
      <c r="I16" s="3631"/>
      <c r="J16" s="3631"/>
      <c r="K16" s="3632" t="e">
        <f>SUM(K6:K15)</f>
        <v>#VALUE!</v>
      </c>
      <c r="L16" s="3633" t="e">
        <f>ROUND(M16*10000/SUM(K6:K14),0)</f>
        <v>#VALUE!</v>
      </c>
      <c r="M16" s="3633" t="e">
        <f>SUM(M6:M14)</f>
        <v>#VALUE!</v>
      </c>
      <c r="N16" s="3634" t="e">
        <f>ROUND(SUMPRODUCT(M6:M14,N6:N14)/M16,3)</f>
        <v>#VALUE!</v>
      </c>
      <c r="O16" s="3633">
        <f>SUM(O6:O14)</f>
        <v>0</v>
      </c>
      <c r="P16" s="3633">
        <f>SUM(P6:P14)</f>
        <v>0</v>
      </c>
      <c r="Q16" s="3635" t="e">
        <f>ROUND(SUMPRODUCT(Q6:Q13,K6:K13)/SUMPRODUCT((Q6:Q13&gt;0)*(K6:K13)),2)</f>
        <v>#VALUE!</v>
      </c>
      <c r="R16" s="3636" t="e">
        <f>SUM(R6:R13)</f>
        <v>#VALUE!</v>
      </c>
      <c r="S16" s="3637" t="e">
        <f>SUM(S6:S13)</f>
        <v>#VALUE!</v>
      </c>
      <c r="T16" s="3638" t="e">
        <f>IF(SUMIF(T6:T13,"&lt;9E307")=M14,SUMIF(T6:T13,"&lt;9E307"),"有误，请检查")</f>
        <v>#VALUE!</v>
      </c>
      <c r="U16" s="3639"/>
      <c r="V16" s="3640"/>
      <c r="W16" s="3640"/>
      <c r="X16" s="3641"/>
      <c r="Y16" s="3642"/>
      <c r="Z16" s="3643"/>
      <c r="AA16" s="3640"/>
      <c r="AB16" s="3640"/>
      <c r="AC16" s="3641"/>
      <c r="AD16" s="3641"/>
      <c r="AE16" s="3639"/>
      <c r="AF16" s="3640"/>
      <c r="AG16" s="3642"/>
      <c r="AH16" s="3639"/>
      <c r="AI16" s="3643"/>
      <c r="AJ16" s="3643"/>
      <c r="AK16" s="3640"/>
      <c r="AL16" s="3640"/>
      <c r="AM16" s="3642"/>
      <c r="AN16" s="3513"/>
      <c r="AO16" s="3521"/>
      <c r="AP16" s="3521"/>
      <c r="AQ16" s="3521"/>
      <c r="AR16" s="3521"/>
      <c r="AS16" s="3522"/>
      <c r="AT16" s="3522"/>
      <c r="AU16" s="3522"/>
      <c r="AV16" s="3522"/>
      <c r="AW16" s="3522"/>
      <c r="AX16" s="3522"/>
      <c r="AY16" s="3522"/>
      <c r="AZ16" s="3522"/>
      <c r="BA16" s="3522"/>
      <c r="BB16" s="3522"/>
      <c r="BC16" s="3522"/>
      <c r="BD16" s="3522"/>
      <c r="BE16" s="3522"/>
      <c r="BF16" s="3522"/>
      <c r="BG16" s="3522"/>
      <c r="BH16" s="3522"/>
      <c r="BI16" s="3522"/>
      <c r="BJ16" s="3522"/>
      <c r="BK16" s="3522"/>
      <c r="BL16" s="3522"/>
      <c r="BM16" s="3522"/>
      <c r="BN16" s="3522"/>
      <c r="BO16" s="3522"/>
    </row>
    <row r="17" spans="1:44" ht="13.5" thickBot="1">
      <c r="A17" s="3644"/>
      <c r="B17" s="3645"/>
      <c r="C17" s="3513"/>
      <c r="D17" s="3646"/>
      <c r="E17" s="3646"/>
      <c r="F17" s="3513"/>
      <c r="G17" s="3513"/>
      <c r="H17" s="3513"/>
      <c r="I17" s="3513"/>
      <c r="J17" s="3513"/>
      <c r="K17" s="3647"/>
      <c r="L17" s="3647"/>
      <c r="M17" s="3513"/>
      <c r="N17" s="3513"/>
      <c r="O17" s="3513"/>
      <c r="P17" s="3513"/>
      <c r="Q17" s="3513"/>
      <c r="R17" s="3513"/>
      <c r="S17" s="3513"/>
      <c r="T17" s="3513"/>
      <c r="U17" s="3513"/>
      <c r="V17" s="3513"/>
      <c r="W17" s="3513"/>
      <c r="X17" s="3513"/>
      <c r="Y17" s="3513"/>
      <c r="Z17" s="3513"/>
      <c r="AA17" s="3513"/>
      <c r="AB17" s="3513"/>
      <c r="AC17" s="3513"/>
      <c r="AD17" s="3513"/>
      <c r="AE17" s="3513"/>
      <c r="AF17" s="3513"/>
      <c r="AG17" s="3513"/>
      <c r="AH17" s="3513"/>
      <c r="AI17" s="3513"/>
      <c r="AJ17" s="3513"/>
      <c r="AK17" s="3513"/>
      <c r="AL17" s="3513"/>
      <c r="AM17" s="3513"/>
      <c r="AN17" s="3513"/>
      <c r="AO17" s="3513"/>
      <c r="AP17" s="3513"/>
      <c r="AQ17" s="3513"/>
      <c r="AR17" s="3513"/>
    </row>
    <row r="18" spans="1:44" ht="15" thickBot="1">
      <c r="A18" s="3526" t="s">
        <v>1645</v>
      </c>
      <c r="B18" s="3648"/>
      <c r="C18" s="3521"/>
      <c r="D18" s="3649"/>
      <c r="E18" s="3521"/>
      <c r="F18" s="3521"/>
      <c r="G18" s="3521"/>
      <c r="H18" s="3521"/>
      <c r="I18" s="3521"/>
      <c r="J18" s="3521"/>
      <c r="K18" s="3647"/>
      <c r="L18" s="3647"/>
      <c r="M18" s="3513"/>
      <c r="N18" s="3513"/>
      <c r="O18" s="3513"/>
      <c r="P18" s="3513"/>
      <c r="Q18" s="3513"/>
      <c r="R18" s="3513"/>
      <c r="S18" s="3513"/>
      <c r="T18" s="3513"/>
      <c r="U18" s="3513"/>
      <c r="V18" s="3513"/>
      <c r="W18" s="3513"/>
      <c r="X18" s="3513"/>
      <c r="Y18" s="3513"/>
      <c r="Z18" s="3513"/>
      <c r="AA18" s="3513"/>
      <c r="AB18" s="3513"/>
      <c r="AC18" s="3513"/>
      <c r="AD18" s="3513"/>
      <c r="AE18" s="3513"/>
      <c r="AF18" s="3513"/>
      <c r="AG18" s="3513"/>
      <c r="AH18" s="3513"/>
      <c r="AI18" s="3513"/>
      <c r="AJ18" s="3513"/>
      <c r="AK18" s="3513"/>
      <c r="AL18" s="3513"/>
      <c r="AM18" s="3513"/>
      <c r="AN18" s="3513"/>
      <c r="AO18" s="3513"/>
      <c r="AP18" s="3513"/>
      <c r="AQ18" s="3513"/>
      <c r="AR18" s="3513"/>
    </row>
    <row r="19" spans="1:44" ht="14.25">
      <c r="A19" s="3650" t="s">
        <v>1646</v>
      </c>
      <c r="B19" s="3651">
        <v>0</v>
      </c>
      <c r="C19" s="3652" t="s">
        <v>3492</v>
      </c>
      <c r="D19" s="3649"/>
      <c r="E19" s="3521"/>
      <c r="F19" s="3521"/>
      <c r="G19" s="3521"/>
      <c r="H19" s="3521"/>
      <c r="I19" s="3521"/>
      <c r="J19" s="3521"/>
      <c r="K19" s="3647"/>
      <c r="L19" s="3647">
        <v>3500</v>
      </c>
      <c r="M19" s="3513"/>
      <c r="N19" s="3513"/>
      <c r="O19" s="3513"/>
      <c r="P19" s="3513"/>
      <c r="Q19" s="3513"/>
      <c r="R19" s="3513"/>
      <c r="S19" s="3513"/>
      <c r="T19" s="3513"/>
      <c r="U19" s="3513"/>
      <c r="V19" s="3513"/>
      <c r="W19" s="3513"/>
      <c r="X19" s="3513"/>
      <c r="Y19" s="3513"/>
      <c r="Z19" s="3513"/>
      <c r="AA19" s="3513"/>
      <c r="AB19" s="3513"/>
      <c r="AC19" s="3513"/>
      <c r="AD19" s="3513"/>
      <c r="AE19" s="3513"/>
      <c r="AF19" s="3513"/>
      <c r="AG19" s="3513"/>
      <c r="AH19" s="3513"/>
      <c r="AI19" s="3513"/>
      <c r="AJ19" s="3513"/>
      <c r="AK19" s="3513"/>
      <c r="AL19" s="3513"/>
      <c r="AM19" s="3513"/>
      <c r="AN19" s="3513"/>
      <c r="AO19" s="3513"/>
      <c r="AP19" s="3513"/>
      <c r="AQ19" s="3513"/>
      <c r="AR19" s="3513"/>
    </row>
    <row r="20" spans="1:44" ht="14.25">
      <c r="A20" s="3653" t="s">
        <v>3493</v>
      </c>
      <c r="B20" s="3654">
        <v>2</v>
      </c>
      <c r="C20" s="3655" t="s">
        <v>3494</v>
      </c>
      <c r="D20" s="3649"/>
      <c r="E20" s="3521"/>
      <c r="F20" s="3521"/>
      <c r="G20" s="3521"/>
      <c r="H20" s="3521"/>
      <c r="I20" s="3521"/>
      <c r="J20" s="3521"/>
      <c r="K20" s="3647"/>
      <c r="L20" s="3647">
        <v>3000</v>
      </c>
      <c r="M20" s="3513"/>
      <c r="N20" s="3513">
        <f>ROUND(1-(2022-2004)/60,2)</f>
        <v>0.7</v>
      </c>
      <c r="O20" s="3513"/>
      <c r="P20" s="3513"/>
      <c r="Q20" s="3513"/>
      <c r="R20" s="3513"/>
      <c r="S20" s="3513"/>
      <c r="T20" s="3513"/>
      <c r="U20" s="3513"/>
      <c r="V20" s="3513"/>
      <c r="W20" s="3513"/>
      <c r="X20" s="3513"/>
      <c r="Y20" s="3513"/>
      <c r="Z20" s="3513"/>
      <c r="AA20" s="3513"/>
      <c r="AB20" s="3513"/>
      <c r="AC20" s="3513"/>
      <c r="AD20" s="3513"/>
      <c r="AE20" s="3513"/>
      <c r="AF20" s="3513"/>
      <c r="AG20" s="3513"/>
      <c r="AH20" s="3513"/>
      <c r="AI20" s="3513"/>
      <c r="AJ20" s="3513"/>
      <c r="AK20" s="3513"/>
      <c r="AL20" s="3513"/>
      <c r="AM20" s="3513"/>
      <c r="AN20" s="3513"/>
      <c r="AO20" s="3513"/>
      <c r="AP20" s="3513"/>
      <c r="AQ20" s="3513"/>
      <c r="AR20" s="3513"/>
    </row>
    <row r="21" spans="1:44" ht="14.25">
      <c r="A21" s="3656" t="s">
        <v>3495</v>
      </c>
      <c r="B21" s="3654">
        <v>2</v>
      </c>
      <c r="C21" s="3521"/>
      <c r="D21" s="3649"/>
      <c r="E21" s="3521"/>
      <c r="F21" s="3521"/>
      <c r="G21" s="3521"/>
      <c r="H21" s="3521"/>
      <c r="I21" s="3521"/>
      <c r="J21" s="3521"/>
      <c r="K21" s="3647"/>
      <c r="L21" s="3647"/>
      <c r="M21" s="3513"/>
      <c r="N21" s="3513">
        <v>0.8</v>
      </c>
      <c r="O21" s="3513"/>
      <c r="P21" s="3513"/>
      <c r="Q21" s="3513"/>
      <c r="R21" s="3513"/>
      <c r="S21" s="3513"/>
      <c r="T21" s="3513"/>
      <c r="U21" s="3513"/>
      <c r="V21" s="3513"/>
      <c r="W21" s="3513"/>
      <c r="X21" s="3513"/>
      <c r="Y21" s="3513"/>
      <c r="Z21" s="3513"/>
      <c r="AA21" s="3513"/>
      <c r="AB21" s="3513"/>
      <c r="AC21" s="3513"/>
      <c r="AD21" s="3513"/>
      <c r="AE21" s="3513"/>
      <c r="AF21" s="3513"/>
      <c r="AG21" s="3513"/>
      <c r="AH21" s="3513"/>
      <c r="AI21" s="3513"/>
      <c r="AJ21" s="3513"/>
      <c r="AK21" s="3513"/>
      <c r="AL21" s="3513"/>
      <c r="AM21" s="3513"/>
      <c r="AN21" s="3513"/>
      <c r="AO21" s="3513"/>
      <c r="AP21" s="3513"/>
      <c r="AQ21" s="3513"/>
      <c r="AR21" s="3513"/>
    </row>
    <row r="22" spans="1:44" ht="14.25">
      <c r="A22" s="3653" t="s">
        <v>3496</v>
      </c>
      <c r="B22" s="3657">
        <f>B19+B20</f>
        <v>2</v>
      </c>
      <c r="C22" s="3521"/>
      <c r="D22" s="3649"/>
      <c r="E22" s="3521"/>
      <c r="F22" s="3521"/>
      <c r="G22" s="3521"/>
      <c r="H22" s="3521"/>
      <c r="I22" s="3521"/>
      <c r="J22" s="3521"/>
      <c r="K22" s="3647"/>
      <c r="L22" s="3647"/>
      <c r="M22" s="3513"/>
      <c r="N22" s="3513"/>
      <c r="O22" s="3513"/>
      <c r="P22" s="3513"/>
      <c r="Q22" s="3513"/>
      <c r="R22" s="3513"/>
      <c r="S22" s="3513"/>
      <c r="T22" s="3513"/>
      <c r="U22" s="3513"/>
      <c r="V22" s="3513"/>
      <c r="W22" s="3513"/>
      <c r="X22" s="3513"/>
      <c r="Y22" s="3513"/>
      <c r="Z22" s="3513"/>
      <c r="AA22" s="3513"/>
      <c r="AB22" s="3513"/>
      <c r="AC22" s="3513"/>
      <c r="AD22" s="3513"/>
      <c r="AE22" s="3513"/>
      <c r="AF22" s="3513"/>
      <c r="AG22" s="3513"/>
      <c r="AH22" s="3513"/>
      <c r="AI22" s="3513"/>
      <c r="AJ22" s="3513"/>
      <c r="AK22" s="3513"/>
      <c r="AL22" s="3513"/>
      <c r="AM22" s="3513"/>
      <c r="AN22" s="3513"/>
      <c r="AO22" s="3513"/>
      <c r="AP22" s="3513"/>
      <c r="AQ22" s="3513"/>
      <c r="AR22" s="3513"/>
    </row>
    <row r="23" spans="1:44" ht="14.25">
      <c r="A23" s="3656" t="s">
        <v>1653</v>
      </c>
      <c r="B23" s="3657">
        <f>B19+B21</f>
        <v>2</v>
      </c>
      <c r="C23" s="3521"/>
      <c r="D23" s="3649"/>
      <c r="E23" s="3521"/>
      <c r="F23" s="3521"/>
      <c r="G23" s="3521"/>
      <c r="H23" s="3521"/>
      <c r="I23" s="3521"/>
      <c r="J23" s="3521"/>
      <c r="K23" s="3647"/>
      <c r="L23" s="3647"/>
      <c r="M23" s="3513"/>
      <c r="N23" s="3513"/>
      <c r="O23" s="3513"/>
      <c r="P23" s="3513"/>
      <c r="Q23" s="3513"/>
      <c r="R23" s="3513"/>
      <c r="S23" s="3513"/>
      <c r="T23" s="3513"/>
      <c r="U23" s="3513"/>
      <c r="V23" s="3513"/>
      <c r="W23" s="3513"/>
      <c r="X23" s="3513"/>
      <c r="Y23" s="3513"/>
      <c r="Z23" s="3513"/>
      <c r="AA23" s="3513"/>
      <c r="AB23" s="3513"/>
      <c r="AC23" s="3513"/>
      <c r="AD23" s="3513"/>
      <c r="AE23" s="3513"/>
      <c r="AF23" s="3513"/>
      <c r="AG23" s="3513"/>
      <c r="AH23" s="3513"/>
      <c r="AI23" s="3513"/>
      <c r="AJ23" s="3513"/>
      <c r="AK23" s="3513"/>
      <c r="AL23" s="3513"/>
      <c r="AM23" s="3513"/>
      <c r="AN23" s="3513"/>
      <c r="AO23" s="3513"/>
      <c r="AP23" s="3513"/>
      <c r="AQ23" s="3513"/>
      <c r="AR23" s="3513"/>
    </row>
    <row r="24" spans="1:44" ht="15" thickBot="1">
      <c r="A24" s="3658" t="s">
        <v>1655</v>
      </c>
      <c r="B24" s="3659">
        <f>B20-B21</f>
        <v>0</v>
      </c>
      <c r="C24" s="3521"/>
      <c r="D24" s="3649"/>
      <c r="E24" s="3521"/>
      <c r="F24" s="3521"/>
      <c r="G24" s="3521"/>
      <c r="H24" s="3521"/>
      <c r="I24" s="3521"/>
      <c r="J24" s="3521"/>
      <c r="K24" s="3647"/>
      <c r="L24" s="3647"/>
      <c r="M24" s="3513"/>
      <c r="N24" s="3513"/>
      <c r="O24" s="3513"/>
      <c r="P24" s="3513"/>
      <c r="Q24" s="3513"/>
      <c r="R24" s="3513"/>
      <c r="S24" s="3513"/>
      <c r="T24" s="3513"/>
      <c r="U24" s="3513"/>
      <c r="V24" s="3513"/>
      <c r="W24" s="3513"/>
      <c r="X24" s="3513"/>
      <c r="Y24" s="3513"/>
      <c r="Z24" s="3513"/>
      <c r="AA24" s="3513"/>
      <c r="AB24" s="3513"/>
      <c r="AC24" s="3513"/>
      <c r="AD24" s="3513"/>
      <c r="AE24" s="3513"/>
      <c r="AF24" s="3513"/>
      <c r="AG24" s="3513"/>
      <c r="AH24" s="3513"/>
      <c r="AI24" s="3513"/>
      <c r="AJ24" s="3513"/>
      <c r="AK24" s="3513"/>
      <c r="AL24" s="3513"/>
      <c r="AM24" s="3513"/>
      <c r="AN24" s="3513"/>
      <c r="AO24" s="3513"/>
      <c r="AP24" s="3513"/>
      <c r="AQ24" s="3513"/>
      <c r="AR24" s="3513"/>
    </row>
    <row r="25" spans="1:44" ht="15" thickBot="1">
      <c r="A25" s="3524"/>
      <c r="B25" s="3525"/>
      <c r="C25" s="3521"/>
      <c r="D25" s="3649"/>
      <c r="E25" s="3521"/>
      <c r="F25" s="3521"/>
      <c r="G25" s="3521"/>
      <c r="H25" s="3521"/>
      <c r="I25" s="3521"/>
      <c r="J25" s="3521"/>
      <c r="K25" s="3647"/>
      <c r="L25" s="3647"/>
      <c r="M25" s="3513"/>
      <c r="N25" s="3513"/>
      <c r="O25" s="3513"/>
      <c r="P25" s="3513"/>
      <c r="Q25" s="3513"/>
      <c r="R25" s="3513"/>
      <c r="S25" s="3513"/>
      <c r="T25" s="3513"/>
      <c r="U25" s="3513"/>
      <c r="V25" s="3513"/>
      <c r="W25" s="3513"/>
      <c r="X25" s="3513"/>
      <c r="Y25" s="3513"/>
      <c r="Z25" s="3513"/>
      <c r="AA25" s="3513"/>
      <c r="AB25" s="3513"/>
      <c r="AC25" s="3513"/>
      <c r="AD25" s="3513"/>
      <c r="AE25" s="3513"/>
      <c r="AF25" s="3513"/>
      <c r="AG25" s="3513"/>
      <c r="AH25" s="3513"/>
      <c r="AI25" s="3513"/>
      <c r="AJ25" s="3513"/>
      <c r="AK25" s="3513"/>
      <c r="AL25" s="3513"/>
      <c r="AM25" s="3513"/>
      <c r="AN25" s="3513"/>
      <c r="AO25" s="3513"/>
      <c r="AP25" s="3513"/>
      <c r="AQ25" s="3513"/>
      <c r="AR25" s="3513"/>
    </row>
    <row r="26" spans="1:44" ht="15" thickBot="1">
      <c r="A26" s="3516" t="s">
        <v>1628</v>
      </c>
      <c r="B26" s="3660" t="s">
        <v>1629</v>
      </c>
      <c r="C26" s="3661" t="s">
        <v>3497</v>
      </c>
      <c r="D26" s="3649"/>
      <c r="E26" s="3521"/>
      <c r="F26" s="3521"/>
      <c r="G26" s="3521"/>
      <c r="H26" s="3521"/>
      <c r="I26" s="3521"/>
      <c r="J26" s="3521"/>
      <c r="K26" s="3647"/>
      <c r="L26" s="3647"/>
      <c r="M26" s="3513"/>
      <c r="N26" s="3513"/>
      <c r="O26" s="3513"/>
      <c r="P26" s="3513"/>
      <c r="Q26" s="3513"/>
      <c r="R26" s="3513"/>
      <c r="S26" s="3513"/>
      <c r="T26" s="3513"/>
      <c r="U26" s="3513"/>
      <c r="V26" s="3513"/>
      <c r="W26" s="3513"/>
      <c r="X26" s="3513"/>
      <c r="Y26" s="3513"/>
      <c r="Z26" s="3513"/>
      <c r="AA26" s="3513"/>
      <c r="AB26" s="3513"/>
      <c r="AC26" s="3513"/>
      <c r="AD26" s="3513"/>
      <c r="AE26" s="3513"/>
      <c r="AF26" s="3513"/>
      <c r="AG26" s="3513"/>
      <c r="AH26" s="3513"/>
      <c r="AI26" s="3513"/>
      <c r="AJ26" s="3513"/>
      <c r="AK26" s="3513"/>
      <c r="AL26" s="3513"/>
      <c r="AM26" s="3513"/>
      <c r="AN26" s="3513"/>
      <c r="AO26" s="3513"/>
      <c r="AP26" s="3513"/>
      <c r="AQ26" s="3513"/>
      <c r="AR26" s="3513"/>
    </row>
    <row r="27" spans="1:44" ht="27.75">
      <c r="A27" s="3662" t="s">
        <v>1631</v>
      </c>
      <c r="B27" s="3663">
        <v>160</v>
      </c>
      <c r="C27" s="3664" t="s">
        <v>3498</v>
      </c>
      <c r="D27" s="3665"/>
      <c r="E27" s="3666"/>
      <c r="F27" s="3666"/>
      <c r="G27" s="3521"/>
      <c r="H27" s="3521"/>
      <c r="I27" s="3521"/>
      <c r="J27" s="3521"/>
      <c r="K27" s="3647"/>
      <c r="L27" s="3647"/>
      <c r="M27" s="3513"/>
      <c r="N27" s="3513"/>
      <c r="O27" s="3513"/>
      <c r="P27" s="3513"/>
      <c r="Q27" s="3513"/>
      <c r="R27" s="3513"/>
      <c r="S27" s="3513"/>
      <c r="T27" s="3513"/>
      <c r="U27" s="3513"/>
      <c r="V27" s="3513"/>
      <c r="W27" s="3513"/>
      <c r="X27" s="3513"/>
      <c r="Y27" s="3513"/>
      <c r="Z27" s="3513"/>
      <c r="AA27" s="3513"/>
      <c r="AB27" s="3513"/>
      <c r="AC27" s="3513"/>
      <c r="AD27" s="3513"/>
      <c r="AE27" s="3513"/>
      <c r="AF27" s="3513"/>
      <c r="AG27" s="3513"/>
      <c r="AH27" s="3513"/>
      <c r="AI27" s="3513"/>
      <c r="AJ27" s="3513"/>
      <c r="AK27" s="3513"/>
      <c r="AL27" s="3513"/>
      <c r="AM27" s="3513"/>
      <c r="AN27" s="3513"/>
      <c r="AO27" s="3513"/>
      <c r="AP27" s="3513"/>
      <c r="AQ27" s="3513"/>
      <c r="AR27" s="3513"/>
    </row>
    <row r="28" spans="1:44" ht="27.75">
      <c r="A28" s="3667" t="s">
        <v>1634</v>
      </c>
      <c r="B28" s="3668">
        <v>200</v>
      </c>
      <c r="C28" s="3669"/>
      <c r="D28" s="3665"/>
      <c r="E28" s="3666"/>
      <c r="F28" s="3666"/>
      <c r="G28" s="3521"/>
      <c r="H28" s="3521"/>
      <c r="I28" s="3521"/>
      <c r="J28" s="3521"/>
      <c r="K28" s="3647"/>
      <c r="L28" s="3647"/>
      <c r="M28" s="3513"/>
      <c r="N28" s="3513"/>
      <c r="O28" s="3513"/>
      <c r="P28" s="3513"/>
      <c r="Q28" s="3513"/>
      <c r="R28" s="3513"/>
      <c r="S28" s="3513"/>
      <c r="T28" s="3513"/>
      <c r="U28" s="3513"/>
      <c r="V28" s="3513"/>
      <c r="W28" s="3513"/>
      <c r="X28" s="3513"/>
      <c r="Y28" s="3513"/>
      <c r="Z28" s="3513"/>
      <c r="AA28" s="3513"/>
      <c r="AB28" s="3513"/>
      <c r="AC28" s="3513"/>
      <c r="AD28" s="3513"/>
      <c r="AE28" s="3513"/>
      <c r="AF28" s="3513"/>
      <c r="AG28" s="3513"/>
      <c r="AH28" s="3513"/>
      <c r="AI28" s="3513"/>
      <c r="AJ28" s="3513"/>
      <c r="AK28" s="3513"/>
      <c r="AL28" s="3513"/>
      <c r="AM28" s="3513"/>
      <c r="AN28" s="3513"/>
      <c r="AO28" s="3513"/>
      <c r="AP28" s="3513"/>
      <c r="AQ28" s="3513"/>
      <c r="AR28" s="3513"/>
    </row>
    <row r="29" spans="1:44" ht="28.5" thickBot="1">
      <c r="A29" s="3670" t="s">
        <v>3499</v>
      </c>
      <c r="B29" s="3671"/>
      <c r="C29" s="3672" t="s">
        <v>3500</v>
      </c>
      <c r="D29" s="3665"/>
      <c r="E29" s="3666"/>
      <c r="F29" s="3666"/>
      <c r="G29" s="3521"/>
      <c r="H29" s="3521"/>
      <c r="I29" s="3521"/>
      <c r="J29" s="3521"/>
      <c r="K29" s="3647"/>
      <c r="L29" s="3647"/>
      <c r="M29" s="3513"/>
      <c r="N29" s="3513"/>
      <c r="O29" s="3513"/>
      <c r="P29" s="3513"/>
      <c r="Q29" s="3513"/>
      <c r="R29" s="3513"/>
      <c r="S29" s="3513"/>
      <c r="T29" s="3513"/>
      <c r="U29" s="3513"/>
      <c r="V29" s="3513"/>
      <c r="W29" s="3513"/>
      <c r="X29" s="3513"/>
      <c r="Y29" s="3513"/>
      <c r="Z29" s="3513"/>
      <c r="AA29" s="3513"/>
      <c r="AB29" s="3513"/>
      <c r="AC29" s="3513"/>
      <c r="AD29" s="3513"/>
      <c r="AE29" s="3513"/>
      <c r="AF29" s="3513"/>
      <c r="AG29" s="3513"/>
      <c r="AH29" s="3513"/>
      <c r="AI29" s="3513"/>
      <c r="AJ29" s="3513"/>
      <c r="AK29" s="3513"/>
      <c r="AL29" s="3513"/>
      <c r="AM29" s="3513"/>
      <c r="AN29" s="3513"/>
      <c r="AO29" s="3513"/>
      <c r="AP29" s="3513"/>
      <c r="AQ29" s="3513"/>
      <c r="AR29" s="3513"/>
    </row>
    <row r="30" spans="1:44" ht="27">
      <c r="A30" s="3673" t="s">
        <v>1638</v>
      </c>
      <c r="B30" s="3674">
        <v>150</v>
      </c>
      <c r="C30" s="3669"/>
      <c r="D30" s="3665"/>
      <c r="E30" s="3666"/>
      <c r="F30" s="3666"/>
      <c r="G30" s="3521"/>
      <c r="H30" s="3521"/>
      <c r="I30" s="3521"/>
      <c r="J30" s="3521"/>
      <c r="K30" s="3647"/>
      <c r="L30" s="3647"/>
      <c r="M30" s="3513"/>
      <c r="N30" s="3513"/>
      <c r="O30" s="3513"/>
      <c r="P30" s="3513"/>
      <c r="Q30" s="3513"/>
      <c r="R30" s="3513"/>
      <c r="S30" s="3513"/>
      <c r="T30" s="3513"/>
      <c r="U30" s="3513"/>
      <c r="V30" s="3513"/>
      <c r="W30" s="3513"/>
      <c r="X30" s="3513"/>
      <c r="Y30" s="3513"/>
      <c r="Z30" s="3513"/>
      <c r="AA30" s="3513"/>
      <c r="AB30" s="3513"/>
      <c r="AC30" s="3513"/>
      <c r="AD30" s="3513"/>
      <c r="AE30" s="3513"/>
      <c r="AF30" s="3513"/>
      <c r="AG30" s="3513"/>
      <c r="AH30" s="3513"/>
      <c r="AI30" s="3513"/>
      <c r="AJ30" s="3513"/>
      <c r="AK30" s="3513"/>
      <c r="AL30" s="3513"/>
      <c r="AM30" s="3513"/>
      <c r="AN30" s="3513"/>
      <c r="AO30" s="3513"/>
      <c r="AP30" s="3513"/>
      <c r="AQ30" s="3513"/>
      <c r="AR30" s="3513"/>
    </row>
    <row r="31" spans="1:44" ht="27">
      <c r="A31" s="3667" t="s">
        <v>1640</v>
      </c>
      <c r="B31" s="3675">
        <f>B30-B32</f>
        <v>150</v>
      </c>
      <c r="C31" s="3676"/>
      <c r="D31" s="3665"/>
      <c r="E31" s="3666"/>
      <c r="F31" s="3666"/>
      <c r="G31" s="3521"/>
      <c r="H31" s="3521"/>
      <c r="I31" s="3521"/>
      <c r="J31" s="3521"/>
      <c r="K31" s="3647"/>
      <c r="L31" s="3647"/>
      <c r="M31" s="3513"/>
      <c r="N31" s="3513"/>
      <c r="O31" s="3513"/>
      <c r="P31" s="3513"/>
      <c r="Q31" s="3513"/>
      <c r="R31" s="3513"/>
      <c r="S31" s="3513"/>
      <c r="T31" s="3513"/>
      <c r="U31" s="3513"/>
      <c r="V31" s="3513"/>
      <c r="W31" s="3513"/>
      <c r="X31" s="3513"/>
      <c r="Y31" s="3513"/>
      <c r="Z31" s="3513"/>
      <c r="AA31" s="3513"/>
      <c r="AB31" s="3513"/>
      <c r="AC31" s="3513"/>
      <c r="AD31" s="3513"/>
      <c r="AE31" s="3513"/>
      <c r="AF31" s="3513"/>
      <c r="AG31" s="3513"/>
      <c r="AH31" s="3513"/>
      <c r="AI31" s="3513"/>
      <c r="AJ31" s="3513"/>
      <c r="AK31" s="3513"/>
      <c r="AL31" s="3513"/>
      <c r="AM31" s="3513"/>
      <c r="AN31" s="3513"/>
      <c r="AO31" s="3513"/>
      <c r="AP31" s="3513"/>
      <c r="AQ31" s="3513"/>
      <c r="AR31" s="3513"/>
    </row>
    <row r="32" spans="1:44" ht="27.75" thickBot="1">
      <c r="A32" s="3677" t="s">
        <v>1642</v>
      </c>
      <c r="B32" s="3678">
        <v>0</v>
      </c>
      <c r="C32" s="3669"/>
      <c r="D32" s="3649"/>
      <c r="E32" s="3521"/>
      <c r="F32" s="3521"/>
      <c r="G32" s="3521"/>
      <c r="H32" s="3521"/>
      <c r="I32" s="3521"/>
      <c r="J32" s="3521"/>
      <c r="K32" s="3647"/>
      <c r="L32" s="3647"/>
      <c r="M32" s="3513"/>
      <c r="N32" s="3513"/>
      <c r="O32" s="3513"/>
      <c r="P32" s="3513"/>
      <c r="Q32" s="3513"/>
      <c r="R32" s="3513"/>
      <c r="S32" s="3513"/>
      <c r="T32" s="3513"/>
      <c r="U32" s="3513"/>
      <c r="V32" s="3513"/>
      <c r="W32" s="3513"/>
      <c r="X32" s="3513"/>
      <c r="Y32" s="3513"/>
      <c r="Z32" s="3513"/>
      <c r="AA32" s="3513"/>
      <c r="AB32" s="3513"/>
      <c r="AC32" s="3513"/>
      <c r="AD32" s="3513"/>
      <c r="AE32" s="3513"/>
      <c r="AF32" s="3513"/>
      <c r="AG32" s="3513"/>
      <c r="AH32" s="3513"/>
      <c r="AI32" s="3513"/>
      <c r="AJ32" s="3513"/>
      <c r="AK32" s="3513"/>
      <c r="AL32" s="3513"/>
      <c r="AM32" s="3513"/>
      <c r="AN32" s="3513"/>
      <c r="AO32" s="3513"/>
      <c r="AP32" s="3513"/>
      <c r="AQ32" s="3513"/>
      <c r="AR32" s="3513"/>
    </row>
    <row r="33" spans="1:44" ht="14.25">
      <c r="A33" s="3662" t="s">
        <v>1648</v>
      </c>
      <c r="B33" s="3679">
        <v>0.05</v>
      </c>
      <c r="C33" s="3680" t="s">
        <v>3501</v>
      </c>
      <c r="D33" s="3649"/>
      <c r="E33" s="3521"/>
      <c r="F33" s="3521"/>
      <c r="G33" s="3521"/>
      <c r="H33" s="3521"/>
      <c r="I33" s="3521"/>
      <c r="J33" s="3521"/>
      <c r="K33" s="3647"/>
      <c r="L33" s="3647"/>
      <c r="M33" s="3513"/>
      <c r="N33" s="3513"/>
      <c r="O33" s="3513"/>
      <c r="P33" s="3513"/>
      <c r="Q33" s="3513"/>
      <c r="R33" s="3513"/>
      <c r="S33" s="3513"/>
      <c r="T33" s="3513"/>
      <c r="U33" s="3513"/>
      <c r="V33" s="3513"/>
      <c r="W33" s="3513"/>
      <c r="X33" s="3513"/>
      <c r="Y33" s="3513"/>
      <c r="Z33" s="3513"/>
      <c r="AA33" s="3513"/>
      <c r="AB33" s="3513"/>
      <c r="AC33" s="3513"/>
      <c r="AD33" s="3513"/>
      <c r="AE33" s="3513"/>
      <c r="AF33" s="3513"/>
      <c r="AG33" s="3513"/>
      <c r="AH33" s="3513"/>
      <c r="AI33" s="3513"/>
      <c r="AJ33" s="3513"/>
      <c r="AK33" s="3513"/>
      <c r="AL33" s="3513"/>
      <c r="AM33" s="3513"/>
      <c r="AN33" s="3513"/>
      <c r="AO33" s="3513"/>
      <c r="AP33" s="3513"/>
      <c r="AQ33" s="3513"/>
      <c r="AR33" s="3513"/>
    </row>
    <row r="34" spans="1:44" ht="14.25">
      <c r="A34" s="3667" t="s">
        <v>1650</v>
      </c>
      <c r="B34" s="3603">
        <v>0.05</v>
      </c>
      <c r="C34" s="3680" t="s">
        <v>3502</v>
      </c>
      <c r="D34" s="3681" t="s">
        <v>3503</v>
      </c>
      <c r="E34" s="3645"/>
      <c r="F34" s="3521"/>
      <c r="G34" s="3521"/>
      <c r="H34" s="3521"/>
      <c r="I34" s="3521"/>
      <c r="J34" s="3521"/>
      <c r="K34" s="3647"/>
      <c r="L34" s="3647"/>
      <c r="M34" s="3513"/>
      <c r="N34" s="3513"/>
      <c r="O34" s="3513"/>
      <c r="P34" s="3513"/>
      <c r="Q34" s="3513"/>
      <c r="R34" s="3513"/>
      <c r="S34" s="3513"/>
      <c r="T34" s="3513"/>
      <c r="U34" s="3513"/>
      <c r="V34" s="3513"/>
      <c r="W34" s="3513"/>
      <c r="X34" s="3513"/>
      <c r="Y34" s="3513"/>
      <c r="Z34" s="3513"/>
      <c r="AA34" s="3513"/>
      <c r="AB34" s="3513"/>
      <c r="AC34" s="3513"/>
      <c r="AD34" s="3513"/>
      <c r="AE34" s="3513"/>
      <c r="AF34" s="3513"/>
      <c r="AG34" s="3513"/>
      <c r="AH34" s="3513"/>
      <c r="AI34" s="3513"/>
      <c r="AJ34" s="3513"/>
      <c r="AK34" s="3513"/>
      <c r="AL34" s="3513"/>
      <c r="AM34" s="3513"/>
      <c r="AN34" s="3513"/>
      <c r="AO34" s="3513"/>
      <c r="AP34" s="3513"/>
      <c r="AQ34" s="3513"/>
      <c r="AR34" s="3513"/>
    </row>
    <row r="35" spans="1:44" ht="14.25">
      <c r="A35" s="3667" t="s">
        <v>1652</v>
      </c>
      <c r="B35" s="3668">
        <v>300</v>
      </c>
      <c r="C35" s="3680" t="s">
        <v>3504</v>
      </c>
      <c r="D35" s="3665"/>
      <c r="E35" s="3666"/>
      <c r="F35" s="3666"/>
      <c r="G35" s="3521"/>
      <c r="H35" s="3521"/>
      <c r="I35" s="3521"/>
      <c r="J35" s="3521"/>
      <c r="K35" s="3647"/>
      <c r="L35" s="3647"/>
      <c r="M35" s="3513"/>
      <c r="N35" s="3513"/>
      <c r="O35" s="3513"/>
      <c r="P35" s="3513"/>
      <c r="Q35" s="3513"/>
      <c r="R35" s="3513"/>
      <c r="S35" s="3513"/>
      <c r="T35" s="3513"/>
      <c r="U35" s="3513"/>
      <c r="V35" s="3513"/>
      <c r="W35" s="3513"/>
      <c r="X35" s="3513"/>
      <c r="Y35" s="3513"/>
      <c r="Z35" s="3513"/>
      <c r="AA35" s="3513"/>
      <c r="AB35" s="3513"/>
      <c r="AC35" s="3513"/>
      <c r="AD35" s="3513"/>
      <c r="AE35" s="3513"/>
      <c r="AF35" s="3513"/>
      <c r="AG35" s="3513"/>
      <c r="AH35" s="3513"/>
      <c r="AI35" s="3513"/>
      <c r="AJ35" s="3513"/>
      <c r="AK35" s="3513"/>
      <c r="AL35" s="3513"/>
      <c r="AM35" s="3513"/>
      <c r="AN35" s="3513"/>
      <c r="AO35" s="3513"/>
      <c r="AP35" s="3513"/>
      <c r="AQ35" s="3513"/>
      <c r="AR35" s="3513"/>
    </row>
    <row r="36" spans="1:44" ht="15" thickBot="1">
      <c r="A36" s="3670" t="s">
        <v>1654</v>
      </c>
      <c r="B36" s="3682">
        <v>1.4999999999999999E-2</v>
      </c>
      <c r="C36" s="3680" t="s">
        <v>3505</v>
      </c>
      <c r="D36" s="3649"/>
      <c r="E36" s="3521"/>
      <c r="F36" s="3521"/>
      <c r="G36" s="3521"/>
      <c r="H36" s="3521"/>
      <c r="I36" s="3521"/>
      <c r="J36" s="3521"/>
      <c r="K36" s="3647"/>
      <c r="L36" s="3647"/>
      <c r="M36" s="3513"/>
      <c r="N36" s="3513"/>
      <c r="O36" s="3513"/>
      <c r="P36" s="3513"/>
      <c r="Q36" s="3513"/>
      <c r="R36" s="3513"/>
      <c r="S36" s="3513"/>
      <c r="T36" s="3513"/>
      <c r="U36" s="3513"/>
      <c r="V36" s="3513"/>
      <c r="W36" s="3513"/>
      <c r="X36" s="3513"/>
      <c r="Y36" s="3513"/>
      <c r="Z36" s="3513"/>
      <c r="AA36" s="3513"/>
      <c r="AB36" s="3513"/>
      <c r="AC36" s="3513"/>
      <c r="AD36" s="3513"/>
      <c r="AE36" s="3513"/>
      <c r="AF36" s="3513"/>
      <c r="AG36" s="3513"/>
      <c r="AH36" s="3513"/>
      <c r="AI36" s="3513"/>
      <c r="AJ36" s="3513"/>
      <c r="AK36" s="3513"/>
      <c r="AL36" s="3513"/>
      <c r="AM36" s="3513"/>
      <c r="AN36" s="3513"/>
      <c r="AO36" s="3513"/>
      <c r="AP36" s="3513"/>
      <c r="AQ36" s="3513"/>
      <c r="AR36" s="3513"/>
    </row>
    <row r="37" spans="1:44" ht="14.25">
      <c r="A37" s="3673" t="s">
        <v>1656</v>
      </c>
      <c r="B37" s="3683">
        <v>0.03</v>
      </c>
      <c r="C37" s="3680" t="s">
        <v>3506</v>
      </c>
      <c r="D37" s="3649"/>
      <c r="E37" s="3521"/>
      <c r="F37" s="3521"/>
      <c r="G37" s="3521"/>
      <c r="H37" s="3521"/>
      <c r="I37" s="3521"/>
      <c r="J37" s="3521"/>
      <c r="K37" s="3647"/>
      <c r="L37" s="3647"/>
      <c r="M37" s="3513"/>
      <c r="N37" s="3513"/>
      <c r="O37" s="3513"/>
      <c r="P37" s="3513"/>
      <c r="Q37" s="3513"/>
      <c r="R37" s="3513"/>
      <c r="S37" s="3513"/>
      <c r="T37" s="3513"/>
      <c r="U37" s="3513"/>
      <c r="V37" s="3513"/>
      <c r="W37" s="3513"/>
      <c r="X37" s="3513"/>
      <c r="Y37" s="3513"/>
      <c r="Z37" s="3513"/>
      <c r="AA37" s="3513"/>
      <c r="AB37" s="3513"/>
      <c r="AC37" s="3513"/>
      <c r="AD37" s="3513"/>
      <c r="AE37" s="3513"/>
      <c r="AF37" s="3513"/>
      <c r="AG37" s="3513"/>
      <c r="AH37" s="3513"/>
      <c r="AI37" s="3513"/>
      <c r="AJ37" s="3513"/>
      <c r="AK37" s="3513"/>
      <c r="AL37" s="3513"/>
      <c r="AM37" s="3513"/>
      <c r="AN37" s="3513"/>
      <c r="AO37" s="3513"/>
      <c r="AP37" s="3513"/>
      <c r="AQ37" s="3513"/>
      <c r="AR37" s="3513"/>
    </row>
    <row r="38" spans="1:44" ht="14.25">
      <c r="A38" s="3667" t="s">
        <v>1658</v>
      </c>
      <c r="B38" s="3603">
        <v>0.05</v>
      </c>
      <c r="C38" s="3680" t="s">
        <v>3506</v>
      </c>
      <c r="D38" s="3649"/>
      <c r="E38" s="3521"/>
      <c r="F38" s="3521"/>
      <c r="G38" s="3521"/>
      <c r="H38" s="3521"/>
      <c r="I38" s="3521"/>
      <c r="J38" s="3521"/>
      <c r="K38" s="3647"/>
      <c r="L38" s="3647"/>
      <c r="M38" s="3513"/>
      <c r="N38" s="3513"/>
      <c r="O38" s="3513"/>
      <c r="P38" s="3513"/>
      <c r="Q38" s="3513"/>
      <c r="R38" s="3513"/>
      <c r="S38" s="3513"/>
      <c r="T38" s="3513"/>
      <c r="U38" s="3513"/>
      <c r="V38" s="3513"/>
      <c r="W38" s="3513"/>
      <c r="X38" s="3513"/>
      <c r="Y38" s="3513"/>
      <c r="Z38" s="3513"/>
      <c r="AA38" s="3513"/>
      <c r="AB38" s="3513"/>
      <c r="AC38" s="3513"/>
      <c r="AD38" s="3513"/>
      <c r="AE38" s="3513"/>
      <c r="AF38" s="3513"/>
      <c r="AG38" s="3513"/>
      <c r="AH38" s="3513"/>
      <c r="AI38" s="3513"/>
      <c r="AJ38" s="3513"/>
      <c r="AK38" s="3513"/>
      <c r="AL38" s="3513"/>
      <c r="AM38" s="3513"/>
      <c r="AN38" s="3513"/>
      <c r="AO38" s="3513"/>
      <c r="AP38" s="3513"/>
      <c r="AQ38" s="3513"/>
      <c r="AR38" s="3513"/>
    </row>
    <row r="39" spans="1:44" ht="14.25">
      <c r="A39" s="3677" t="s">
        <v>1662</v>
      </c>
      <c r="B39" s="3684">
        <f>[3]存贷款利率!I1</f>
        <v>1.4999999999999999E-2</v>
      </c>
      <c r="C39" s="3685"/>
      <c r="D39" s="3649"/>
      <c r="E39" s="3521"/>
      <c r="F39" s="3521"/>
      <c r="G39" s="3521"/>
      <c r="H39" s="3521"/>
      <c r="I39" s="3521"/>
      <c r="J39" s="3521"/>
      <c r="K39" s="3647"/>
      <c r="L39" s="3647"/>
      <c r="M39" s="3513"/>
      <c r="N39" s="3513"/>
      <c r="O39" s="3513"/>
      <c r="P39" s="3513"/>
      <c r="Q39" s="3513"/>
      <c r="R39" s="3513"/>
      <c r="S39" s="3513"/>
      <c r="T39" s="3513"/>
      <c r="U39" s="3513"/>
      <c r="V39" s="3513"/>
      <c r="W39" s="3513"/>
      <c r="X39" s="3513"/>
      <c r="Y39" s="3513"/>
      <c r="Z39" s="3513"/>
      <c r="AA39" s="3513"/>
      <c r="AB39" s="3513"/>
      <c r="AC39" s="3513"/>
      <c r="AD39" s="3513"/>
      <c r="AE39" s="3513"/>
      <c r="AF39" s="3513"/>
      <c r="AG39" s="3513"/>
      <c r="AH39" s="3513"/>
      <c r="AI39" s="3513"/>
      <c r="AJ39" s="3513"/>
      <c r="AK39" s="3513"/>
      <c r="AL39" s="3513"/>
      <c r="AM39" s="3513"/>
      <c r="AN39" s="3513"/>
      <c r="AO39" s="3513"/>
      <c r="AP39" s="3513"/>
      <c r="AQ39" s="3513"/>
      <c r="AR39" s="3513"/>
    </row>
    <row r="40" spans="1:44" ht="29.25" thickBot="1">
      <c r="A40" s="3686" t="s">
        <v>3507</v>
      </c>
      <c r="B40" s="3687">
        <f>IF(A40="利息：取LPR",[3]存贷款利率!G1,[3]存贷款利率!G1+C40)</f>
        <v>4.7500000000000001E-2</v>
      </c>
      <c r="C40" s="3688">
        <v>1.0999999999999999E-2</v>
      </c>
      <c r="D40" s="3513"/>
      <c r="E40" s="3649"/>
      <c r="F40" s="3521"/>
      <c r="G40" s="3521"/>
      <c r="H40" s="3521"/>
      <c r="I40" s="3521"/>
      <c r="J40" s="3521"/>
      <c r="K40" s="3647"/>
      <c r="L40" s="3647"/>
      <c r="M40" s="3513"/>
      <c r="N40" s="3513"/>
      <c r="O40" s="3513"/>
      <c r="P40" s="3513"/>
      <c r="Q40" s="3513"/>
      <c r="R40" s="3513"/>
      <c r="S40" s="3513"/>
      <c r="T40" s="3513"/>
      <c r="U40" s="3513"/>
      <c r="V40" s="3513"/>
      <c r="W40" s="3513"/>
      <c r="X40" s="3513"/>
      <c r="Y40" s="3513"/>
      <c r="Z40" s="3513"/>
      <c r="AA40" s="3513"/>
      <c r="AB40" s="3513"/>
      <c r="AC40" s="3513"/>
      <c r="AD40" s="3513"/>
      <c r="AE40" s="3513"/>
      <c r="AF40" s="3513"/>
      <c r="AG40" s="3513"/>
      <c r="AH40" s="3513"/>
      <c r="AI40" s="3513"/>
      <c r="AJ40" s="3513"/>
      <c r="AK40" s="3513"/>
      <c r="AL40" s="3513"/>
      <c r="AM40" s="3513"/>
      <c r="AN40" s="3513"/>
      <c r="AO40" s="3513"/>
      <c r="AP40" s="3513"/>
      <c r="AQ40" s="3513"/>
      <c r="AR40" s="3513"/>
    </row>
    <row r="41" spans="1:44" ht="14.25">
      <c r="A41" s="3662" t="s">
        <v>1661</v>
      </c>
      <c r="B41" s="3689">
        <f>B42+B43</f>
        <v>5.6000000000000001E-2</v>
      </c>
      <c r="C41" s="3676"/>
      <c r="D41" s="3513"/>
      <c r="E41" s="3649"/>
      <c r="F41" s="3521"/>
      <c r="G41" s="3521"/>
      <c r="H41" s="3521"/>
      <c r="I41" s="3521"/>
      <c r="J41" s="3521"/>
      <c r="K41" s="3647"/>
      <c r="L41" s="3647"/>
      <c r="M41" s="3513"/>
      <c r="N41" s="3513"/>
      <c r="O41" s="3513"/>
      <c r="P41" s="3513"/>
      <c r="Q41" s="3513"/>
      <c r="R41" s="3513"/>
      <c r="S41" s="3513"/>
      <c r="T41" s="3513"/>
      <c r="U41" s="3513"/>
      <c r="V41" s="3513"/>
      <c r="W41" s="3513"/>
      <c r="X41" s="3513"/>
      <c r="Y41" s="3513"/>
      <c r="Z41" s="3513"/>
      <c r="AA41" s="3513"/>
      <c r="AB41" s="3513"/>
      <c r="AC41" s="3513"/>
      <c r="AD41" s="3513"/>
      <c r="AE41" s="3513"/>
      <c r="AF41" s="3513"/>
      <c r="AG41" s="3513"/>
      <c r="AH41" s="3513"/>
      <c r="AI41" s="3513"/>
      <c r="AJ41" s="3513"/>
      <c r="AK41" s="3513"/>
      <c r="AL41" s="3513"/>
      <c r="AM41" s="3513"/>
      <c r="AN41" s="3513"/>
      <c r="AO41" s="3513"/>
      <c r="AP41" s="3513"/>
      <c r="AQ41" s="3513"/>
      <c r="AR41" s="3513"/>
    </row>
    <row r="42" spans="1:44" ht="14.25">
      <c r="A42" s="3690" t="s">
        <v>1663</v>
      </c>
      <c r="B42" s="3691">
        <v>0.05</v>
      </c>
      <c r="C42" s="3692">
        <f>IF(B2&lt;DATE(2016,5,1),0,B42)</f>
        <v>0.05</v>
      </c>
      <c r="D42" s="3649"/>
      <c r="E42" s="3521"/>
      <c r="F42" s="3521"/>
      <c r="G42" s="3521"/>
      <c r="H42" s="3521"/>
      <c r="I42" s="3521"/>
      <c r="J42" s="3521"/>
      <c r="K42" s="3647"/>
      <c r="L42" s="3647"/>
      <c r="M42" s="3513"/>
      <c r="N42" s="3513"/>
      <c r="O42" s="3513"/>
      <c r="P42" s="3513"/>
      <c r="Q42" s="3513"/>
      <c r="R42" s="3513"/>
      <c r="S42" s="3513"/>
      <c r="T42" s="3513"/>
      <c r="U42" s="3513"/>
      <c r="V42" s="3513"/>
      <c r="W42" s="3513"/>
      <c r="X42" s="3513"/>
      <c r="Y42" s="3513"/>
      <c r="Z42" s="3513"/>
      <c r="AA42" s="3513"/>
      <c r="AB42" s="3513"/>
      <c r="AC42" s="3513"/>
      <c r="AD42" s="3513"/>
      <c r="AE42" s="3513"/>
      <c r="AF42" s="3513"/>
      <c r="AG42" s="3513"/>
      <c r="AH42" s="3513"/>
      <c r="AI42" s="3513"/>
      <c r="AJ42" s="3513"/>
      <c r="AK42" s="3513"/>
      <c r="AL42" s="3513"/>
      <c r="AM42" s="3513"/>
      <c r="AN42" s="3513"/>
      <c r="AO42" s="3513"/>
      <c r="AP42" s="3513"/>
      <c r="AQ42" s="3513"/>
      <c r="AR42" s="3513"/>
    </row>
    <row r="43" spans="1:44" ht="14.25">
      <c r="A43" s="3690" t="s">
        <v>1665</v>
      </c>
      <c r="B43" s="3693">
        <f>B42*(B44+B45+B46)+B47</f>
        <v>6.000000000000001E-3</v>
      </c>
      <c r="C43" s="3676"/>
      <c r="D43" s="3649"/>
      <c r="E43" s="3521"/>
      <c r="F43" s="3521"/>
      <c r="G43" s="3521"/>
      <c r="H43" s="3521"/>
      <c r="I43" s="3521"/>
      <c r="J43" s="3521"/>
      <c r="K43" s="3647"/>
      <c r="L43" s="3647"/>
      <c r="M43" s="3513"/>
      <c r="N43" s="3513"/>
      <c r="O43" s="3513"/>
      <c r="P43" s="3513"/>
      <c r="Q43" s="3513"/>
      <c r="R43" s="3513"/>
      <c r="S43" s="3513"/>
      <c r="T43" s="3513"/>
      <c r="U43" s="3513"/>
      <c r="V43" s="3513"/>
      <c r="W43" s="3513"/>
      <c r="X43" s="3513"/>
      <c r="Y43" s="3513"/>
      <c r="Z43" s="3513"/>
      <c r="AA43" s="3513"/>
      <c r="AB43" s="3513"/>
      <c r="AC43" s="3513"/>
      <c r="AD43" s="3513"/>
      <c r="AE43" s="3513"/>
      <c r="AF43" s="3513"/>
      <c r="AG43" s="3513"/>
      <c r="AH43" s="3513"/>
      <c r="AI43" s="3513"/>
      <c r="AJ43" s="3513"/>
      <c r="AK43" s="3513"/>
      <c r="AL43" s="3513"/>
      <c r="AM43" s="3513"/>
      <c r="AN43" s="3513"/>
      <c r="AO43" s="3513"/>
      <c r="AP43" s="3513"/>
      <c r="AQ43" s="3513"/>
      <c r="AR43" s="3513"/>
    </row>
    <row r="44" spans="1:44" ht="14.25">
      <c r="A44" s="3694" t="s">
        <v>1667</v>
      </c>
      <c r="B44" s="3695">
        <v>7.0000000000000007E-2</v>
      </c>
      <c r="C44" s="3680" t="s">
        <v>3508</v>
      </c>
      <c r="D44" s="3649"/>
      <c r="E44" s="3521"/>
      <c r="F44" s="3521"/>
      <c r="G44" s="3521"/>
      <c r="H44" s="3521"/>
      <c r="I44" s="3521"/>
      <c r="J44" s="3521"/>
      <c r="K44" s="3647"/>
      <c r="L44" s="3647"/>
      <c r="M44" s="3513"/>
      <c r="N44" s="3513"/>
      <c r="O44" s="3513"/>
      <c r="P44" s="3513"/>
      <c r="Q44" s="3513"/>
      <c r="R44" s="3513"/>
      <c r="S44" s="3513"/>
      <c r="T44" s="3513"/>
      <c r="U44" s="3513"/>
      <c r="V44" s="3513"/>
      <c r="W44" s="3513"/>
      <c r="X44" s="3513"/>
      <c r="Y44" s="3513"/>
      <c r="Z44" s="3513"/>
      <c r="AA44" s="3513"/>
      <c r="AB44" s="3513"/>
      <c r="AC44" s="3513"/>
      <c r="AD44" s="3513"/>
      <c r="AE44" s="3513"/>
      <c r="AF44" s="3513"/>
      <c r="AG44" s="3513"/>
      <c r="AH44" s="3513"/>
      <c r="AI44" s="3513"/>
      <c r="AJ44" s="3513"/>
      <c r="AK44" s="3513"/>
      <c r="AL44" s="3513"/>
      <c r="AM44" s="3513"/>
      <c r="AN44" s="3513"/>
      <c r="AO44" s="3513"/>
      <c r="AP44" s="3513"/>
      <c r="AQ44" s="3513"/>
      <c r="AR44" s="3513"/>
    </row>
    <row r="45" spans="1:44" ht="14.25">
      <c r="A45" s="3694" t="s">
        <v>1669</v>
      </c>
      <c r="B45" s="3691">
        <v>0.03</v>
      </c>
      <c r="C45" s="3672" t="s">
        <v>3509</v>
      </c>
      <c r="D45" s="3649"/>
      <c r="E45" s="3521"/>
      <c r="F45" s="3521"/>
      <c r="G45" s="3521"/>
      <c r="H45" s="3521"/>
      <c r="I45" s="3521"/>
      <c r="J45" s="3521"/>
      <c r="K45" s="3647"/>
      <c r="L45" s="3647"/>
      <c r="M45" s="3513"/>
      <c r="N45" s="3513"/>
      <c r="O45" s="3513"/>
      <c r="P45" s="3513"/>
      <c r="Q45" s="3513"/>
      <c r="R45" s="3513"/>
      <c r="S45" s="3513"/>
      <c r="T45" s="3513"/>
      <c r="U45" s="3513"/>
      <c r="V45" s="3513"/>
      <c r="W45" s="3513"/>
      <c r="X45" s="3513"/>
      <c r="Y45" s="3513"/>
      <c r="Z45" s="3513"/>
      <c r="AA45" s="3513"/>
      <c r="AB45" s="3513"/>
      <c r="AC45" s="3513"/>
      <c r="AD45" s="3513"/>
      <c r="AE45" s="3513"/>
      <c r="AF45" s="3513"/>
      <c r="AG45" s="3513"/>
      <c r="AH45" s="3513"/>
      <c r="AI45" s="3513"/>
      <c r="AJ45" s="3513"/>
      <c r="AK45" s="3513"/>
      <c r="AL45" s="3513"/>
      <c r="AM45" s="3513"/>
      <c r="AN45" s="3513"/>
      <c r="AO45" s="3513"/>
      <c r="AP45" s="3513"/>
      <c r="AQ45" s="3513"/>
      <c r="AR45" s="3513"/>
    </row>
    <row r="46" spans="1:44" ht="14.25">
      <c r="A46" s="3694" t="s">
        <v>1671</v>
      </c>
      <c r="B46" s="3691">
        <v>0.02</v>
      </c>
      <c r="C46" s="3672" t="s">
        <v>3510</v>
      </c>
      <c r="D46" s="3649"/>
      <c r="E46" s="3521"/>
      <c r="F46" s="3521"/>
      <c r="G46" s="3521"/>
      <c r="H46" s="3521"/>
      <c r="I46" s="3521"/>
      <c r="J46" s="3521"/>
      <c r="K46" s="3647"/>
      <c r="L46" s="3647"/>
      <c r="M46" s="3513"/>
      <c r="N46" s="3513"/>
      <c r="O46" s="3513"/>
      <c r="P46" s="3513"/>
      <c r="Q46" s="3513"/>
      <c r="R46" s="3513"/>
      <c r="S46" s="3513"/>
      <c r="T46" s="3513"/>
      <c r="U46" s="3513"/>
      <c r="V46" s="3513"/>
      <c r="W46" s="3513"/>
      <c r="X46" s="3513"/>
      <c r="Y46" s="3513"/>
      <c r="Z46" s="3513"/>
      <c r="AA46" s="3513"/>
      <c r="AB46" s="3513"/>
      <c r="AC46" s="3513"/>
      <c r="AD46" s="3513"/>
      <c r="AE46" s="3513"/>
      <c r="AF46" s="3513"/>
      <c r="AG46" s="3513"/>
      <c r="AH46" s="3513"/>
      <c r="AI46" s="3513"/>
      <c r="AJ46" s="3513"/>
      <c r="AK46" s="3513"/>
      <c r="AL46" s="3513"/>
      <c r="AM46" s="3513"/>
      <c r="AN46" s="3513"/>
      <c r="AO46" s="3513"/>
      <c r="AP46" s="3513"/>
      <c r="AQ46" s="3513"/>
      <c r="AR46" s="3513"/>
    </row>
    <row r="47" spans="1:44" ht="15" thickBot="1">
      <c r="A47" s="3696" t="s">
        <v>1674</v>
      </c>
      <c r="B47" s="3697"/>
      <c r="C47" s="3698" t="s">
        <v>3511</v>
      </c>
      <c r="D47" s="3649"/>
      <c r="E47" s="3521"/>
      <c r="F47" s="3521"/>
      <c r="G47" s="3521"/>
      <c r="H47" s="3521"/>
      <c r="I47" s="3521"/>
      <c r="J47" s="3521"/>
      <c r="K47" s="3647"/>
      <c r="L47" s="3647"/>
      <c r="M47" s="3513"/>
      <c r="N47" s="3513"/>
      <c r="O47" s="3513"/>
      <c r="P47" s="3513"/>
      <c r="Q47" s="3513"/>
      <c r="R47" s="3513"/>
      <c r="S47" s="3513"/>
      <c r="T47" s="3513"/>
      <c r="U47" s="3513"/>
      <c r="V47" s="3513"/>
      <c r="W47" s="3513"/>
      <c r="X47" s="3513"/>
      <c r="Y47" s="3513"/>
      <c r="Z47" s="3513"/>
      <c r="AA47" s="3513"/>
      <c r="AB47" s="3513"/>
      <c r="AC47" s="3513"/>
      <c r="AD47" s="3513"/>
      <c r="AE47" s="3513"/>
      <c r="AF47" s="3513"/>
      <c r="AG47" s="3513"/>
      <c r="AH47" s="3513"/>
      <c r="AI47" s="3513"/>
      <c r="AJ47" s="3513"/>
      <c r="AK47" s="3513"/>
      <c r="AL47" s="3513"/>
      <c r="AM47" s="3513"/>
      <c r="AN47" s="3513"/>
      <c r="AO47" s="3513"/>
      <c r="AP47" s="3513"/>
      <c r="AQ47" s="3513"/>
      <c r="AR47" s="3513"/>
    </row>
    <row r="48" spans="1:44" ht="14.25">
      <c r="A48" s="3699" t="s">
        <v>1676</v>
      </c>
      <c r="B48" s="3700">
        <v>0.03</v>
      </c>
      <c r="C48" s="3672" t="s">
        <v>3509</v>
      </c>
      <c r="D48" s="3649"/>
      <c r="E48" s="3521"/>
      <c r="F48" s="3521"/>
      <c r="G48" s="3521"/>
      <c r="H48" s="3521"/>
      <c r="I48" s="3521"/>
      <c r="J48" s="3521"/>
      <c r="K48" s="3647"/>
      <c r="L48" s="3647"/>
      <c r="M48" s="3513"/>
      <c r="N48" s="3513"/>
      <c r="O48" s="3513"/>
      <c r="P48" s="3513"/>
      <c r="Q48" s="3513"/>
      <c r="R48" s="3513"/>
      <c r="S48" s="3513"/>
      <c r="T48" s="3513"/>
      <c r="U48" s="3513"/>
      <c r="V48" s="3513"/>
      <c r="W48" s="3513"/>
      <c r="X48" s="3513"/>
      <c r="Y48" s="3513"/>
      <c r="Z48" s="3513"/>
      <c r="AA48" s="3513"/>
      <c r="AB48" s="3513"/>
      <c r="AC48" s="3513"/>
      <c r="AD48" s="3513"/>
      <c r="AE48" s="3513"/>
      <c r="AF48" s="3513"/>
      <c r="AG48" s="3513"/>
      <c r="AH48" s="3513"/>
      <c r="AI48" s="3513"/>
      <c r="AJ48" s="3513"/>
      <c r="AK48" s="3513"/>
      <c r="AL48" s="3513"/>
      <c r="AM48" s="3513"/>
      <c r="AN48" s="3513"/>
      <c r="AO48" s="3513"/>
      <c r="AP48" s="3513"/>
      <c r="AQ48" s="3513"/>
      <c r="AR48" s="3513"/>
    </row>
    <row r="49" spans="1:44" ht="15" thickBot="1">
      <c r="A49" s="3677" t="s">
        <v>1678</v>
      </c>
      <c r="B49" s="3691">
        <v>5.0000000000000001E-4</v>
      </c>
      <c r="C49" s="3672" t="s">
        <v>3512</v>
      </c>
      <c r="D49" s="3649"/>
      <c r="E49" s="3521"/>
      <c r="F49" s="3521"/>
      <c r="G49" s="3521"/>
      <c r="H49" s="3521"/>
      <c r="I49" s="3521"/>
      <c r="J49" s="3521"/>
      <c r="K49" s="3647"/>
      <c r="L49" s="3647"/>
      <c r="M49" s="3513"/>
      <c r="N49" s="3513"/>
      <c r="O49" s="3513"/>
      <c r="P49" s="3513"/>
      <c r="Q49" s="3513"/>
      <c r="R49" s="3513"/>
      <c r="S49" s="3513"/>
      <c r="T49" s="3513"/>
      <c r="U49" s="3513"/>
      <c r="V49" s="3513"/>
      <c r="W49" s="3513"/>
      <c r="X49" s="3513"/>
      <c r="Y49" s="3513"/>
      <c r="Z49" s="3513"/>
      <c r="AA49" s="3513"/>
      <c r="AB49" s="3513"/>
      <c r="AC49" s="3513"/>
      <c r="AD49" s="3513"/>
      <c r="AE49" s="3513"/>
      <c r="AF49" s="3513"/>
      <c r="AG49" s="3513"/>
      <c r="AH49" s="3513"/>
      <c r="AI49" s="3513"/>
      <c r="AJ49" s="3513"/>
      <c r="AK49" s="3513"/>
      <c r="AL49" s="3513"/>
      <c r="AM49" s="3513"/>
      <c r="AN49" s="3513"/>
      <c r="AO49" s="3513"/>
      <c r="AP49" s="3513"/>
      <c r="AQ49" s="3513"/>
      <c r="AR49" s="3513"/>
    </row>
    <row r="50" spans="1:44" ht="14.25">
      <c r="A50" s="3701" t="s">
        <v>1680</v>
      </c>
      <c r="B50" s="3702">
        <v>1.2E-2</v>
      </c>
      <c r="C50" s="3666"/>
      <c r="D50" s="3649"/>
      <c r="E50" s="3521"/>
      <c r="F50" s="3521"/>
      <c r="G50" s="3521"/>
      <c r="H50" s="3521"/>
      <c r="I50" s="3521"/>
      <c r="J50" s="3521"/>
      <c r="K50" s="3647"/>
      <c r="L50" s="3647"/>
      <c r="M50" s="3513"/>
      <c r="N50" s="3513"/>
      <c r="O50" s="3513"/>
      <c r="P50" s="3513"/>
      <c r="Q50" s="3513"/>
      <c r="R50" s="3513"/>
      <c r="S50" s="3513"/>
      <c r="T50" s="3513"/>
      <c r="U50" s="3513"/>
      <c r="V50" s="3513"/>
      <c r="W50" s="3513"/>
      <c r="X50" s="3513"/>
      <c r="Y50" s="3513"/>
      <c r="Z50" s="3513"/>
      <c r="AA50" s="3513"/>
      <c r="AB50" s="3513"/>
      <c r="AC50" s="3513"/>
      <c r="AD50" s="3513"/>
      <c r="AE50" s="3513"/>
      <c r="AF50" s="3513"/>
      <c r="AG50" s="3513"/>
      <c r="AH50" s="3513"/>
      <c r="AI50" s="3513"/>
      <c r="AJ50" s="3513"/>
      <c r="AK50" s="3513"/>
      <c r="AL50" s="3513"/>
      <c r="AM50" s="3513"/>
      <c r="AN50" s="3513"/>
      <c r="AO50" s="3513"/>
      <c r="AP50" s="3513"/>
      <c r="AQ50" s="3513"/>
      <c r="AR50" s="3513"/>
    </row>
    <row r="51" spans="1:44" ht="15" thickBot="1">
      <c r="A51" s="3670" t="s">
        <v>1681</v>
      </c>
      <c r="B51" s="3703">
        <v>0.12</v>
      </c>
      <c r="C51" s="3666"/>
      <c r="D51" s="3649"/>
      <c r="E51" s="3521"/>
      <c r="F51" s="3521"/>
      <c r="G51" s="3521"/>
      <c r="H51" s="3521"/>
      <c r="I51" s="3521"/>
      <c r="J51" s="3521"/>
      <c r="K51" s="3647"/>
      <c r="L51" s="3647"/>
      <c r="M51" s="3513"/>
      <c r="N51" s="3513"/>
      <c r="O51" s="3513"/>
      <c r="P51" s="3513"/>
      <c r="Q51" s="3513"/>
      <c r="R51" s="3513"/>
      <c r="S51" s="3513"/>
      <c r="T51" s="3513"/>
      <c r="U51" s="3513"/>
      <c r="V51" s="3513"/>
      <c r="W51" s="3513"/>
      <c r="X51" s="3513"/>
      <c r="Y51" s="3513"/>
      <c r="Z51" s="3513"/>
      <c r="AA51" s="3513"/>
      <c r="AB51" s="3513"/>
      <c r="AC51" s="3513"/>
      <c r="AD51" s="3513"/>
      <c r="AE51" s="3513"/>
      <c r="AF51" s="3513"/>
      <c r="AG51" s="3513"/>
      <c r="AH51" s="3513"/>
      <c r="AI51" s="3513"/>
      <c r="AJ51" s="3513"/>
      <c r="AK51" s="3513"/>
      <c r="AL51" s="3513"/>
      <c r="AM51" s="3513"/>
      <c r="AN51" s="3513"/>
      <c r="AO51" s="3513"/>
      <c r="AP51" s="3513"/>
      <c r="AQ51" s="3513"/>
      <c r="AR51" s="3513"/>
    </row>
    <row r="52" spans="1:44" ht="14.25">
      <c r="A52" s="3701" t="s">
        <v>1682</v>
      </c>
      <c r="B52" s="3704">
        <f>SUMIF(A54:A63,B53,B54:B63)</f>
        <v>0</v>
      </c>
      <c r="C52" s="3666"/>
      <c r="D52" s="3649"/>
      <c r="E52" s="3521"/>
      <c r="F52" s="3521"/>
      <c r="G52" s="3521"/>
      <c r="H52" s="3521"/>
      <c r="I52" s="3521"/>
      <c r="J52" s="3521"/>
      <c r="K52" s="3647"/>
      <c r="L52" s="3647"/>
      <c r="M52" s="3513"/>
      <c r="N52" s="3513"/>
      <c r="O52" s="3513"/>
      <c r="P52" s="3513"/>
      <c r="Q52" s="3513"/>
      <c r="R52" s="3513"/>
      <c r="S52" s="3513"/>
      <c r="T52" s="3513"/>
      <c r="U52" s="3513"/>
      <c r="V52" s="3513"/>
      <c r="W52" s="3513"/>
      <c r="X52" s="3513"/>
      <c r="Y52" s="3513"/>
      <c r="Z52" s="3513"/>
      <c r="AA52" s="3513"/>
      <c r="AB52" s="3513"/>
      <c r="AC52" s="3513"/>
      <c r="AD52" s="3513"/>
      <c r="AE52" s="3513"/>
      <c r="AF52" s="3513"/>
      <c r="AG52" s="3513"/>
      <c r="AH52" s="3513"/>
      <c r="AI52" s="3513"/>
      <c r="AJ52" s="3513"/>
      <c r="AK52" s="3513"/>
      <c r="AL52" s="3513"/>
      <c r="AM52" s="3513"/>
      <c r="AN52" s="3513"/>
      <c r="AO52" s="3513"/>
      <c r="AP52" s="3513"/>
      <c r="AQ52" s="3513"/>
      <c r="AR52" s="3513"/>
    </row>
    <row r="53" spans="1:44" ht="27">
      <c r="A53" s="3667" t="s">
        <v>1684</v>
      </c>
      <c r="B53" s="3705"/>
      <c r="C53" s="3666" t="s">
        <v>1685</v>
      </c>
      <c r="D53" s="3706" t="s">
        <v>3513</v>
      </c>
      <c r="E53" s="3521"/>
      <c r="F53" s="3521"/>
      <c r="G53" s="3521"/>
      <c r="H53" s="3521"/>
      <c r="I53" s="3521"/>
      <c r="J53" s="3521"/>
      <c r="K53" s="3647"/>
      <c r="L53" s="3647"/>
      <c r="M53" s="3513"/>
      <c r="N53" s="3513"/>
      <c r="O53" s="3513"/>
      <c r="P53" s="3513"/>
      <c r="Q53" s="3513"/>
      <c r="R53" s="3513"/>
      <c r="S53" s="3513"/>
      <c r="T53" s="3513"/>
      <c r="U53" s="3513"/>
      <c r="V53" s="3513"/>
      <c r="W53" s="3513"/>
      <c r="X53" s="3513"/>
      <c r="Y53" s="3513"/>
      <c r="Z53" s="3513"/>
      <c r="AA53" s="3513"/>
      <c r="AB53" s="3513"/>
      <c r="AC53" s="3513"/>
      <c r="AD53" s="3513"/>
      <c r="AE53" s="3513"/>
      <c r="AF53" s="3513"/>
      <c r="AG53" s="3513"/>
      <c r="AH53" s="3513"/>
      <c r="AI53" s="3513"/>
      <c r="AJ53" s="3513"/>
      <c r="AK53" s="3513"/>
      <c r="AL53" s="3513"/>
      <c r="AM53" s="3513"/>
      <c r="AN53" s="3513"/>
      <c r="AO53" s="3513"/>
      <c r="AP53" s="3513"/>
      <c r="AQ53" s="3513"/>
      <c r="AR53" s="3513"/>
    </row>
    <row r="54" spans="1:44" ht="14.25">
      <c r="A54" s="3707" t="s">
        <v>1688</v>
      </c>
      <c r="B54" s="3708"/>
      <c r="C54" s="3666">
        <v>30</v>
      </c>
      <c r="D54" s="3649"/>
      <c r="E54" s="3521"/>
      <c r="F54" s="3521"/>
      <c r="G54" s="3521"/>
      <c r="H54" s="3521"/>
      <c r="I54" s="3521"/>
      <c r="J54" s="3521"/>
      <c r="K54" s="3647"/>
      <c r="L54" s="3647"/>
      <c r="M54" s="3513"/>
      <c r="N54" s="3513"/>
      <c r="O54" s="3513"/>
      <c r="P54" s="3513"/>
      <c r="Q54" s="3513"/>
      <c r="R54" s="3513"/>
      <c r="S54" s="3513"/>
      <c r="T54" s="3513"/>
      <c r="U54" s="3513"/>
      <c r="V54" s="3513"/>
      <c r="W54" s="3513"/>
      <c r="X54" s="3513"/>
      <c r="Y54" s="3513"/>
      <c r="Z54" s="3513"/>
      <c r="AA54" s="3513"/>
      <c r="AB54" s="3513"/>
      <c r="AC54" s="3513"/>
      <c r="AD54" s="3513"/>
      <c r="AE54" s="3513"/>
      <c r="AF54" s="3513"/>
      <c r="AG54" s="3513"/>
      <c r="AH54" s="3513"/>
      <c r="AI54" s="3513"/>
      <c r="AJ54" s="3513"/>
      <c r="AK54" s="3513"/>
      <c r="AL54" s="3513"/>
      <c r="AM54" s="3513"/>
      <c r="AN54" s="3513"/>
      <c r="AO54" s="3513"/>
      <c r="AP54" s="3513"/>
      <c r="AQ54" s="3513"/>
      <c r="AR54" s="3513"/>
    </row>
    <row r="55" spans="1:44" ht="14.25">
      <c r="A55" s="3707" t="s">
        <v>1690</v>
      </c>
      <c r="B55" s="3708"/>
      <c r="C55" s="3666">
        <v>24</v>
      </c>
      <c r="D55" s="3649"/>
      <c r="E55" s="3521"/>
      <c r="F55" s="3521"/>
      <c r="G55" s="3521"/>
      <c r="H55" s="3521"/>
      <c r="I55" s="3521"/>
      <c r="J55" s="3521"/>
      <c r="K55" s="3647"/>
      <c r="L55" s="3647"/>
      <c r="M55" s="3513"/>
      <c r="N55" s="3513"/>
      <c r="O55" s="3513"/>
      <c r="P55" s="3513"/>
      <c r="Q55" s="3513"/>
      <c r="R55" s="3513"/>
      <c r="S55" s="3513"/>
      <c r="T55" s="3513"/>
      <c r="U55" s="3513"/>
      <c r="V55" s="3513"/>
      <c r="W55" s="3513"/>
      <c r="X55" s="3513"/>
      <c r="Y55" s="3513"/>
      <c r="Z55" s="3513"/>
      <c r="AA55" s="3513"/>
      <c r="AB55" s="3513"/>
      <c r="AC55" s="3513"/>
      <c r="AD55" s="3513"/>
      <c r="AE55" s="3513"/>
      <c r="AF55" s="3513"/>
      <c r="AG55" s="3513"/>
      <c r="AH55" s="3513"/>
      <c r="AI55" s="3513"/>
      <c r="AJ55" s="3513"/>
      <c r="AK55" s="3513"/>
      <c r="AL55" s="3513"/>
      <c r="AM55" s="3513"/>
      <c r="AN55" s="3513"/>
      <c r="AO55" s="3513"/>
      <c r="AP55" s="3513"/>
      <c r="AQ55" s="3513"/>
      <c r="AR55" s="3513"/>
    </row>
    <row r="56" spans="1:44" ht="14.25">
      <c r="A56" s="3707" t="s">
        <v>1692</v>
      </c>
      <c r="B56" s="3708"/>
      <c r="C56" s="3666">
        <v>18</v>
      </c>
      <c r="D56" s="3649"/>
      <c r="E56" s="3521"/>
      <c r="F56" s="3521"/>
      <c r="G56" s="3521"/>
      <c r="H56" s="3521"/>
      <c r="I56" s="3521"/>
      <c r="J56" s="3521"/>
      <c r="K56" s="3647"/>
      <c r="L56" s="3647"/>
      <c r="M56" s="3513"/>
      <c r="N56" s="3513"/>
      <c r="O56" s="3513"/>
      <c r="P56" s="3513"/>
      <c r="Q56" s="3513"/>
      <c r="R56" s="3513"/>
      <c r="S56" s="3513"/>
      <c r="T56" s="3513"/>
      <c r="U56" s="3513"/>
      <c r="V56" s="3513"/>
      <c r="W56" s="3513"/>
      <c r="X56" s="3513"/>
      <c r="Y56" s="3513"/>
      <c r="Z56" s="3513"/>
      <c r="AA56" s="3513"/>
      <c r="AB56" s="3513"/>
      <c r="AC56" s="3513"/>
      <c r="AD56" s="3513"/>
      <c r="AE56" s="3513"/>
      <c r="AF56" s="3513"/>
      <c r="AG56" s="3513"/>
      <c r="AH56" s="3513"/>
      <c r="AI56" s="3513"/>
      <c r="AJ56" s="3513"/>
      <c r="AK56" s="3513"/>
      <c r="AL56" s="3513"/>
      <c r="AM56" s="3513"/>
      <c r="AN56" s="3513"/>
      <c r="AO56" s="3513"/>
      <c r="AP56" s="3513"/>
      <c r="AQ56" s="3513"/>
      <c r="AR56" s="3513"/>
    </row>
    <row r="57" spans="1:44" ht="14.25">
      <c r="A57" s="3707" t="s">
        <v>1694</v>
      </c>
      <c r="B57" s="3708"/>
      <c r="C57" s="3666">
        <v>12</v>
      </c>
      <c r="D57" s="3649"/>
      <c r="E57" s="3521"/>
      <c r="F57" s="3521"/>
      <c r="G57" s="3521"/>
      <c r="H57" s="3521"/>
      <c r="I57" s="3521"/>
      <c r="J57" s="3521"/>
      <c r="K57" s="3647"/>
      <c r="L57" s="3647"/>
      <c r="M57" s="3513"/>
      <c r="N57" s="3513"/>
      <c r="O57" s="3513"/>
      <c r="P57" s="3513"/>
      <c r="Q57" s="3513"/>
      <c r="R57" s="3513"/>
      <c r="S57" s="3513"/>
      <c r="T57" s="3513"/>
      <c r="U57" s="3513"/>
      <c r="V57" s="3513"/>
      <c r="W57" s="3513"/>
      <c r="X57" s="3513"/>
      <c r="Y57" s="3513"/>
      <c r="Z57" s="3513"/>
      <c r="AA57" s="3513"/>
      <c r="AB57" s="3513"/>
      <c r="AC57" s="3513"/>
      <c r="AD57" s="3513"/>
      <c r="AE57" s="3513"/>
      <c r="AF57" s="3513"/>
      <c r="AG57" s="3513"/>
      <c r="AH57" s="3513"/>
      <c r="AI57" s="3513"/>
      <c r="AJ57" s="3513"/>
      <c r="AK57" s="3513"/>
      <c r="AL57" s="3513"/>
      <c r="AM57" s="3513"/>
      <c r="AN57" s="3513"/>
      <c r="AO57" s="3513"/>
      <c r="AP57" s="3513"/>
      <c r="AQ57" s="3513"/>
      <c r="AR57" s="3513"/>
    </row>
    <row r="58" spans="1:44" ht="14.25">
      <c r="A58" s="3707" t="s">
        <v>1457</v>
      </c>
      <c r="B58" s="3708"/>
      <c r="C58" s="3666">
        <v>3</v>
      </c>
      <c r="D58" s="3649"/>
      <c r="E58" s="3521"/>
      <c r="F58" s="3521"/>
      <c r="G58" s="3521"/>
      <c r="H58" s="3521"/>
      <c r="I58" s="3521"/>
      <c r="J58" s="3521"/>
      <c r="K58" s="3647"/>
      <c r="L58" s="3647"/>
      <c r="M58" s="3513"/>
      <c r="N58" s="3513"/>
      <c r="O58" s="3513"/>
      <c r="P58" s="3513"/>
      <c r="Q58" s="3513"/>
      <c r="R58" s="3513"/>
      <c r="S58" s="3513"/>
      <c r="T58" s="3513"/>
      <c r="U58" s="3513"/>
      <c r="V58" s="3513"/>
      <c r="W58" s="3513"/>
      <c r="X58" s="3513"/>
      <c r="Y58" s="3513"/>
      <c r="Z58" s="3513"/>
      <c r="AA58" s="3513"/>
      <c r="AB58" s="3513"/>
      <c r="AC58" s="3513"/>
      <c r="AD58" s="3513"/>
      <c r="AE58" s="3513"/>
      <c r="AF58" s="3513"/>
      <c r="AG58" s="3513"/>
      <c r="AH58" s="3513"/>
      <c r="AI58" s="3513"/>
      <c r="AJ58" s="3513"/>
      <c r="AK58" s="3513"/>
      <c r="AL58" s="3513"/>
      <c r="AM58" s="3513"/>
      <c r="AN58" s="3513"/>
      <c r="AO58" s="3513"/>
      <c r="AP58" s="3513"/>
      <c r="AQ58" s="3513"/>
      <c r="AR58" s="3513"/>
    </row>
    <row r="59" spans="1:44" ht="14.25">
      <c r="A59" s="3707" t="s">
        <v>1696</v>
      </c>
      <c r="B59" s="3708"/>
      <c r="C59" s="3666">
        <v>1.5</v>
      </c>
      <c r="D59" s="3649"/>
      <c r="E59" s="3521"/>
      <c r="F59" s="3521"/>
      <c r="G59" s="3521"/>
      <c r="H59" s="3521"/>
      <c r="I59" s="3521"/>
      <c r="J59" s="3521"/>
      <c r="K59" s="3647"/>
      <c r="L59" s="3647"/>
      <c r="M59" s="3513"/>
      <c r="N59" s="3513"/>
      <c r="O59" s="3513"/>
      <c r="P59" s="3513"/>
      <c r="Q59" s="3513"/>
      <c r="R59" s="3513"/>
      <c r="S59" s="3513"/>
      <c r="T59" s="3513"/>
      <c r="U59" s="3513"/>
      <c r="V59" s="3513"/>
      <c r="W59" s="3513"/>
      <c r="X59" s="3513"/>
      <c r="Y59" s="3513"/>
      <c r="Z59" s="3513"/>
      <c r="AA59" s="3513"/>
      <c r="AB59" s="3513"/>
      <c r="AC59" s="3513"/>
      <c r="AD59" s="3513"/>
      <c r="AE59" s="3513"/>
      <c r="AF59" s="3513"/>
      <c r="AG59" s="3513"/>
      <c r="AH59" s="3513"/>
      <c r="AI59" s="3513"/>
      <c r="AJ59" s="3513"/>
      <c r="AK59" s="3513"/>
      <c r="AL59" s="3513"/>
      <c r="AM59" s="3513"/>
      <c r="AN59" s="3513"/>
      <c r="AO59" s="3513"/>
      <c r="AP59" s="3513"/>
      <c r="AQ59" s="3513"/>
      <c r="AR59" s="3513"/>
    </row>
    <row r="60" spans="1:44" ht="14.25">
      <c r="A60" s="3707" t="s">
        <v>1697</v>
      </c>
      <c r="B60" s="3708"/>
      <c r="C60" s="3521"/>
      <c r="D60" s="3649"/>
      <c r="E60" s="3521"/>
      <c r="F60" s="3521"/>
      <c r="G60" s="3521"/>
      <c r="H60" s="3521"/>
      <c r="I60" s="3521"/>
      <c r="J60" s="3521"/>
      <c r="K60" s="3647"/>
      <c r="L60" s="3647"/>
      <c r="M60" s="3513"/>
      <c r="N60" s="3513"/>
      <c r="O60" s="3513"/>
      <c r="P60" s="3513"/>
      <c r="Q60" s="3513"/>
      <c r="R60" s="3513"/>
      <c r="S60" s="3513"/>
      <c r="T60" s="3513"/>
      <c r="U60" s="3513"/>
      <c r="V60" s="3513"/>
      <c r="W60" s="3513"/>
      <c r="X60" s="3513"/>
      <c r="Y60" s="3513"/>
      <c r="Z60" s="3513"/>
      <c r="AA60" s="3513"/>
      <c r="AB60" s="3513"/>
      <c r="AC60" s="3513"/>
      <c r="AD60" s="3513"/>
      <c r="AE60" s="3513"/>
      <c r="AF60" s="3513"/>
      <c r="AG60" s="3513"/>
      <c r="AH60" s="3513"/>
      <c r="AI60" s="3513"/>
      <c r="AJ60" s="3513"/>
      <c r="AK60" s="3513"/>
      <c r="AL60" s="3513"/>
      <c r="AM60" s="3513"/>
      <c r="AN60" s="3513"/>
      <c r="AO60" s="3513"/>
      <c r="AP60" s="3513"/>
      <c r="AQ60" s="3513"/>
      <c r="AR60" s="3513"/>
    </row>
    <row r="61" spans="1:44" ht="14.25">
      <c r="A61" s="3707" t="s">
        <v>1698</v>
      </c>
      <c r="B61" s="3708"/>
      <c r="C61" s="3521"/>
      <c r="D61" s="3649"/>
      <c r="E61" s="3521"/>
      <c r="F61" s="3521"/>
      <c r="G61" s="3521"/>
      <c r="H61" s="3521"/>
      <c r="I61" s="3521"/>
      <c r="J61" s="3521"/>
      <c r="K61" s="3647"/>
      <c r="L61" s="3647"/>
      <c r="M61" s="3513"/>
      <c r="N61" s="3513"/>
      <c r="O61" s="3513"/>
      <c r="P61" s="3513"/>
      <c r="Q61" s="3513"/>
      <c r="R61" s="3513"/>
      <c r="S61" s="3513"/>
      <c r="T61" s="3513"/>
      <c r="U61" s="3513"/>
      <c r="V61" s="3513"/>
      <c r="W61" s="3513"/>
      <c r="X61" s="3513"/>
      <c r="Y61" s="3513"/>
      <c r="Z61" s="3513"/>
      <c r="AA61" s="3513"/>
      <c r="AB61" s="3513"/>
      <c r="AC61" s="3513"/>
      <c r="AD61" s="3513"/>
      <c r="AE61" s="3513"/>
      <c r="AF61" s="3513"/>
      <c r="AG61" s="3513"/>
      <c r="AH61" s="3513"/>
      <c r="AI61" s="3513"/>
      <c r="AJ61" s="3513"/>
      <c r="AK61" s="3513"/>
      <c r="AL61" s="3513"/>
      <c r="AM61" s="3513"/>
      <c r="AN61" s="3513"/>
      <c r="AO61" s="3513"/>
      <c r="AP61" s="3513"/>
      <c r="AQ61" s="3513"/>
      <c r="AR61" s="3513"/>
    </row>
    <row r="62" spans="1:44" ht="14.25">
      <c r="A62" s="3707" t="s">
        <v>1699</v>
      </c>
      <c r="B62" s="3708"/>
      <c r="C62" s="3521"/>
      <c r="D62" s="3649"/>
      <c r="E62" s="3521"/>
      <c r="F62" s="3521"/>
      <c r="G62" s="3521"/>
      <c r="H62" s="3521"/>
      <c r="I62" s="3521"/>
      <c r="J62" s="3521"/>
      <c r="K62" s="3647"/>
      <c r="L62" s="3647"/>
      <c r="M62" s="3513"/>
      <c r="N62" s="3513"/>
      <c r="O62" s="3513"/>
      <c r="P62" s="3513"/>
      <c r="Q62" s="3513"/>
      <c r="R62" s="3513"/>
      <c r="S62" s="3513"/>
      <c r="T62" s="3513"/>
      <c r="U62" s="3513"/>
      <c r="V62" s="3513"/>
      <c r="W62" s="3513"/>
      <c r="X62" s="3513"/>
      <c r="Y62" s="3513"/>
      <c r="Z62" s="3513"/>
      <c r="AA62" s="3513"/>
      <c r="AB62" s="3513"/>
      <c r="AC62" s="3513"/>
      <c r="AD62" s="3513"/>
      <c r="AE62" s="3513"/>
      <c r="AF62" s="3513"/>
      <c r="AG62" s="3513"/>
      <c r="AH62" s="3513"/>
      <c r="AI62" s="3513"/>
      <c r="AJ62" s="3513"/>
      <c r="AK62" s="3513"/>
      <c r="AL62" s="3513"/>
      <c r="AM62" s="3513"/>
      <c r="AN62" s="3513"/>
      <c r="AO62" s="3513"/>
      <c r="AP62" s="3513"/>
      <c r="AQ62" s="3513"/>
      <c r="AR62" s="3513"/>
    </row>
    <row r="63" spans="1:44" ht="15" thickBot="1">
      <c r="A63" s="3709" t="s">
        <v>1700</v>
      </c>
      <c r="B63" s="3710"/>
      <c r="C63" s="3521"/>
      <c r="D63" s="3649"/>
      <c r="E63" s="3521"/>
      <c r="F63" s="3521"/>
      <c r="G63" s="3521"/>
      <c r="H63" s="3521"/>
      <c r="I63" s="3521"/>
      <c r="J63" s="3521"/>
      <c r="K63" s="3647"/>
      <c r="L63" s="3647"/>
      <c r="M63" s="3513"/>
      <c r="N63" s="3513"/>
      <c r="O63" s="3513"/>
      <c r="P63" s="3513"/>
      <c r="Q63" s="3513"/>
      <c r="R63" s="3513"/>
      <c r="S63" s="3513"/>
      <c r="T63" s="3513"/>
      <c r="U63" s="3513"/>
      <c r="V63" s="3513"/>
      <c r="W63" s="3513"/>
      <c r="X63" s="3513"/>
      <c r="Y63" s="3513"/>
      <c r="Z63" s="3513"/>
      <c r="AA63" s="3513"/>
      <c r="AB63" s="3513"/>
      <c r="AC63" s="3513"/>
      <c r="AD63" s="3513"/>
      <c r="AE63" s="3513"/>
      <c r="AF63" s="3513"/>
      <c r="AG63" s="3513"/>
      <c r="AH63" s="3513"/>
      <c r="AI63" s="3513"/>
      <c r="AJ63" s="3513"/>
      <c r="AK63" s="3513"/>
      <c r="AL63" s="3513"/>
      <c r="AM63" s="3513"/>
      <c r="AN63" s="3513"/>
      <c r="AO63" s="3513"/>
      <c r="AP63" s="3513"/>
      <c r="AQ63" s="3513"/>
      <c r="AR63" s="3513"/>
    </row>
    <row r="64" spans="1:44" s="3712" customFormat="1">
      <c r="A64" s="3711"/>
      <c r="B64" s="3513"/>
      <c r="C64" s="3513"/>
      <c r="D64" s="3646"/>
      <c r="E64" s="3513"/>
      <c r="F64" s="3513"/>
      <c r="G64" s="3513"/>
      <c r="H64" s="3513"/>
      <c r="I64" s="3513"/>
      <c r="J64" s="3513"/>
      <c r="K64" s="3647"/>
      <c r="L64" s="3647"/>
      <c r="M64" s="3513"/>
      <c r="N64" s="3513"/>
      <c r="O64" s="3513"/>
      <c r="P64" s="3513"/>
      <c r="Q64" s="3513"/>
      <c r="R64" s="3513"/>
      <c r="S64" s="3513"/>
      <c r="T64" s="3513"/>
      <c r="U64" s="3513"/>
      <c r="V64" s="3513"/>
      <c r="W64" s="3513"/>
      <c r="X64" s="3513"/>
      <c r="Y64" s="3513"/>
      <c r="Z64" s="3513"/>
      <c r="AA64" s="3513"/>
      <c r="AB64" s="3513"/>
      <c r="AC64" s="3513"/>
      <c r="AD64" s="3513"/>
      <c r="AE64" s="3513"/>
      <c r="AF64" s="3513"/>
      <c r="AG64" s="3513"/>
      <c r="AH64" s="3513"/>
      <c r="AI64" s="3513"/>
      <c r="AJ64" s="3513"/>
      <c r="AK64" s="3513"/>
      <c r="AL64" s="3513"/>
      <c r="AM64" s="3513"/>
      <c r="AN64" s="3513"/>
      <c r="AO64" s="3513"/>
      <c r="AP64" s="3513"/>
      <c r="AQ64" s="3513"/>
      <c r="AR64" s="3513"/>
    </row>
    <row r="65" spans="1:44" s="3712" customFormat="1">
      <c r="A65" s="3711"/>
      <c r="B65" s="3513"/>
      <c r="C65" s="3513"/>
      <c r="D65" s="3646"/>
      <c r="E65" s="3513"/>
      <c r="F65" s="3513"/>
      <c r="G65" s="3513"/>
      <c r="H65" s="3513"/>
      <c r="I65" s="3513"/>
      <c r="J65" s="3513"/>
      <c r="K65" s="3647"/>
      <c r="L65" s="3647"/>
      <c r="M65" s="3513"/>
      <c r="N65" s="3513"/>
      <c r="O65" s="3513"/>
      <c r="P65" s="3513"/>
      <c r="Q65" s="3513"/>
      <c r="R65" s="3513"/>
      <c r="S65" s="3513"/>
      <c r="T65" s="3513"/>
      <c r="U65" s="3513"/>
      <c r="V65" s="3513"/>
      <c r="W65" s="3513"/>
      <c r="X65" s="3513"/>
      <c r="Y65" s="3513"/>
      <c r="Z65" s="3513"/>
      <c r="AA65" s="3513"/>
      <c r="AB65" s="3513"/>
      <c r="AC65" s="3513"/>
      <c r="AD65" s="3513"/>
      <c r="AE65" s="3513"/>
      <c r="AF65" s="3513"/>
      <c r="AG65" s="3513"/>
      <c r="AH65" s="3513"/>
      <c r="AI65" s="3513"/>
      <c r="AJ65" s="3513"/>
      <c r="AK65" s="3513"/>
      <c r="AL65" s="3513"/>
      <c r="AM65" s="3513"/>
      <c r="AN65" s="3513"/>
      <c r="AO65" s="3513"/>
      <c r="AP65" s="3513"/>
      <c r="AQ65" s="3513"/>
      <c r="AR65" s="3513"/>
    </row>
    <row r="66" spans="1:44" s="3712" customFormat="1">
      <c r="A66" s="3711"/>
      <c r="B66" s="3513"/>
      <c r="C66" s="3513"/>
      <c r="D66" s="3646"/>
      <c r="E66" s="3513"/>
      <c r="F66" s="3513"/>
      <c r="G66" s="3513"/>
      <c r="H66" s="3513"/>
      <c r="I66" s="3513"/>
      <c r="J66" s="3513"/>
      <c r="K66" s="3647"/>
      <c r="L66" s="3647"/>
      <c r="M66" s="3513"/>
      <c r="N66" s="3513"/>
      <c r="O66" s="3513"/>
      <c r="P66" s="3513"/>
      <c r="Q66" s="3513"/>
      <c r="R66" s="3513"/>
      <c r="S66" s="3513"/>
      <c r="T66" s="3513"/>
      <c r="U66" s="3513"/>
      <c r="V66" s="3513"/>
      <c r="W66" s="3513"/>
      <c r="X66" s="3513"/>
      <c r="Y66" s="3513"/>
      <c r="Z66" s="3513"/>
      <c r="AA66" s="3513"/>
      <c r="AB66" s="3513"/>
      <c r="AC66" s="3513"/>
      <c r="AD66" s="3513"/>
      <c r="AE66" s="3513"/>
      <c r="AF66" s="3513"/>
      <c r="AG66" s="3513"/>
      <c r="AH66" s="3513"/>
      <c r="AI66" s="3513"/>
      <c r="AJ66" s="3513"/>
      <c r="AK66" s="3513"/>
      <c r="AL66" s="3513"/>
      <c r="AM66" s="3513"/>
      <c r="AN66" s="3513"/>
      <c r="AO66" s="3513"/>
      <c r="AP66" s="3513"/>
      <c r="AQ66" s="3513"/>
      <c r="AR66" s="3513"/>
    </row>
    <row r="67" spans="1:44" s="3712" customFormat="1">
      <c r="A67" s="3711"/>
      <c r="B67" s="3513"/>
      <c r="C67" s="3513"/>
      <c r="D67" s="3646"/>
      <c r="E67" s="3513"/>
      <c r="F67" s="3513"/>
      <c r="G67" s="3513"/>
      <c r="H67" s="3513"/>
      <c r="I67" s="3513"/>
      <c r="J67" s="3513"/>
      <c r="K67" s="3647"/>
      <c r="L67" s="3647"/>
      <c r="M67" s="3513"/>
      <c r="N67" s="3513"/>
      <c r="O67" s="3513"/>
      <c r="P67" s="3513"/>
      <c r="Q67" s="3513"/>
      <c r="R67" s="3513"/>
      <c r="S67" s="3513"/>
      <c r="T67" s="3513"/>
      <c r="U67" s="3513"/>
      <c r="V67" s="3513"/>
      <c r="W67" s="3513"/>
      <c r="X67" s="3513"/>
      <c r="Y67" s="3513"/>
      <c r="Z67" s="3513"/>
      <c r="AA67" s="3513"/>
      <c r="AB67" s="3513"/>
      <c r="AC67" s="3513"/>
      <c r="AD67" s="3513"/>
      <c r="AE67" s="3513"/>
      <c r="AF67" s="3513"/>
      <c r="AG67" s="3513"/>
      <c r="AH67" s="3513"/>
      <c r="AI67" s="3513"/>
      <c r="AJ67" s="3513"/>
      <c r="AK67" s="3513"/>
      <c r="AL67" s="3513"/>
      <c r="AM67" s="3513"/>
      <c r="AN67" s="3513"/>
      <c r="AO67" s="3513"/>
      <c r="AP67" s="3513"/>
      <c r="AQ67" s="3513"/>
      <c r="AR67" s="3513"/>
    </row>
    <row r="68" spans="1:44" s="3712" customFormat="1">
      <c r="A68" s="3711"/>
      <c r="B68" s="3513"/>
      <c r="C68" s="3513"/>
      <c r="D68" s="3646"/>
      <c r="E68" s="3513"/>
      <c r="F68" s="3513"/>
      <c r="G68" s="3513"/>
      <c r="H68" s="3513"/>
      <c r="I68" s="3513"/>
      <c r="J68" s="3513"/>
      <c r="K68" s="3647"/>
      <c r="L68" s="3647"/>
      <c r="M68" s="3513"/>
      <c r="N68" s="3513"/>
      <c r="O68" s="3513"/>
      <c r="P68" s="3513"/>
      <c r="Q68" s="3513"/>
      <c r="R68" s="3513"/>
      <c r="S68" s="3513"/>
      <c r="T68" s="3513"/>
      <c r="U68" s="3513"/>
      <c r="V68" s="3513"/>
      <c r="W68" s="3513"/>
      <c r="X68" s="3513"/>
      <c r="Y68" s="3513"/>
      <c r="Z68" s="3513"/>
      <c r="AA68" s="3513"/>
      <c r="AB68" s="3513"/>
      <c r="AC68" s="3513"/>
      <c r="AD68" s="3513"/>
      <c r="AE68" s="3513"/>
      <c r="AF68" s="3513"/>
      <c r="AG68" s="3513"/>
      <c r="AH68" s="3513"/>
      <c r="AI68" s="3513"/>
      <c r="AJ68" s="3513"/>
      <c r="AK68" s="3513"/>
      <c r="AL68" s="3513"/>
      <c r="AM68" s="3513"/>
      <c r="AN68" s="3513"/>
      <c r="AO68" s="3513"/>
      <c r="AP68" s="3513"/>
      <c r="AQ68" s="3513"/>
      <c r="AR68" s="3513"/>
    </row>
    <row r="69" spans="1:44" s="3712" customFormat="1">
      <c r="A69" s="3713"/>
      <c r="D69" s="3714"/>
      <c r="K69" s="3715"/>
      <c r="L69" s="3715"/>
    </row>
    <row r="70" spans="1:44" s="3712" customFormat="1">
      <c r="A70" s="3713"/>
      <c r="D70" s="3714"/>
      <c r="K70" s="3715"/>
      <c r="L70" s="3715"/>
    </row>
    <row r="71" spans="1:44" s="3712" customFormat="1">
      <c r="A71" s="3713"/>
      <c r="D71" s="3714"/>
      <c r="K71" s="3715"/>
      <c r="L71" s="3715"/>
    </row>
    <row r="72" spans="1:44" s="3712" customFormat="1">
      <c r="A72" s="3713"/>
      <c r="D72" s="3714"/>
      <c r="K72" s="3715"/>
      <c r="L72" s="3715"/>
    </row>
    <row r="73" spans="1:44" s="3712" customFormat="1">
      <c r="A73" s="3713"/>
      <c r="D73" s="3714"/>
      <c r="K73" s="3715"/>
      <c r="L73" s="3715"/>
    </row>
    <row r="74" spans="1:44" s="3712" customFormat="1">
      <c r="A74" s="3713"/>
      <c r="D74" s="3714"/>
      <c r="K74" s="3715"/>
      <c r="L74" s="3715"/>
    </row>
    <row r="75" spans="1:44" s="3712" customFormat="1">
      <c r="A75" s="3713"/>
      <c r="D75" s="3714"/>
      <c r="K75" s="3715"/>
      <c r="L75" s="3715"/>
    </row>
    <row r="76" spans="1:44" s="3712" customFormat="1">
      <c r="A76" s="3713"/>
      <c r="D76" s="3714"/>
      <c r="K76" s="3715"/>
      <c r="L76" s="3715"/>
    </row>
    <row r="77" spans="1:44" s="3712" customFormat="1">
      <c r="A77" s="3713"/>
      <c r="D77" s="3714"/>
      <c r="K77" s="3715"/>
      <c r="L77" s="3715"/>
    </row>
    <row r="78" spans="1:44" s="3712" customFormat="1">
      <c r="A78" s="3713"/>
      <c r="D78" s="3714"/>
      <c r="K78" s="3715"/>
      <c r="L78" s="3715"/>
    </row>
    <row r="79" spans="1:44" s="3712" customFormat="1">
      <c r="A79" s="3713"/>
      <c r="D79" s="3714"/>
      <c r="K79" s="3715"/>
      <c r="L79" s="3715"/>
    </row>
    <row r="80" spans="1:44" s="3712" customFormat="1">
      <c r="A80" s="3713"/>
      <c r="D80" s="3714"/>
      <c r="K80" s="3715"/>
      <c r="L80" s="3715"/>
    </row>
    <row r="81" spans="1:12" s="3712" customFormat="1">
      <c r="A81" s="3713"/>
      <c r="D81" s="3714"/>
      <c r="K81" s="3715"/>
      <c r="L81" s="3715"/>
    </row>
    <row r="82" spans="1:12" s="3712" customFormat="1">
      <c r="A82" s="3713"/>
      <c r="D82" s="3714"/>
      <c r="K82" s="3715"/>
      <c r="L82" s="3715"/>
    </row>
    <row r="83" spans="1:12" s="3712" customFormat="1">
      <c r="A83" s="3713"/>
      <c r="D83" s="3714"/>
      <c r="K83" s="3715"/>
      <c r="L83" s="3715"/>
    </row>
    <row r="84" spans="1:12" s="3712" customFormat="1">
      <c r="A84" s="3713"/>
      <c r="D84" s="3714"/>
      <c r="K84" s="3715"/>
      <c r="L84" s="3715"/>
    </row>
    <row r="85" spans="1:12" s="3712" customFormat="1">
      <c r="A85" s="3713"/>
      <c r="D85" s="3714"/>
      <c r="K85" s="3715"/>
      <c r="L85" s="3715"/>
    </row>
    <row r="86" spans="1:12" s="3712" customFormat="1">
      <c r="A86" s="3713"/>
      <c r="D86" s="3714"/>
      <c r="K86" s="3715"/>
      <c r="L86" s="3715"/>
    </row>
    <row r="87" spans="1:12" s="3712" customFormat="1">
      <c r="A87" s="3713"/>
      <c r="D87" s="3714"/>
      <c r="K87" s="3715"/>
      <c r="L87" s="3715"/>
    </row>
    <row r="88" spans="1:12" s="3712" customFormat="1">
      <c r="A88" s="3713"/>
      <c r="D88" s="3714"/>
      <c r="K88" s="3715"/>
      <c r="L88" s="3715"/>
    </row>
    <row r="89" spans="1:12" s="3712" customFormat="1">
      <c r="A89" s="3713"/>
      <c r="D89" s="3714"/>
      <c r="K89" s="3715"/>
      <c r="L89" s="3715"/>
    </row>
    <row r="90" spans="1:12" s="3712" customFormat="1">
      <c r="A90" s="3713"/>
      <c r="D90" s="3714"/>
      <c r="K90" s="3715"/>
      <c r="L90" s="3715"/>
    </row>
    <row r="91" spans="1:12" s="3712" customFormat="1">
      <c r="A91" s="3713"/>
      <c r="D91" s="3714"/>
      <c r="K91" s="3715"/>
      <c r="L91" s="3715"/>
    </row>
    <row r="92" spans="1:12" s="3712" customFormat="1">
      <c r="A92" s="3713"/>
      <c r="D92" s="3714"/>
      <c r="K92" s="3715"/>
      <c r="L92" s="3715"/>
    </row>
    <row r="93" spans="1:12" s="3712" customFormat="1">
      <c r="A93" s="3713"/>
      <c r="D93" s="3714"/>
      <c r="K93" s="3715"/>
      <c r="L93" s="3715"/>
    </row>
    <row r="94" spans="1:12" s="3712" customFormat="1">
      <c r="A94" s="3713"/>
      <c r="D94" s="3714"/>
      <c r="K94" s="3715"/>
      <c r="L94" s="3715"/>
    </row>
    <row r="95" spans="1:12" s="3712" customFormat="1">
      <c r="A95" s="3713"/>
      <c r="D95" s="3714"/>
      <c r="K95" s="3715"/>
      <c r="L95" s="3715"/>
    </row>
    <row r="96" spans="1:12" s="3712" customFormat="1">
      <c r="A96" s="3713"/>
      <c r="D96" s="3714"/>
      <c r="K96" s="3715"/>
      <c r="L96" s="3715"/>
    </row>
    <row r="97" spans="1:12" s="3712" customFormat="1">
      <c r="A97" s="3713"/>
      <c r="D97" s="3714"/>
      <c r="K97" s="3715"/>
      <c r="L97" s="3715"/>
    </row>
    <row r="98" spans="1:12" s="3712" customFormat="1">
      <c r="A98" s="3713"/>
      <c r="D98" s="3714"/>
      <c r="K98" s="3715"/>
      <c r="L98" s="3715"/>
    </row>
    <row r="99" spans="1:12" s="3712" customFormat="1">
      <c r="A99" s="3713"/>
      <c r="D99" s="3714"/>
      <c r="K99" s="3715"/>
      <c r="L99" s="3715"/>
    </row>
    <row r="100" spans="1:12" s="3712" customFormat="1">
      <c r="A100" s="3713"/>
      <c r="D100" s="3714"/>
      <c r="K100" s="3715"/>
      <c r="L100" s="3715"/>
    </row>
    <row r="101" spans="1:12" s="3712" customFormat="1">
      <c r="A101" s="3713"/>
      <c r="D101" s="3714"/>
      <c r="K101" s="3715"/>
      <c r="L101" s="3715"/>
    </row>
    <row r="102" spans="1:12" s="3712" customFormat="1">
      <c r="A102" s="3713"/>
      <c r="D102" s="3714"/>
      <c r="K102" s="3715"/>
      <c r="L102" s="3715"/>
    </row>
    <row r="103" spans="1:12" s="3712" customFormat="1">
      <c r="A103" s="3713"/>
      <c r="D103" s="3714"/>
      <c r="K103" s="3715"/>
      <c r="L103" s="3715"/>
    </row>
    <row r="104" spans="1:12" s="3712" customFormat="1">
      <c r="A104" s="3713"/>
      <c r="D104" s="3714"/>
      <c r="K104" s="3715"/>
      <c r="L104" s="3715"/>
    </row>
    <row r="105" spans="1:12" s="3712" customFormat="1">
      <c r="A105" s="3713"/>
      <c r="D105" s="3714"/>
      <c r="K105" s="3715"/>
      <c r="L105" s="3715"/>
    </row>
    <row r="106" spans="1:12" s="3712" customFormat="1">
      <c r="A106" s="3713"/>
      <c r="D106" s="3714"/>
      <c r="K106" s="3715"/>
      <c r="L106" s="3715"/>
    </row>
    <row r="107" spans="1:12" s="3712" customFormat="1">
      <c r="A107" s="3713"/>
      <c r="D107" s="3714"/>
      <c r="K107" s="3715"/>
      <c r="L107" s="3715"/>
    </row>
    <row r="108" spans="1:12" s="3712" customFormat="1">
      <c r="A108" s="3713"/>
      <c r="D108" s="3714"/>
      <c r="K108" s="3715"/>
      <c r="L108" s="3715"/>
    </row>
    <row r="109" spans="1:12" s="3712" customFormat="1">
      <c r="A109" s="3713"/>
      <c r="D109" s="3714"/>
      <c r="K109" s="3715"/>
      <c r="L109" s="3715"/>
    </row>
    <row r="110" spans="1:12" s="3712" customFormat="1">
      <c r="A110" s="3713"/>
      <c r="D110" s="3714"/>
      <c r="K110" s="3715"/>
      <c r="L110" s="3715"/>
    </row>
    <row r="111" spans="1:12" s="3712" customFormat="1">
      <c r="A111" s="3713"/>
      <c r="D111" s="3714"/>
      <c r="K111" s="3715"/>
      <c r="L111" s="3715"/>
    </row>
    <row r="112" spans="1:12" s="3712" customFormat="1">
      <c r="A112" s="3713"/>
      <c r="D112" s="3714"/>
      <c r="K112" s="3715"/>
      <c r="L112" s="3715"/>
    </row>
    <row r="113" spans="1:12" s="3712" customFormat="1">
      <c r="A113" s="3713"/>
      <c r="D113" s="3714"/>
      <c r="K113" s="3715"/>
      <c r="L113" s="3715"/>
    </row>
    <row r="114" spans="1:12" s="3712" customFormat="1">
      <c r="A114" s="3713"/>
      <c r="D114" s="3714"/>
      <c r="K114" s="3715"/>
      <c r="L114" s="3715"/>
    </row>
    <row r="115" spans="1:12" s="3712" customFormat="1">
      <c r="A115" s="3713"/>
      <c r="D115" s="3714"/>
      <c r="K115" s="3715"/>
      <c r="L115" s="3715"/>
    </row>
    <row r="116" spans="1:12" s="3712" customFormat="1">
      <c r="A116" s="3713"/>
      <c r="D116" s="3714"/>
      <c r="K116" s="3715"/>
      <c r="L116" s="3715"/>
    </row>
    <row r="117" spans="1:12" s="3712" customFormat="1">
      <c r="A117" s="3713"/>
      <c r="D117" s="3714"/>
      <c r="K117" s="3715"/>
      <c r="L117" s="3715"/>
    </row>
    <row r="118" spans="1:12" s="3712" customFormat="1">
      <c r="A118" s="3713"/>
      <c r="D118" s="3714"/>
      <c r="K118" s="3715"/>
      <c r="L118" s="3715"/>
    </row>
    <row r="119" spans="1:12" s="3712" customFormat="1">
      <c r="A119" s="3713"/>
      <c r="D119" s="3714"/>
      <c r="K119" s="3715"/>
      <c r="L119" s="3715"/>
    </row>
    <row r="120" spans="1:12" s="3712" customFormat="1">
      <c r="A120" s="3713"/>
      <c r="D120" s="3714"/>
      <c r="K120" s="3715"/>
      <c r="L120" s="3715"/>
    </row>
    <row r="121" spans="1:12" s="3712" customFormat="1">
      <c r="A121" s="3713"/>
      <c r="D121" s="3714"/>
      <c r="K121" s="3715"/>
      <c r="L121" s="3715"/>
    </row>
    <row r="122" spans="1:12" s="3712" customFormat="1">
      <c r="A122" s="3713"/>
      <c r="D122" s="3714"/>
      <c r="K122" s="3715"/>
      <c r="L122" s="3715"/>
    </row>
    <row r="123" spans="1:12" s="3712" customFormat="1">
      <c r="A123" s="3713"/>
      <c r="D123" s="3714"/>
      <c r="K123" s="3715"/>
      <c r="L123" s="3715"/>
    </row>
    <row r="124" spans="1:12" s="3712" customFormat="1">
      <c r="A124" s="3713"/>
      <c r="D124" s="3714"/>
      <c r="K124" s="3715"/>
      <c r="L124" s="3715"/>
    </row>
    <row r="125" spans="1:12" s="3712" customFormat="1">
      <c r="A125" s="3713"/>
      <c r="D125" s="3714"/>
      <c r="K125" s="3715"/>
      <c r="L125" s="3715"/>
    </row>
    <row r="126" spans="1:12" s="3712" customFormat="1">
      <c r="A126" s="3713"/>
      <c r="D126" s="3714"/>
      <c r="K126" s="3715"/>
      <c r="L126" s="3715"/>
    </row>
    <row r="127" spans="1:12" s="3712" customFormat="1">
      <c r="A127" s="3713"/>
      <c r="D127" s="3714"/>
      <c r="K127" s="3715"/>
      <c r="L127" s="3715"/>
    </row>
    <row r="128" spans="1:12" s="3712" customFormat="1">
      <c r="A128" s="3713"/>
      <c r="D128" s="3714"/>
      <c r="K128" s="3715"/>
      <c r="L128" s="3715"/>
    </row>
    <row r="129" spans="1:12" s="3712" customFormat="1">
      <c r="A129" s="3713"/>
      <c r="D129" s="3714"/>
      <c r="K129" s="3715"/>
      <c r="L129" s="3715"/>
    </row>
    <row r="130" spans="1:12" s="3712" customFormat="1">
      <c r="A130" s="3713"/>
      <c r="D130" s="3714"/>
      <c r="K130" s="3715"/>
      <c r="L130" s="3715"/>
    </row>
    <row r="131" spans="1:12" s="3712" customFormat="1">
      <c r="A131" s="3713"/>
      <c r="D131" s="3714"/>
      <c r="K131" s="3715"/>
      <c r="L131" s="3715"/>
    </row>
    <row r="132" spans="1:12" s="3712" customFormat="1">
      <c r="A132" s="3713"/>
      <c r="D132" s="3714"/>
      <c r="K132" s="3715"/>
      <c r="L132" s="3715"/>
    </row>
    <row r="133" spans="1:12" s="3712" customFormat="1">
      <c r="A133" s="3713"/>
      <c r="D133" s="3714"/>
      <c r="K133" s="3715"/>
      <c r="L133" s="3715"/>
    </row>
    <row r="134" spans="1:12" s="3514" customFormat="1">
      <c r="A134" s="3716"/>
      <c r="D134" s="3717"/>
      <c r="K134" s="3718"/>
      <c r="L134" s="3718"/>
    </row>
    <row r="135" spans="1:12" s="3514" customFormat="1">
      <c r="A135" s="3716"/>
      <c r="D135" s="3717"/>
      <c r="K135" s="3718"/>
      <c r="L135" s="3718"/>
    </row>
    <row r="136" spans="1:12" s="3514" customFormat="1">
      <c r="A136" s="3716"/>
      <c r="D136" s="3717"/>
      <c r="K136" s="3718"/>
      <c r="L136" s="3718"/>
    </row>
    <row r="137" spans="1:12" s="3514" customFormat="1">
      <c r="A137" s="3716"/>
      <c r="D137" s="3717"/>
      <c r="K137" s="3718"/>
      <c r="L137" s="3718"/>
    </row>
    <row r="138" spans="1:12" s="3514" customFormat="1">
      <c r="A138" s="3716"/>
      <c r="D138" s="3717"/>
      <c r="K138" s="3718"/>
      <c r="L138" s="3718"/>
    </row>
    <row r="139" spans="1:12" s="3514" customFormat="1">
      <c r="A139" s="3716"/>
      <c r="D139" s="3717"/>
      <c r="K139" s="3718"/>
      <c r="L139" s="3718"/>
    </row>
    <row r="140" spans="1:12" s="3514" customFormat="1">
      <c r="A140" s="3716"/>
      <c r="D140" s="3717"/>
      <c r="K140" s="3718"/>
      <c r="L140" s="3718"/>
    </row>
    <row r="141" spans="1:12" s="3514" customFormat="1">
      <c r="A141" s="3716"/>
      <c r="D141" s="3717"/>
      <c r="K141" s="3718"/>
      <c r="L141" s="3718"/>
    </row>
    <row r="142" spans="1:12" s="3514" customFormat="1">
      <c r="A142" s="3716"/>
      <c r="D142" s="3717"/>
      <c r="K142" s="3718"/>
      <c r="L142" s="3718"/>
    </row>
    <row r="143" spans="1:12" s="3514" customFormat="1">
      <c r="A143" s="3716"/>
      <c r="D143" s="3717"/>
      <c r="K143" s="3718"/>
      <c r="L143" s="3718"/>
    </row>
    <row r="144" spans="1:12" s="3514" customFormat="1">
      <c r="A144" s="3716"/>
      <c r="D144" s="3717"/>
      <c r="K144" s="3718"/>
      <c r="L144" s="3718"/>
    </row>
    <row r="145" spans="1:12" s="3514" customFormat="1">
      <c r="A145" s="3716"/>
      <c r="D145" s="3717"/>
      <c r="K145" s="3718"/>
      <c r="L145" s="3718"/>
    </row>
    <row r="146" spans="1:12" s="3514" customFormat="1">
      <c r="A146" s="3716"/>
      <c r="D146" s="3717"/>
      <c r="K146" s="3718"/>
      <c r="L146" s="3718"/>
    </row>
    <row r="147" spans="1:12" s="3514" customFormat="1">
      <c r="A147" s="3716"/>
      <c r="D147" s="3717"/>
      <c r="K147" s="3718"/>
      <c r="L147" s="3718"/>
    </row>
    <row r="148" spans="1:12" s="3514" customFormat="1">
      <c r="A148" s="3716"/>
      <c r="D148" s="3717"/>
      <c r="K148" s="3718"/>
      <c r="L148" s="3718"/>
    </row>
    <row r="149" spans="1:12" s="3514" customFormat="1">
      <c r="A149" s="3716"/>
      <c r="D149" s="3717"/>
      <c r="K149" s="3718"/>
      <c r="L149" s="3718"/>
    </row>
    <row r="150" spans="1:12" s="3514" customFormat="1">
      <c r="A150" s="3716"/>
      <c r="D150" s="3717"/>
      <c r="K150" s="3718"/>
      <c r="L150" s="3718"/>
    </row>
    <row r="151" spans="1:12" s="3514" customFormat="1">
      <c r="A151" s="3716"/>
      <c r="D151" s="3717"/>
      <c r="K151" s="3718"/>
      <c r="L151" s="3718"/>
    </row>
    <row r="152" spans="1:12" s="3514" customFormat="1">
      <c r="A152" s="3716"/>
      <c r="D152" s="3717"/>
      <c r="K152" s="3718"/>
      <c r="L152" s="3718"/>
    </row>
    <row r="153" spans="1:12" s="3514" customFormat="1">
      <c r="A153" s="3716"/>
      <c r="D153" s="3717"/>
      <c r="K153" s="3718"/>
      <c r="L153" s="3718"/>
    </row>
    <row r="154" spans="1:12" s="3514" customFormat="1">
      <c r="A154" s="3716"/>
      <c r="D154" s="3717"/>
      <c r="K154" s="3718"/>
      <c r="L154" s="3718"/>
    </row>
    <row r="155" spans="1:12" s="3514" customFormat="1">
      <c r="A155" s="3716"/>
      <c r="D155" s="3717"/>
      <c r="K155" s="3718"/>
      <c r="L155" s="3718"/>
    </row>
    <row r="156" spans="1:12" s="3514" customFormat="1">
      <c r="A156" s="3716"/>
      <c r="D156" s="3717"/>
      <c r="K156" s="3718"/>
      <c r="L156" s="3718"/>
    </row>
    <row r="157" spans="1:12" s="3514" customFormat="1">
      <c r="A157" s="3716"/>
      <c r="D157" s="3717"/>
      <c r="K157" s="3718"/>
      <c r="L157" s="3718"/>
    </row>
    <row r="158" spans="1:12" s="3514" customFormat="1">
      <c r="A158" s="3716"/>
      <c r="D158" s="3717"/>
      <c r="K158" s="3718"/>
      <c r="L158" s="3718"/>
    </row>
    <row r="159" spans="1:12" s="3514" customFormat="1">
      <c r="A159" s="3716"/>
      <c r="D159" s="3717"/>
      <c r="K159" s="3718"/>
      <c r="L159" s="3718"/>
    </row>
    <row r="160" spans="1:12" s="3514" customFormat="1">
      <c r="A160" s="3716"/>
      <c r="D160" s="3717"/>
      <c r="K160" s="3718"/>
      <c r="L160" s="3718"/>
    </row>
    <row r="161" spans="1:12" s="3514" customFormat="1">
      <c r="A161" s="3716"/>
      <c r="D161" s="3717"/>
      <c r="K161" s="3718"/>
      <c r="L161" s="3718"/>
    </row>
    <row r="162" spans="1:12" s="3514" customFormat="1">
      <c r="A162" s="3716"/>
      <c r="D162" s="3717"/>
      <c r="K162" s="3718"/>
      <c r="L162" s="3718"/>
    </row>
    <row r="163" spans="1:12" s="3514" customFormat="1">
      <c r="A163" s="3716"/>
      <c r="D163" s="3717"/>
      <c r="K163" s="3718"/>
      <c r="L163" s="3718"/>
    </row>
    <row r="164" spans="1:12" s="3514" customFormat="1">
      <c r="A164" s="3716"/>
      <c r="D164" s="3717"/>
      <c r="K164" s="3718"/>
      <c r="L164" s="3718"/>
    </row>
    <row r="165" spans="1:12" s="3514" customFormat="1">
      <c r="A165" s="3716"/>
      <c r="D165" s="3717"/>
      <c r="K165" s="3718"/>
      <c r="L165" s="3718"/>
    </row>
    <row r="166" spans="1:12" s="3514" customFormat="1">
      <c r="A166" s="3716"/>
      <c r="D166" s="3717"/>
      <c r="K166" s="3718"/>
      <c r="L166" s="3718"/>
    </row>
    <row r="167" spans="1:12" s="3514" customFormat="1">
      <c r="A167" s="3716"/>
      <c r="D167" s="3717"/>
      <c r="K167" s="3718"/>
      <c r="L167" s="3718"/>
    </row>
    <row r="168" spans="1:12" s="3514" customFormat="1">
      <c r="A168" s="3716"/>
      <c r="D168" s="3717"/>
      <c r="K168" s="3718"/>
      <c r="L168" s="3718"/>
    </row>
    <row r="169" spans="1:12" s="3514" customFormat="1">
      <c r="A169" s="3716"/>
      <c r="D169" s="3717"/>
      <c r="K169" s="3718"/>
      <c r="L169" s="3718"/>
    </row>
    <row r="170" spans="1:12" s="3514" customFormat="1">
      <c r="A170" s="3716"/>
      <c r="D170" s="3717"/>
      <c r="K170" s="3718"/>
      <c r="L170" s="3718"/>
    </row>
    <row r="171" spans="1:12" s="3514" customFormat="1">
      <c r="A171" s="3716"/>
      <c r="D171" s="3717"/>
      <c r="K171" s="3718"/>
      <c r="L171" s="3718"/>
    </row>
    <row r="172" spans="1:12" s="3514" customFormat="1">
      <c r="A172" s="3716"/>
      <c r="D172" s="3717"/>
      <c r="K172" s="3718"/>
      <c r="L172" s="3718"/>
    </row>
    <row r="173" spans="1:12" s="3514" customFormat="1">
      <c r="A173" s="3716"/>
      <c r="D173" s="3717"/>
      <c r="K173" s="3718"/>
      <c r="L173" s="3718"/>
    </row>
    <row r="174" spans="1:12" s="3514" customFormat="1">
      <c r="A174" s="3716"/>
      <c r="D174" s="3717"/>
      <c r="K174" s="3718"/>
      <c r="L174" s="3718"/>
    </row>
  </sheetData>
  <sheetProtection password="CEE9" sheet="1" objects="1" scenarios="1" formatCells="0" formatColumns="0" formatRows="0"/>
  <phoneticPr fontId="147" type="noConversion"/>
  <dataValidations count="8">
    <dataValidation type="list" allowBlank="1" showInputMessage="1" showErrorMessage="1" sqref="A40" xr:uid="{00000000-0002-0000-2C00-000000000000}">
      <formula1>"利息：取LPR,利息：取LPR加浮动点数"</formula1>
    </dataValidation>
    <dataValidation type="list" allowBlank="1" showInputMessage="1" showErrorMessage="1" sqref="AN6:AN13" xr:uid="{00000000-0002-0000-2C00-000001000000}">
      <formula1>估价方法</formula1>
    </dataValidation>
    <dataValidation type="list" allowBlank="1" showInputMessage="1" showErrorMessage="1" sqref="B14:B15" xr:uid="{00000000-0002-0000-2C00-000002000000}">
      <formula1>类别</formula1>
    </dataValidation>
    <dataValidation type="list" showInputMessage="1" showErrorMessage="1" sqref="AI6:AI13" xr:uid="{00000000-0002-0000-2C00-000003000000}">
      <formula1>"365,12,1"</formula1>
    </dataValidation>
    <dataValidation type="list" allowBlank="1" showInputMessage="1" showErrorMessage="1" sqref="C6:C15" xr:uid="{00000000-0002-0000-2C00-000004000000}">
      <formula1>地类判定</formula1>
    </dataValidation>
    <dataValidation type="list" allowBlank="1" showInputMessage="1" showErrorMessage="1" sqref="N5" xr:uid="{00000000-0002-0000-2C00-000005000000}">
      <formula1>"工程进度,成新度,工程进度/成新度"</formula1>
    </dataValidation>
    <dataValidation type="list" allowBlank="1" showInputMessage="1" showErrorMessage="1" sqref="B53" xr:uid="{00000000-0002-0000-2C00-000006000000}">
      <formula1>城镇土地纳税等级分级范围</formula1>
    </dataValidation>
    <dataValidation type="list" allowBlank="1" showInputMessage="1" showErrorMessage="1" sqref="B44" xr:uid="{00000000-0002-0000-2C00-000007000000}">
      <formula1>"7%,5%,1%"</formula1>
    </dataValidation>
  </dataValidations>
  <pageMargins left="0.7" right="0.7" top="0.75" bottom="0.75" header="0.3" footer="0.3"/>
  <pageSetup paperSize="9" scale="25" fitToHeight="0"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AH92"/>
  <sheetViews>
    <sheetView topLeftCell="B1" workbookViewId="0">
      <pane xSplit="1" ySplit="3" topLeftCell="C4" activePane="bottomRight" state="frozen"/>
      <selection activeCell="F111" sqref="F111"/>
      <selection pane="topRight" activeCell="F111" sqref="F111"/>
      <selection pane="bottomLeft" activeCell="F111" sqref="F111"/>
      <selection pane="bottomRight" activeCell="AE2" sqref="AE2"/>
    </sheetView>
  </sheetViews>
  <sheetFormatPr defaultColWidth="9" defaultRowHeight="14.25"/>
  <cols>
    <col min="1" max="2" width="9" style="3171"/>
    <col min="3" max="4" width="9.875" style="3171" customWidth="1"/>
    <col min="5" max="5" width="7" style="3171" customWidth="1"/>
    <col min="6" max="6" width="6.625" style="3171" customWidth="1"/>
    <col min="7" max="7" width="7.625" style="3171" customWidth="1"/>
    <col min="8" max="8" width="9.125" style="3169" customWidth="1"/>
    <col min="9" max="9" width="7.5" style="3169" customWidth="1"/>
    <col min="10" max="10" width="14.125" style="3171" customWidth="1"/>
    <col min="11" max="11" width="0" style="3171" hidden="1" customWidth="1"/>
    <col min="12" max="12" width="16.625" style="3171" hidden="1" customWidth="1"/>
    <col min="13" max="13" width="9.5" style="3171" hidden="1" customWidth="1"/>
    <col min="14" max="14" width="9" style="3171" hidden="1" customWidth="1"/>
    <col min="15" max="15" width="11.625" style="3171" hidden="1" customWidth="1"/>
    <col min="16" max="16" width="12.625" style="3171" hidden="1" customWidth="1"/>
    <col min="17" max="20" width="9.625" style="3171" hidden="1" customWidth="1"/>
    <col min="21" max="21" width="9" style="3171"/>
    <col min="22" max="22" width="16.625" style="3171" customWidth="1"/>
    <col min="23" max="23" width="10.5" style="3171" bestFit="1" customWidth="1"/>
    <col min="24" max="24" width="9" style="3171" customWidth="1"/>
    <col min="25" max="25" width="11.625" style="3171" hidden="1" customWidth="1"/>
    <col min="26" max="26" width="12.625" style="3171" hidden="1" customWidth="1"/>
    <col min="27" max="30" width="9" style="3171"/>
    <col min="31" max="31" width="14" style="3171" customWidth="1"/>
    <col min="32" max="33" width="13.125" style="3171" customWidth="1"/>
    <col min="34" max="16384" width="9" style="3171"/>
  </cols>
  <sheetData>
    <row r="1" spans="2:34">
      <c r="B1" s="3171" t="s">
        <v>3358</v>
      </c>
      <c r="K1" s="3171" t="s">
        <v>3359</v>
      </c>
      <c r="U1" s="3171" t="s">
        <v>3360</v>
      </c>
    </row>
    <row r="2" spans="2:34">
      <c r="B2" s="4896" t="s">
        <v>3361</v>
      </c>
      <c r="C2" s="4896"/>
      <c r="D2" s="4896"/>
      <c r="E2" s="4896"/>
      <c r="F2" s="3428"/>
      <c r="G2" s="3428"/>
      <c r="K2" s="4896" t="s">
        <v>3361</v>
      </c>
      <c r="L2" s="4896"/>
      <c r="M2" s="4896"/>
      <c r="N2" s="4896"/>
      <c r="O2" s="3428"/>
      <c r="P2" s="3428"/>
      <c r="U2" s="4896" t="s">
        <v>3362</v>
      </c>
      <c r="V2" s="4896"/>
      <c r="W2" s="4896"/>
      <c r="X2" s="4896"/>
      <c r="Y2" s="3428"/>
      <c r="Z2" s="3428"/>
    </row>
    <row r="3" spans="2:34">
      <c r="B3" s="3428"/>
      <c r="C3" s="3428" t="s">
        <v>3363</v>
      </c>
      <c r="D3" s="3428" t="s">
        <v>3364</v>
      </c>
      <c r="E3" s="3171" t="s">
        <v>3365</v>
      </c>
      <c r="F3" s="3428" t="s">
        <v>3366</v>
      </c>
      <c r="G3" s="3428" t="s">
        <v>3367</v>
      </c>
      <c r="H3" s="3430" t="s">
        <v>3368</v>
      </c>
      <c r="I3" s="3430"/>
      <c r="K3" s="3428"/>
      <c r="L3" s="3428" t="s">
        <v>3363</v>
      </c>
      <c r="M3" s="3428" t="s">
        <v>3364</v>
      </c>
      <c r="N3" s="3171" t="s">
        <v>3369</v>
      </c>
      <c r="O3" s="3428" t="s">
        <v>3366</v>
      </c>
      <c r="P3" s="3428" t="s">
        <v>3370</v>
      </c>
      <c r="Q3" s="3428" t="s">
        <v>3370</v>
      </c>
      <c r="R3" s="3428" t="s">
        <v>3371</v>
      </c>
      <c r="S3" s="3428"/>
      <c r="T3" s="3428"/>
      <c r="U3" s="3428"/>
      <c r="V3" s="3428" t="s">
        <v>3363</v>
      </c>
      <c r="W3" s="3428" t="s">
        <v>3364</v>
      </c>
      <c r="X3" s="3171" t="s">
        <v>3369</v>
      </c>
      <c r="Y3" s="3428" t="s">
        <v>3366</v>
      </c>
      <c r="Z3" s="3428" t="s">
        <v>3372</v>
      </c>
      <c r="AA3" s="3428" t="s">
        <v>3370</v>
      </c>
    </row>
    <row r="4" spans="2:34">
      <c r="B4" s="3428" t="s">
        <v>3373</v>
      </c>
      <c r="C4" s="3428">
        <f>ROUND(C5*(1+0.4%),1)</f>
        <v>379.6</v>
      </c>
      <c r="D4" s="3429">
        <f>D5-1.7%</f>
        <v>5.5999999999999994E-2</v>
      </c>
      <c r="H4" s="3170">
        <v>1.2999999999999999E-2</v>
      </c>
      <c r="I4" s="3170"/>
      <c r="K4" s="3428" t="s">
        <v>3373</v>
      </c>
      <c r="L4" s="3428">
        <v>373</v>
      </c>
      <c r="M4" s="3429">
        <v>2.5999999999999999E-2</v>
      </c>
      <c r="N4" s="3172"/>
      <c r="P4" s="3171">
        <v>6753000</v>
      </c>
      <c r="Q4" s="3171">
        <f>P4/10000</f>
        <v>675.3</v>
      </c>
      <c r="R4" s="3172"/>
      <c r="U4" s="3428" t="s">
        <v>3373</v>
      </c>
      <c r="V4" s="3428">
        <v>339.8</v>
      </c>
      <c r="W4" s="3429">
        <v>3.9E-2</v>
      </c>
      <c r="X4" s="3172"/>
      <c r="Z4" s="3171">
        <v>9240000</v>
      </c>
      <c r="AA4" s="3171">
        <f>Z4/10000</f>
        <v>924</v>
      </c>
    </row>
    <row r="5" spans="2:34">
      <c r="B5" s="3428" t="s">
        <v>3374</v>
      </c>
      <c r="C5" s="3428">
        <v>378.1</v>
      </c>
      <c r="D5" s="3429">
        <v>7.2999999999999995E-2</v>
      </c>
      <c r="E5" s="3172">
        <f>(C5-C4)/C4</f>
        <v>-3.9515279241306633E-3</v>
      </c>
      <c r="G5" s="3171">
        <f>ROUND(8520836/10000,2)</f>
        <v>852.08</v>
      </c>
      <c r="H5" s="3170">
        <v>1.2E-2</v>
      </c>
      <c r="I5" s="3172">
        <f>AVERAGE(D4:D7)</f>
        <v>6.3250000000000001E-2</v>
      </c>
      <c r="K5" s="3428" t="s">
        <v>3374</v>
      </c>
      <c r="L5" s="3428">
        <v>374</v>
      </c>
      <c r="M5" s="3429">
        <v>4.5999999999999999E-2</v>
      </c>
      <c r="N5" s="3172">
        <f>(L5-L4)/L4</f>
        <v>2.6809651474530832E-3</v>
      </c>
      <c r="O5" s="3171">
        <f>P5-P4</f>
        <v>355400</v>
      </c>
      <c r="P5" s="3171">
        <v>7108400</v>
      </c>
      <c r="Q5" s="3171">
        <f t="shared" ref="Q5:Q23" si="0">P5/10000</f>
        <v>710.84</v>
      </c>
      <c r="R5" s="3172">
        <f>(L5-L4)/L4</f>
        <v>2.6809651474530832E-3</v>
      </c>
      <c r="U5" s="3428" t="s">
        <v>3374</v>
      </c>
      <c r="V5" s="3428">
        <v>337.8</v>
      </c>
      <c r="W5" s="3429">
        <v>4.3999999999999997E-2</v>
      </c>
      <c r="X5" s="3172">
        <f>(V5-V4)/V4</f>
        <v>-5.885815185403178E-3</v>
      </c>
      <c r="Y5" s="3171">
        <f>Z5-Z4</f>
        <v>300000</v>
      </c>
      <c r="Z5" s="3171">
        <v>9540000</v>
      </c>
      <c r="AA5" s="3171">
        <f t="shared" ref="AA5:AA23" si="1">Z5/10000</f>
        <v>954</v>
      </c>
      <c r="AB5" s="3172">
        <f>(V5-V4)/V4</f>
        <v>-5.885815185403178E-3</v>
      </c>
    </row>
    <row r="6" spans="2:34">
      <c r="B6" s="3428" t="s">
        <v>3375</v>
      </c>
      <c r="C6" s="3428">
        <v>383.7</v>
      </c>
      <c r="D6" s="3429">
        <v>5.8000000000000003E-2</v>
      </c>
      <c r="E6" s="3172">
        <f t="shared" ref="E6:E23" si="2">(C6-C5)/C5</f>
        <v>1.4810896588204088E-2</v>
      </c>
      <c r="F6" s="3171">
        <f>G6-G5</f>
        <v>53.309999999999945</v>
      </c>
      <c r="G6" s="3171">
        <f>ROUND(9053859/10000,2)</f>
        <v>905.39</v>
      </c>
      <c r="H6" s="3170">
        <v>1.2E-2</v>
      </c>
      <c r="I6" s="3171">
        <f>AVERAGE(C4:C7)</f>
        <v>382.15000000000003</v>
      </c>
      <c r="K6" s="3428" t="s">
        <v>3375</v>
      </c>
      <c r="L6" s="3428">
        <v>371</v>
      </c>
      <c r="M6" s="3429">
        <v>4.9000000000000002E-2</v>
      </c>
      <c r="N6" s="3172">
        <f t="shared" ref="N6:N23" si="3">(L6-L5)/L5</f>
        <v>-8.0213903743315516E-3</v>
      </c>
      <c r="O6" s="3171">
        <f t="shared" ref="O6:O23" si="4">P6-P5</f>
        <v>134000</v>
      </c>
      <c r="P6" s="3171">
        <v>7242400</v>
      </c>
      <c r="Q6" s="3171">
        <f t="shared" si="0"/>
        <v>724.24</v>
      </c>
      <c r="R6" s="3172">
        <f t="shared" ref="R6:R23" si="5">(L6-L5)/L5</f>
        <v>-8.0213903743315516E-3</v>
      </c>
      <c r="U6" s="3428" t="s">
        <v>3375</v>
      </c>
      <c r="V6" s="3428">
        <v>337.8</v>
      </c>
      <c r="W6" s="3429">
        <v>4.9000000000000002E-2</v>
      </c>
      <c r="X6" s="3172">
        <f t="shared" ref="X6:X31" si="6">(V6-V5)/V5</f>
        <v>0</v>
      </c>
      <c r="Y6" s="3171">
        <f t="shared" ref="Y6:Y23" si="7">Z6-Z5</f>
        <v>220000</v>
      </c>
      <c r="Z6" s="3171">
        <v>9760000</v>
      </c>
      <c r="AA6" s="3171">
        <f t="shared" si="1"/>
        <v>976</v>
      </c>
      <c r="AB6" s="3172">
        <f t="shared" ref="AB6:AB22" si="8">(V6-V5)/V5</f>
        <v>0</v>
      </c>
    </row>
    <row r="7" spans="2:34">
      <c r="B7" s="3428" t="s">
        <v>3376</v>
      </c>
      <c r="C7" s="3428">
        <v>387.2</v>
      </c>
      <c r="D7" s="3429">
        <v>6.6000000000000003E-2</v>
      </c>
      <c r="E7" s="3172">
        <f t="shared" si="2"/>
        <v>9.1217096690122488E-3</v>
      </c>
      <c r="F7" s="3171">
        <f t="shared" ref="F7:F24" si="9">G7-G6</f>
        <v>24.82000000000005</v>
      </c>
      <c r="G7" s="3171">
        <f>ROUND(9302079/10000,2)</f>
        <v>930.21</v>
      </c>
      <c r="H7" s="3170">
        <v>1.4E-2</v>
      </c>
      <c r="I7" s="3171">
        <f>G7</f>
        <v>930.21</v>
      </c>
      <c r="K7" s="3428" t="s">
        <v>3376</v>
      </c>
      <c r="L7" s="3428">
        <v>373</v>
      </c>
      <c r="M7" s="3429">
        <v>3.9E-2</v>
      </c>
      <c r="N7" s="3172">
        <f t="shared" si="3"/>
        <v>5.3908355795148251E-3</v>
      </c>
      <c r="O7" s="3171">
        <f t="shared" si="4"/>
        <v>115500</v>
      </c>
      <c r="P7" s="3171">
        <v>7357900</v>
      </c>
      <c r="Q7" s="3171">
        <f t="shared" si="0"/>
        <v>735.79</v>
      </c>
      <c r="R7" s="3172">
        <f t="shared" si="5"/>
        <v>5.3908355795148251E-3</v>
      </c>
      <c r="U7" s="3428" t="s">
        <v>3376</v>
      </c>
      <c r="V7" s="3428">
        <v>336.9</v>
      </c>
      <c r="W7" s="3429">
        <v>5.6000000000000001E-2</v>
      </c>
      <c r="X7" s="3172">
        <f t="shared" si="6"/>
        <v>-2.6642984014210599E-3</v>
      </c>
      <c r="Y7" s="3171">
        <f t="shared" si="7"/>
        <v>160000</v>
      </c>
      <c r="Z7" s="3171">
        <v>9920000</v>
      </c>
      <c r="AA7" s="3171">
        <f t="shared" si="1"/>
        <v>992</v>
      </c>
      <c r="AB7" s="3172">
        <f t="shared" si="8"/>
        <v>-2.6642984014210599E-3</v>
      </c>
    </row>
    <row r="8" spans="2:34">
      <c r="B8" s="3428" t="s">
        <v>3377</v>
      </c>
      <c r="C8" s="3428">
        <v>388.4</v>
      </c>
      <c r="D8" s="3429">
        <v>6.6000000000000003E-2</v>
      </c>
      <c r="E8" s="3172">
        <f t="shared" si="2"/>
        <v>3.0991735537189789E-3</v>
      </c>
      <c r="F8" s="3171">
        <f t="shared" si="9"/>
        <v>15.789999999999964</v>
      </c>
      <c r="G8" s="3171">
        <f>118+828</f>
        <v>946</v>
      </c>
      <c r="H8" s="3170">
        <v>1.6E-2</v>
      </c>
      <c r="I8" s="3171"/>
      <c r="K8" s="3428" t="s">
        <v>3377</v>
      </c>
      <c r="L8" s="3428">
        <v>371</v>
      </c>
      <c r="M8" s="3429">
        <v>4.5999999999999999E-2</v>
      </c>
      <c r="N8" s="3172">
        <f t="shared" si="3"/>
        <v>-5.3619302949061663E-3</v>
      </c>
      <c r="O8" s="3171">
        <f t="shared" si="4"/>
        <v>122300</v>
      </c>
      <c r="P8" s="3171">
        <v>7480200</v>
      </c>
      <c r="Q8" s="3171">
        <f t="shared" si="0"/>
        <v>748.02</v>
      </c>
      <c r="R8" s="3172">
        <f t="shared" si="5"/>
        <v>-5.3619302949061663E-3</v>
      </c>
      <c r="U8" s="3428" t="s">
        <v>3377</v>
      </c>
      <c r="V8" s="3428">
        <v>335.1</v>
      </c>
      <c r="W8" s="3429">
        <v>6.0999999999999999E-2</v>
      </c>
      <c r="X8" s="3172">
        <f t="shared" si="6"/>
        <v>-5.3428317008012904E-3</v>
      </c>
      <c r="Y8" s="3171">
        <f t="shared" si="7"/>
        <v>160000</v>
      </c>
      <c r="Z8" s="3171">
        <v>10080000</v>
      </c>
      <c r="AA8" s="3171">
        <f t="shared" si="1"/>
        <v>1008</v>
      </c>
      <c r="AB8" s="3172">
        <f t="shared" si="8"/>
        <v>-5.3428317008012904E-3</v>
      </c>
    </row>
    <row r="9" spans="2:34">
      <c r="B9" s="3428" t="s">
        <v>3378</v>
      </c>
      <c r="C9" s="3428">
        <v>392.1</v>
      </c>
      <c r="D9" s="3429">
        <v>7.1999999999999995E-2</v>
      </c>
      <c r="E9" s="3172">
        <f t="shared" si="2"/>
        <v>9.5262615859939385E-3</v>
      </c>
      <c r="F9" s="3171">
        <f t="shared" si="9"/>
        <v>21.059999999999945</v>
      </c>
      <c r="G9" s="3171">
        <v>967.06</v>
      </c>
      <c r="H9" s="3170">
        <v>0.02</v>
      </c>
      <c r="I9" s="3172">
        <f>AVERAGE(D8:D11)</f>
        <v>6.9500000000000006E-2</v>
      </c>
      <c r="K9" s="3428" t="s">
        <v>3378</v>
      </c>
      <c r="L9" s="3428">
        <v>374</v>
      </c>
      <c r="M9" s="3429">
        <v>6.3E-2</v>
      </c>
      <c r="N9" s="3172">
        <f t="shared" si="3"/>
        <v>8.0862533692722376E-3</v>
      </c>
      <c r="O9" s="3171">
        <f t="shared" si="4"/>
        <v>267800</v>
      </c>
      <c r="P9" s="3171">
        <v>7748000</v>
      </c>
      <c r="Q9" s="3171">
        <f t="shared" si="0"/>
        <v>774.8</v>
      </c>
      <c r="R9" s="3172">
        <f t="shared" si="5"/>
        <v>8.0862533692722376E-3</v>
      </c>
      <c r="U9" s="3428" t="s">
        <v>3378</v>
      </c>
      <c r="V9" s="3428">
        <v>338.1</v>
      </c>
      <c r="W9" s="3429">
        <v>6.5000000000000002E-2</v>
      </c>
      <c r="X9" s="3172">
        <f t="shared" si="6"/>
        <v>8.9525514771709933E-3</v>
      </c>
      <c r="Y9" s="3171">
        <f t="shared" si="7"/>
        <v>120000</v>
      </c>
      <c r="Z9" s="3171">
        <v>10200000</v>
      </c>
      <c r="AA9" s="3171">
        <f t="shared" si="1"/>
        <v>1020</v>
      </c>
      <c r="AB9" s="3172">
        <f t="shared" si="8"/>
        <v>8.9525514771709933E-3</v>
      </c>
    </row>
    <row r="10" spans="2:34">
      <c r="B10" s="3428" t="s">
        <v>3379</v>
      </c>
      <c r="C10" s="3428">
        <v>391.3</v>
      </c>
      <c r="D10" s="3429">
        <v>6.3E-2</v>
      </c>
      <c r="E10" s="3172">
        <f t="shared" si="2"/>
        <v>-2.0402958428972491E-3</v>
      </c>
      <c r="F10" s="3171">
        <f t="shared" si="9"/>
        <v>0</v>
      </c>
      <c r="G10" s="3171">
        <v>967.06</v>
      </c>
      <c r="H10" s="3170">
        <v>1.9E-2</v>
      </c>
      <c r="I10" s="3171">
        <f>AVERAGE(C8:C11)</f>
        <v>391.875</v>
      </c>
      <c r="K10" s="3428" t="s">
        <v>3379</v>
      </c>
      <c r="L10" s="3428">
        <v>377</v>
      </c>
      <c r="M10" s="3429">
        <v>5.6000000000000001E-2</v>
      </c>
      <c r="N10" s="3172">
        <f t="shared" si="3"/>
        <v>8.0213903743315516E-3</v>
      </c>
      <c r="O10" s="3171">
        <f t="shared" si="4"/>
        <v>0</v>
      </c>
      <c r="P10" s="3171">
        <v>7748000</v>
      </c>
      <c r="Q10" s="3171">
        <f t="shared" si="0"/>
        <v>774.8</v>
      </c>
      <c r="R10" s="3172">
        <f t="shared" si="5"/>
        <v>8.0213903743315516E-3</v>
      </c>
      <c r="U10" s="3428" t="s">
        <v>3379</v>
      </c>
      <c r="V10" s="3428">
        <v>338.2</v>
      </c>
      <c r="W10" s="3429">
        <v>5.5E-2</v>
      </c>
      <c r="X10" s="3172">
        <f t="shared" si="6"/>
        <v>2.9577048210578492E-4</v>
      </c>
      <c r="Y10" s="3171">
        <f t="shared" si="7"/>
        <v>100000</v>
      </c>
      <c r="Z10" s="3171">
        <v>10300000</v>
      </c>
      <c r="AA10" s="3171">
        <f t="shared" si="1"/>
        <v>1030</v>
      </c>
      <c r="AB10" s="3172">
        <f t="shared" si="8"/>
        <v>2.9577048210578492E-4</v>
      </c>
    </row>
    <row r="11" spans="2:34">
      <c r="B11" s="3428" t="s">
        <v>3380</v>
      </c>
      <c r="C11" s="3428">
        <v>395.7</v>
      </c>
      <c r="D11" s="3429">
        <v>7.6999999999999999E-2</v>
      </c>
      <c r="E11" s="3172">
        <f t="shared" si="2"/>
        <v>1.124456938410421E-2</v>
      </c>
      <c r="F11" s="3171">
        <f t="shared" si="9"/>
        <v>38.480000000000018</v>
      </c>
      <c r="G11" s="3171">
        <v>1005.54</v>
      </c>
      <c r="H11" s="3170">
        <v>1.9E-2</v>
      </c>
      <c r="I11" s="3171">
        <f>G11</f>
        <v>1005.54</v>
      </c>
      <c r="J11" s="3171">
        <f>I11-I7</f>
        <v>75.329999999999927</v>
      </c>
      <c r="K11" s="3428" t="s">
        <v>3380</v>
      </c>
      <c r="L11" s="3428">
        <v>374</v>
      </c>
      <c r="M11" s="3429">
        <v>7.0999999999999994E-2</v>
      </c>
      <c r="N11" s="3172">
        <f t="shared" si="3"/>
        <v>-7.9575596816976128E-3</v>
      </c>
      <c r="O11" s="3171">
        <f t="shared" si="4"/>
        <v>430900</v>
      </c>
      <c r="P11" s="3171">
        <v>8178900</v>
      </c>
      <c r="Q11" s="3171">
        <f t="shared" si="0"/>
        <v>817.89</v>
      </c>
      <c r="R11" s="3172">
        <f t="shared" si="5"/>
        <v>-7.9575596816976128E-3</v>
      </c>
      <c r="U11" s="3428" t="s">
        <v>3380</v>
      </c>
      <c r="V11" s="3428">
        <v>340</v>
      </c>
      <c r="W11" s="3429">
        <v>7.5999999999999998E-2</v>
      </c>
      <c r="X11" s="3172">
        <f t="shared" si="6"/>
        <v>5.3222945002957172E-3</v>
      </c>
      <c r="Y11" s="3171">
        <f t="shared" si="7"/>
        <v>440000</v>
      </c>
      <c r="Z11" s="3171">
        <v>10740000</v>
      </c>
      <c r="AA11" s="3171">
        <f t="shared" si="1"/>
        <v>1074</v>
      </c>
      <c r="AB11" s="3172">
        <f t="shared" si="8"/>
        <v>5.3222945002957172E-3</v>
      </c>
    </row>
    <row r="12" spans="2:34">
      <c r="B12" s="3428" t="s">
        <v>3381</v>
      </c>
      <c r="C12" s="3428">
        <v>391.3</v>
      </c>
      <c r="D12" s="3429">
        <v>8.4000000000000005E-2</v>
      </c>
      <c r="E12" s="3172">
        <f t="shared" si="2"/>
        <v>-1.1119535001263526E-2</v>
      </c>
      <c r="F12" s="3171">
        <f t="shared" si="9"/>
        <v>38.069999999999936</v>
      </c>
      <c r="G12" s="3171">
        <v>1043.6099999999999</v>
      </c>
      <c r="H12" s="3170">
        <v>2.3E-2</v>
      </c>
      <c r="I12" s="3171"/>
      <c r="K12" s="3428" t="s">
        <v>3381</v>
      </c>
      <c r="L12" s="3428">
        <v>370</v>
      </c>
      <c r="M12" s="3429">
        <v>4.2999999999999997E-2</v>
      </c>
      <c r="N12" s="3172">
        <f t="shared" si="3"/>
        <v>-1.06951871657754E-2</v>
      </c>
      <c r="O12" s="3171">
        <f t="shared" si="4"/>
        <v>0</v>
      </c>
      <c r="P12" s="3171">
        <v>8178900</v>
      </c>
      <c r="Q12" s="3171">
        <f t="shared" si="0"/>
        <v>817.89</v>
      </c>
      <c r="R12" s="3172">
        <f t="shared" si="5"/>
        <v>-1.06951871657754E-2</v>
      </c>
      <c r="U12" s="3428" t="s">
        <v>3381</v>
      </c>
      <c r="V12" s="3428">
        <v>345.3</v>
      </c>
      <c r="W12" s="3429">
        <v>6.8000000000000005E-2</v>
      </c>
      <c r="X12" s="3172">
        <f t="shared" si="6"/>
        <v>1.558823529411768E-2</v>
      </c>
      <c r="Y12" s="3171">
        <f t="shared" si="7"/>
        <v>-90000</v>
      </c>
      <c r="Z12" s="3171">
        <v>10650000</v>
      </c>
      <c r="AA12" s="3171">
        <f t="shared" si="1"/>
        <v>1065</v>
      </c>
      <c r="AB12" s="3172">
        <f t="shared" si="8"/>
        <v>1.558823529411768E-2</v>
      </c>
      <c r="AD12" s="3453" t="s">
        <v>2745</v>
      </c>
      <c r="AE12" s="3453" t="s">
        <v>3382</v>
      </c>
      <c r="AF12" s="3453" t="s">
        <v>3383</v>
      </c>
      <c r="AG12" s="3453"/>
      <c r="AH12" s="3453" t="s">
        <v>3384</v>
      </c>
    </row>
    <row r="13" spans="2:34">
      <c r="B13" s="3428" t="s">
        <v>3385</v>
      </c>
      <c r="C13" s="3428">
        <v>394.4</v>
      </c>
      <c r="D13" s="3429">
        <v>7.0999999999999994E-2</v>
      </c>
      <c r="E13" s="3172">
        <f t="shared" si="2"/>
        <v>7.9223102478915564E-3</v>
      </c>
      <c r="F13" s="3171">
        <f t="shared" si="9"/>
        <v>0</v>
      </c>
      <c r="G13" s="3171">
        <v>1043.6099999999999</v>
      </c>
      <c r="H13" s="3170">
        <v>2.3E-2</v>
      </c>
      <c r="I13" s="3172">
        <f>AVERAGE(D12:D15)</f>
        <v>7.8750000000000001E-2</v>
      </c>
      <c r="K13" s="3428" t="s">
        <v>3385</v>
      </c>
      <c r="L13" s="3428">
        <v>384</v>
      </c>
      <c r="M13" s="3429">
        <v>3.3000000000000002E-2</v>
      </c>
      <c r="N13" s="3172">
        <f t="shared" si="3"/>
        <v>3.783783783783784E-2</v>
      </c>
      <c r="O13" s="3171">
        <f t="shared" si="4"/>
        <v>80000</v>
      </c>
      <c r="P13" s="3171">
        <v>8258900</v>
      </c>
      <c r="Q13" s="3171">
        <f t="shared" si="0"/>
        <v>825.89</v>
      </c>
      <c r="R13" s="3172">
        <f t="shared" si="5"/>
        <v>3.783783783783784E-2</v>
      </c>
      <c r="U13" s="3428" t="s">
        <v>3385</v>
      </c>
      <c r="V13" s="3428">
        <v>355</v>
      </c>
      <c r="W13" s="3429">
        <v>5.8000000000000003E-2</v>
      </c>
      <c r="X13" s="3172">
        <f t="shared" si="6"/>
        <v>2.8091514624963766E-2</v>
      </c>
      <c r="Y13" s="3171">
        <f>Z13-Z12</f>
        <v>70000</v>
      </c>
      <c r="Z13" s="3171">
        <v>10720000</v>
      </c>
      <c r="AA13" s="3171">
        <f t="shared" si="1"/>
        <v>1072</v>
      </c>
      <c r="AB13" s="3172">
        <f t="shared" si="8"/>
        <v>2.8091514624963766E-2</v>
      </c>
      <c r="AD13" s="3454">
        <v>1</v>
      </c>
      <c r="AE13" s="3455" t="s">
        <v>3386</v>
      </c>
      <c r="AF13" s="3454">
        <v>238</v>
      </c>
      <c r="AG13" s="3454">
        <f>ROUND(AF13/30,2)</f>
        <v>7.93</v>
      </c>
      <c r="AH13" s="3456">
        <v>6.7100000000000007E-2</v>
      </c>
    </row>
    <row r="14" spans="2:34">
      <c r="B14" s="3428" t="s">
        <v>3387</v>
      </c>
      <c r="C14" s="3428">
        <v>403</v>
      </c>
      <c r="D14" s="3429">
        <v>7.9000000000000001E-2</v>
      </c>
      <c r="E14" s="3172">
        <f>(C14-C13)/C13</f>
        <v>2.1805273833671458E-2</v>
      </c>
      <c r="F14" s="3171">
        <f t="shared" si="9"/>
        <v>4.9900000000000091</v>
      </c>
      <c r="G14" s="3171">
        <f>117.5+931.1</f>
        <v>1048.5999999999999</v>
      </c>
      <c r="H14" s="3170">
        <v>2.5000000000000001E-2</v>
      </c>
      <c r="I14" s="3171">
        <f>AVERAGE(C12:C15)</f>
        <v>397.20000000000005</v>
      </c>
      <c r="K14" s="3428" t="s">
        <v>3387</v>
      </c>
      <c r="L14" s="3428">
        <v>390</v>
      </c>
      <c r="M14" s="3429">
        <v>3.2000000000000001E-2</v>
      </c>
      <c r="N14" s="3172">
        <f t="shared" si="3"/>
        <v>1.5625E-2</v>
      </c>
      <c r="O14" s="3171">
        <f t="shared" si="4"/>
        <v>45700</v>
      </c>
      <c r="P14" s="3171">
        <v>8304600</v>
      </c>
      <c r="Q14" s="3171">
        <f t="shared" si="0"/>
        <v>830.46</v>
      </c>
      <c r="R14" s="3172">
        <f t="shared" si="5"/>
        <v>1.5625E-2</v>
      </c>
      <c r="U14" s="3428" t="s">
        <v>3387</v>
      </c>
      <c r="V14" s="3428">
        <v>366.9</v>
      </c>
      <c r="W14" s="3429">
        <v>6.5000000000000002E-2</v>
      </c>
      <c r="X14" s="3172">
        <f t="shared" si="6"/>
        <v>3.3521126760563319E-2</v>
      </c>
      <c r="Y14" s="3171">
        <f t="shared" si="7"/>
        <v>145000</v>
      </c>
      <c r="Z14" s="3171">
        <v>10865000</v>
      </c>
      <c r="AA14" s="3171">
        <f t="shared" si="1"/>
        <v>1086.5</v>
      </c>
      <c r="AB14" s="3172">
        <f t="shared" si="8"/>
        <v>3.3521126760563319E-2</v>
      </c>
      <c r="AD14" s="3454">
        <v>2</v>
      </c>
      <c r="AE14" s="3455" t="s">
        <v>3388</v>
      </c>
      <c r="AF14" s="3454">
        <v>146</v>
      </c>
      <c r="AG14" s="3454">
        <f t="shared" ref="AG14:AG22" si="10">ROUND(AF14/30,2)</f>
        <v>4.87</v>
      </c>
      <c r="AH14" s="3456">
        <v>5.3E-3</v>
      </c>
    </row>
    <row r="15" spans="2:34">
      <c r="B15" s="3428" t="s">
        <v>3389</v>
      </c>
      <c r="C15" s="3428">
        <v>400.1</v>
      </c>
      <c r="D15" s="3429">
        <v>8.1000000000000003E-2</v>
      </c>
      <c r="E15" s="3172">
        <f t="shared" si="2"/>
        <v>-7.1960297766748811E-3</v>
      </c>
      <c r="F15" s="3171">
        <f t="shared" si="9"/>
        <v>9.4000000000000909</v>
      </c>
      <c r="G15" s="3171">
        <v>1058</v>
      </c>
      <c r="H15" s="3170"/>
      <c r="I15" s="3171">
        <f>G15</f>
        <v>1058</v>
      </c>
      <c r="J15" s="3171">
        <f>I15-I11</f>
        <v>52.460000000000036</v>
      </c>
      <c r="K15" s="3428" t="s">
        <v>3389</v>
      </c>
      <c r="L15" s="3428">
        <v>386</v>
      </c>
      <c r="M15" s="3429">
        <v>4.9000000000000002E-2</v>
      </c>
      <c r="N15" s="3172">
        <f t="shared" si="3"/>
        <v>-1.0256410256410256E-2</v>
      </c>
      <c r="O15" s="3171">
        <f t="shared" si="4"/>
        <v>251300</v>
      </c>
      <c r="P15" s="3171">
        <v>8555900</v>
      </c>
      <c r="Q15" s="3171">
        <f t="shared" si="0"/>
        <v>855.59</v>
      </c>
      <c r="R15" s="3172">
        <f t="shared" si="5"/>
        <v>-1.0256410256410256E-2</v>
      </c>
      <c r="U15" s="3428" t="s">
        <v>3389</v>
      </c>
      <c r="V15" s="3428">
        <v>369</v>
      </c>
      <c r="W15" s="3429">
        <v>7.0000000000000007E-2</v>
      </c>
      <c r="X15" s="3172">
        <f t="shared" si="6"/>
        <v>5.7236304170074212E-3</v>
      </c>
      <c r="Y15" s="3171">
        <f t="shared" si="7"/>
        <v>157000</v>
      </c>
      <c r="Z15" s="3171">
        <v>11022000</v>
      </c>
      <c r="AA15" s="3171">
        <f t="shared" si="1"/>
        <v>1102.2</v>
      </c>
      <c r="AB15" s="3172">
        <f t="shared" si="8"/>
        <v>5.7236304170074212E-3</v>
      </c>
      <c r="AD15" s="3454">
        <v>3</v>
      </c>
      <c r="AE15" s="3455" t="s">
        <v>3390</v>
      </c>
      <c r="AF15" s="3454">
        <v>180</v>
      </c>
      <c r="AG15" s="3454">
        <f t="shared" si="10"/>
        <v>6</v>
      </c>
      <c r="AH15" s="3456">
        <v>2.63E-2</v>
      </c>
    </row>
    <row r="16" spans="2:34">
      <c r="B16" s="3428" t="s">
        <v>3391</v>
      </c>
      <c r="C16" s="3428">
        <v>399.75</v>
      </c>
      <c r="D16" s="3429">
        <v>7.9200000000000007E-2</v>
      </c>
      <c r="E16" s="3172">
        <f t="shared" si="2"/>
        <v>-8.7478130467388837E-4</v>
      </c>
      <c r="F16" s="3171">
        <f t="shared" si="9"/>
        <v>0</v>
      </c>
      <c r="G16" s="3171">
        <v>1058</v>
      </c>
      <c r="H16" s="3170"/>
      <c r="I16" s="3171"/>
      <c r="K16" s="3428" t="s">
        <v>3391</v>
      </c>
      <c r="L16" s="3428">
        <f>ROUND(L17*(1+1.2%),0)</f>
        <v>382</v>
      </c>
      <c r="M16" s="3429">
        <v>5.8000000000000003E-2</v>
      </c>
      <c r="N16" s="3172">
        <f t="shared" si="3"/>
        <v>-1.0362694300518135E-2</v>
      </c>
      <c r="O16" s="3171">
        <f t="shared" si="4"/>
        <v>125600</v>
      </c>
      <c r="P16" s="3171">
        <f>P17-143000</f>
        <v>8681500</v>
      </c>
      <c r="Q16" s="3171">
        <f t="shared" si="0"/>
        <v>868.15</v>
      </c>
      <c r="R16" s="3172">
        <f t="shared" si="5"/>
        <v>-1.0362694300518135E-2</v>
      </c>
      <c r="U16" s="3428" t="s">
        <v>3391</v>
      </c>
      <c r="V16" s="3428">
        <v>368</v>
      </c>
      <c r="W16" s="3429">
        <v>6.9000000000000006E-2</v>
      </c>
      <c r="X16" s="3172">
        <f t="shared" si="6"/>
        <v>-2.7100271002710027E-3</v>
      </c>
      <c r="Y16" s="3171">
        <f t="shared" si="7"/>
        <v>0</v>
      </c>
      <c r="Z16" s="3171">
        <v>11022000</v>
      </c>
      <c r="AA16" s="3171">
        <f t="shared" si="1"/>
        <v>1102.2</v>
      </c>
      <c r="AB16" s="3172">
        <f t="shared" si="8"/>
        <v>-2.7100271002710027E-3</v>
      </c>
      <c r="AD16" s="3454">
        <v>4</v>
      </c>
      <c r="AE16" s="3455" t="s">
        <v>3392</v>
      </c>
      <c r="AF16" s="3454">
        <v>147</v>
      </c>
      <c r="AG16" s="3454">
        <f t="shared" si="10"/>
        <v>4.9000000000000004</v>
      </c>
      <c r="AH16" s="3456">
        <v>6.4799999999999996E-2</v>
      </c>
    </row>
    <row r="17" spans="2:34">
      <c r="B17" s="3428" t="s">
        <v>3393</v>
      </c>
      <c r="C17" s="3428">
        <v>396.19</v>
      </c>
      <c r="D17" s="3429">
        <v>8.8999999999999996E-2</v>
      </c>
      <c r="E17" s="3172">
        <f t="shared" si="2"/>
        <v>-8.9055659787367156E-3</v>
      </c>
      <c r="F17" s="3171">
        <f t="shared" si="9"/>
        <v>-23.319999999999936</v>
      </c>
      <c r="G17" s="3171">
        <v>1034.68</v>
      </c>
      <c r="H17" s="3170">
        <v>1.9E-2</v>
      </c>
      <c r="I17" s="3172">
        <f>AVERAGE(D16:D19)</f>
        <v>0.10117500000000001</v>
      </c>
      <c r="K17" s="3428" t="s">
        <v>3393</v>
      </c>
      <c r="L17" s="3428">
        <v>377</v>
      </c>
      <c r="M17" s="3429">
        <v>6.9000000000000006E-2</v>
      </c>
      <c r="N17" s="3172">
        <f t="shared" si="3"/>
        <v>-1.3089005235602094E-2</v>
      </c>
      <c r="O17" s="3171">
        <f t="shared" si="4"/>
        <v>143000</v>
      </c>
      <c r="P17" s="3171">
        <v>8824500</v>
      </c>
      <c r="Q17" s="3171">
        <f t="shared" si="0"/>
        <v>882.45</v>
      </c>
      <c r="R17" s="3172">
        <f t="shared" si="5"/>
        <v>-1.3089005235602094E-2</v>
      </c>
      <c r="U17" s="3428" t="s">
        <v>3393</v>
      </c>
      <c r="V17" s="3428">
        <v>368.3</v>
      </c>
      <c r="W17" s="3429">
        <v>8.5999999999999993E-2</v>
      </c>
      <c r="X17" s="3172">
        <f t="shared" si="6"/>
        <v>8.1521739130437868E-4</v>
      </c>
      <c r="Y17" s="3171">
        <f t="shared" si="7"/>
        <v>284000</v>
      </c>
      <c r="Z17" s="3171">
        <v>11306000</v>
      </c>
      <c r="AA17" s="3171">
        <f t="shared" si="1"/>
        <v>1130.5999999999999</v>
      </c>
      <c r="AB17" s="3172">
        <f t="shared" si="8"/>
        <v>8.1521739130437868E-4</v>
      </c>
      <c r="AD17" s="3454">
        <v>5</v>
      </c>
      <c r="AE17" s="3455" t="s">
        <v>3394</v>
      </c>
      <c r="AF17" s="3454">
        <v>146</v>
      </c>
      <c r="AG17" s="3454">
        <f t="shared" si="10"/>
        <v>4.87</v>
      </c>
      <c r="AH17" s="3457">
        <v>-2.9700000000000001E-2</v>
      </c>
    </row>
    <row r="18" spans="2:34">
      <c r="B18" s="3428" t="s">
        <v>3395</v>
      </c>
      <c r="C18" s="3428">
        <v>388.16</v>
      </c>
      <c r="D18" s="3429">
        <v>0.10150000000000001</v>
      </c>
      <c r="E18" s="3172">
        <f t="shared" si="2"/>
        <v>-2.0268053206794652E-2</v>
      </c>
      <c r="F18" s="3171">
        <f t="shared" si="9"/>
        <v>20.700000000000045</v>
      </c>
      <c r="G18" s="3171">
        <v>1055.3800000000001</v>
      </c>
      <c r="H18" s="3170">
        <v>2.1000000000000001E-2</v>
      </c>
      <c r="I18" s="3171">
        <f>AVERAGE(C16:C19)</f>
        <v>391.625</v>
      </c>
      <c r="K18" s="3428" t="s">
        <v>3395</v>
      </c>
      <c r="L18" s="3428">
        <v>374</v>
      </c>
      <c r="M18" s="3429">
        <v>7.0999999999999994E-2</v>
      </c>
      <c r="N18" s="3172">
        <f t="shared" si="3"/>
        <v>-7.9575596816976128E-3</v>
      </c>
      <c r="O18" s="3171">
        <f t="shared" si="4"/>
        <v>0</v>
      </c>
      <c r="P18" s="3171">
        <v>8824500</v>
      </c>
      <c r="Q18" s="3171">
        <f t="shared" si="0"/>
        <v>882.45</v>
      </c>
      <c r="R18" s="3172">
        <f t="shared" si="5"/>
        <v>-7.9575596816976128E-3</v>
      </c>
      <c r="U18" s="3428" t="s">
        <v>3395</v>
      </c>
      <c r="V18" s="3428">
        <v>367.6</v>
      </c>
      <c r="W18" s="3429">
        <v>9.1999999999999998E-2</v>
      </c>
      <c r="X18" s="3172">
        <f t="shared" si="6"/>
        <v>-1.9006244909041232E-3</v>
      </c>
      <c r="Y18" s="3171">
        <f t="shared" si="7"/>
        <v>180000</v>
      </c>
      <c r="Z18" s="3171">
        <v>11486000</v>
      </c>
      <c r="AA18" s="3171">
        <f t="shared" si="1"/>
        <v>1148.5999999999999</v>
      </c>
      <c r="AB18" s="3172">
        <f t="shared" si="8"/>
        <v>-1.9006244909041232E-3</v>
      </c>
      <c r="AD18" s="3454">
        <v>6</v>
      </c>
      <c r="AE18" s="3455" t="s">
        <v>3396</v>
      </c>
      <c r="AF18" s="3454">
        <v>225</v>
      </c>
      <c r="AG18" s="3454">
        <f t="shared" si="10"/>
        <v>7.5</v>
      </c>
      <c r="AH18" s="3456">
        <v>6.2399999999999997E-2</v>
      </c>
    </row>
    <row r="19" spans="2:34">
      <c r="B19" s="3428" t="s">
        <v>3397</v>
      </c>
      <c r="C19" s="3428">
        <v>382.4</v>
      </c>
      <c r="D19" s="3429">
        <v>0.13500000000000001</v>
      </c>
      <c r="E19" s="3172">
        <f t="shared" si="2"/>
        <v>-1.4839241549876462E-2</v>
      </c>
      <c r="F19" s="3171">
        <f t="shared" si="9"/>
        <v>58.799999999999955</v>
      </c>
      <c r="G19" s="3171">
        <v>1114.18</v>
      </c>
      <c r="H19" s="3170">
        <v>2.3E-2</v>
      </c>
      <c r="I19" s="3171">
        <f>G19</f>
        <v>1114.18</v>
      </c>
      <c r="J19" s="3171">
        <f>I19-I15</f>
        <v>56.180000000000064</v>
      </c>
      <c r="K19" s="3428" t="s">
        <v>3397</v>
      </c>
      <c r="L19" s="3428">
        <v>379</v>
      </c>
      <c r="M19" s="3429">
        <v>0.113</v>
      </c>
      <c r="N19" s="3172">
        <f t="shared" si="3"/>
        <v>1.3368983957219251E-2</v>
      </c>
      <c r="O19" s="3171">
        <f t="shared" si="4"/>
        <v>800700</v>
      </c>
      <c r="P19" s="3171">
        <v>9625200</v>
      </c>
      <c r="Q19" s="3171">
        <f t="shared" si="0"/>
        <v>962.52</v>
      </c>
      <c r="R19" s="3172">
        <f t="shared" si="5"/>
        <v>1.3368983957219251E-2</v>
      </c>
      <c r="U19" s="3428" t="s">
        <v>3397</v>
      </c>
      <c r="V19" s="3428">
        <v>364.9</v>
      </c>
      <c r="W19" s="3429">
        <v>0.127</v>
      </c>
      <c r="X19" s="3172">
        <f t="shared" si="6"/>
        <v>-7.344940152339623E-3</v>
      </c>
      <c r="Y19" s="3171">
        <f t="shared" si="7"/>
        <v>933000</v>
      </c>
      <c r="Z19" s="3171">
        <v>12419000</v>
      </c>
      <c r="AA19" s="3171">
        <f t="shared" si="1"/>
        <v>1241.9000000000001</v>
      </c>
      <c r="AB19" s="3172">
        <f t="shared" si="8"/>
        <v>-7.344940152339623E-3</v>
      </c>
      <c r="AD19" s="3454">
        <v>7</v>
      </c>
      <c r="AE19" s="3455" t="s">
        <v>3398</v>
      </c>
      <c r="AF19" s="3454">
        <v>132</v>
      </c>
      <c r="AG19" s="3454">
        <f t="shared" si="10"/>
        <v>4.4000000000000004</v>
      </c>
      <c r="AH19" s="3456">
        <v>7.0000000000000001E-3</v>
      </c>
    </row>
    <row r="20" spans="2:34">
      <c r="B20" s="3428" t="s">
        <v>3399</v>
      </c>
      <c r="C20" s="3428">
        <v>377.49</v>
      </c>
      <c r="D20" s="3429">
        <v>0.13800000000000001</v>
      </c>
      <c r="E20" s="3172">
        <f t="shared" si="2"/>
        <v>-1.2839958158995734E-2</v>
      </c>
      <c r="F20" s="3171">
        <f t="shared" si="9"/>
        <v>0</v>
      </c>
      <c r="G20" s="3171">
        <v>1114.18</v>
      </c>
      <c r="H20" s="3170">
        <v>3.1E-2</v>
      </c>
      <c r="I20" s="3171"/>
      <c r="K20" s="3428" t="s">
        <v>3399</v>
      </c>
      <c r="L20" s="3428">
        <v>374</v>
      </c>
      <c r="M20" s="3429">
        <v>0.113</v>
      </c>
      <c r="N20" s="3172">
        <f t="shared" si="3"/>
        <v>-1.3192612137203167E-2</v>
      </c>
      <c r="O20" s="3171">
        <f t="shared" si="4"/>
        <v>0</v>
      </c>
      <c r="P20" s="3171">
        <v>9625200</v>
      </c>
      <c r="Q20" s="3171">
        <f t="shared" si="0"/>
        <v>962.52</v>
      </c>
      <c r="R20" s="3172">
        <f t="shared" si="5"/>
        <v>-1.3192612137203167E-2</v>
      </c>
      <c r="U20" s="3428" t="s">
        <v>3399</v>
      </c>
      <c r="V20" s="3428">
        <v>363</v>
      </c>
      <c r="W20" s="3429">
        <v>0.13200000000000001</v>
      </c>
      <c r="X20" s="3172">
        <f t="shared" si="6"/>
        <v>-5.2069060016442245E-3</v>
      </c>
      <c r="Y20" s="3171">
        <f t="shared" si="7"/>
        <v>-41000</v>
      </c>
      <c r="Z20" s="3171">
        <v>12378000</v>
      </c>
      <c r="AA20" s="3171">
        <f t="shared" si="1"/>
        <v>1237.8</v>
      </c>
      <c r="AB20" s="3172">
        <f t="shared" si="8"/>
        <v>-5.2069060016442245E-3</v>
      </c>
      <c r="AD20" s="3454">
        <v>8</v>
      </c>
      <c r="AE20" s="3455" t="s">
        <v>3400</v>
      </c>
      <c r="AF20" s="3454">
        <v>161</v>
      </c>
      <c r="AG20" s="3454">
        <f t="shared" si="10"/>
        <v>5.37</v>
      </c>
      <c r="AH20" s="3456">
        <v>5.7799999999999997E-2</v>
      </c>
    </row>
    <row r="21" spans="2:34">
      <c r="B21" s="3428" t="s">
        <v>3401</v>
      </c>
      <c r="C21" s="3428">
        <v>358.51</v>
      </c>
      <c r="D21" s="3429">
        <v>0.16200000000000001</v>
      </c>
      <c r="E21" s="3172">
        <f t="shared" si="2"/>
        <v>-5.0279477602055728E-2</v>
      </c>
      <c r="F21" s="3171">
        <f t="shared" si="9"/>
        <v>36.240000000000009</v>
      </c>
      <c r="G21" s="3171">
        <v>1150.42</v>
      </c>
      <c r="H21" s="3170">
        <v>2.3E-2</v>
      </c>
      <c r="I21" s="3172">
        <f>AVERAGE(D20:D23)</f>
        <v>0.15900000000000003</v>
      </c>
      <c r="K21" s="3428" t="s">
        <v>3401</v>
      </c>
      <c r="L21" s="3428">
        <v>356</v>
      </c>
      <c r="M21" s="3429">
        <v>0.14000000000000001</v>
      </c>
      <c r="N21" s="3172">
        <f t="shared" si="3"/>
        <v>-4.8128342245989303E-2</v>
      </c>
      <c r="O21" s="3171">
        <f t="shared" si="4"/>
        <v>0</v>
      </c>
      <c r="P21" s="3171">
        <v>9625200</v>
      </c>
      <c r="Q21" s="3171">
        <f t="shared" si="0"/>
        <v>962.52</v>
      </c>
      <c r="R21" s="3172">
        <f t="shared" si="5"/>
        <v>-4.8128342245989303E-2</v>
      </c>
      <c r="U21" s="3428" t="s">
        <v>3401</v>
      </c>
      <c r="V21" s="3428">
        <v>360.5</v>
      </c>
      <c r="W21" s="3429">
        <v>0.13600000000000001</v>
      </c>
      <c r="X21" s="3172">
        <f t="shared" si="6"/>
        <v>-6.8870523415977963E-3</v>
      </c>
      <c r="Y21" s="3171">
        <f t="shared" si="7"/>
        <v>100000</v>
      </c>
      <c r="Z21" s="3171">
        <v>12478000</v>
      </c>
      <c r="AA21" s="3171">
        <f t="shared" si="1"/>
        <v>1247.8</v>
      </c>
      <c r="AB21" s="3172">
        <f t="shared" si="8"/>
        <v>-6.8870523415977963E-3</v>
      </c>
      <c r="AD21" s="3454">
        <v>9</v>
      </c>
      <c r="AE21" s="3455" t="s">
        <v>3402</v>
      </c>
      <c r="AF21" s="3454">
        <v>193</v>
      </c>
      <c r="AG21" s="3454">
        <f t="shared" si="10"/>
        <v>6.43</v>
      </c>
      <c r="AH21" s="3456">
        <v>1.3100000000000001E-2</v>
      </c>
    </row>
    <row r="22" spans="2:34">
      <c r="B22" s="3428" t="s">
        <v>3403</v>
      </c>
      <c r="C22" s="3428">
        <v>348.4</v>
      </c>
      <c r="D22" s="3429">
        <v>0.16600000000000001</v>
      </c>
      <c r="E22" s="3172">
        <f t="shared" si="2"/>
        <v>-2.8200050207804563E-2</v>
      </c>
      <c r="F22" s="3171">
        <f t="shared" si="9"/>
        <v>16.5</v>
      </c>
      <c r="G22" s="3171">
        <v>1166.92</v>
      </c>
      <c r="H22" s="3170">
        <v>1.9E-2</v>
      </c>
      <c r="I22" s="3171">
        <f>AVERAGE(C20:C23)</f>
        <v>355.40000000000003</v>
      </c>
      <c r="K22" s="3428" t="s">
        <v>3403</v>
      </c>
      <c r="L22" s="3428">
        <v>352</v>
      </c>
      <c r="M22" s="3429">
        <v>0.13900000000000001</v>
      </c>
      <c r="N22" s="3172">
        <f t="shared" si="3"/>
        <v>-1.1235955056179775E-2</v>
      </c>
      <c r="O22" s="3171">
        <f t="shared" si="4"/>
        <v>10000</v>
      </c>
      <c r="P22" s="3171">
        <v>9635200</v>
      </c>
      <c r="Q22" s="3171">
        <f t="shared" si="0"/>
        <v>963.52</v>
      </c>
      <c r="R22" s="3172">
        <f t="shared" si="5"/>
        <v>-1.1235955056179775E-2</v>
      </c>
      <c r="U22" s="3428" t="s">
        <v>3403</v>
      </c>
      <c r="V22" s="3428">
        <v>354.8</v>
      </c>
      <c r="W22" s="3429">
        <v>0.15</v>
      </c>
      <c r="X22" s="3172">
        <f t="shared" si="6"/>
        <v>-1.5811373092926458E-2</v>
      </c>
      <c r="Y22" s="3171">
        <f t="shared" si="7"/>
        <v>248000</v>
      </c>
      <c r="Z22" s="3171">
        <v>12726000</v>
      </c>
      <c r="AA22" s="3171">
        <f t="shared" si="1"/>
        <v>1272.5999999999999</v>
      </c>
      <c r="AB22" s="3172">
        <f t="shared" si="8"/>
        <v>-1.5811373092926458E-2</v>
      </c>
      <c r="AD22" s="3454">
        <v>10</v>
      </c>
      <c r="AE22" s="3455" t="s">
        <v>3404</v>
      </c>
      <c r="AF22" s="3454">
        <v>164</v>
      </c>
      <c r="AG22" s="3454">
        <f t="shared" si="10"/>
        <v>5.47</v>
      </c>
      <c r="AH22" s="3456">
        <v>2.75E-2</v>
      </c>
    </row>
    <row r="23" spans="2:34">
      <c r="B23" s="3428" t="s">
        <v>3405</v>
      </c>
      <c r="C23" s="3428">
        <v>337.2</v>
      </c>
      <c r="D23" s="3429">
        <v>0.17</v>
      </c>
      <c r="E23" s="3172">
        <f t="shared" si="2"/>
        <v>-3.2146957520091821E-2</v>
      </c>
      <c r="F23" s="3171">
        <f t="shared" si="9"/>
        <v>31.490000000000009</v>
      </c>
      <c r="G23" s="3171">
        <v>1198.4100000000001</v>
      </c>
      <c r="H23" s="3170"/>
      <c r="I23" s="3171">
        <f>G23</f>
        <v>1198.4100000000001</v>
      </c>
      <c r="J23" s="3171">
        <f>I23-I19</f>
        <v>84.230000000000018</v>
      </c>
      <c r="K23" s="3428" t="s">
        <v>3405</v>
      </c>
      <c r="L23" s="3428">
        <v>342</v>
      </c>
      <c r="M23" s="3429">
        <v>0.154</v>
      </c>
      <c r="N23" s="3172">
        <f t="shared" si="3"/>
        <v>-2.8409090909090908E-2</v>
      </c>
      <c r="O23" s="3171">
        <f t="shared" si="4"/>
        <v>540700</v>
      </c>
      <c r="P23" s="3171">
        <v>10175900</v>
      </c>
      <c r="Q23" s="3171">
        <f t="shared" si="0"/>
        <v>1017.59</v>
      </c>
      <c r="R23" s="3172">
        <f t="shared" si="5"/>
        <v>-2.8409090909090908E-2</v>
      </c>
      <c r="U23" s="3428" t="s">
        <v>3405</v>
      </c>
      <c r="V23" s="3428">
        <v>349.2</v>
      </c>
      <c r="W23" s="3429">
        <v>0.158</v>
      </c>
      <c r="X23" s="3172">
        <f t="shared" si="6"/>
        <v>-1.578354002254798E-2</v>
      </c>
      <c r="Y23" s="3171">
        <f t="shared" si="7"/>
        <v>164000</v>
      </c>
      <c r="Z23" s="3171">
        <v>12890000</v>
      </c>
      <c r="AA23" s="3171">
        <f t="shared" si="1"/>
        <v>1289</v>
      </c>
      <c r="AB23" s="3172">
        <f>(V23-V22)/V22</f>
        <v>-1.578354002254798E-2</v>
      </c>
    </row>
    <row r="24" spans="2:34" s="3461" customFormat="1">
      <c r="B24" s="3458" t="s">
        <v>3406</v>
      </c>
      <c r="C24" s="3458">
        <f>ROUND(C25*1.025,0)</f>
        <v>334</v>
      </c>
      <c r="D24" s="3459">
        <v>0.17199999999999999</v>
      </c>
      <c r="E24" s="3460">
        <f>C24/C23-1</f>
        <v>-9.4899169632265412E-3</v>
      </c>
      <c r="F24" s="3171">
        <f t="shared" si="9"/>
        <v>0</v>
      </c>
      <c r="G24" s="3461">
        <v>1198.4100000000001</v>
      </c>
      <c r="H24" s="3462"/>
      <c r="I24" s="3462"/>
      <c r="K24" s="3458" t="s">
        <v>3406</v>
      </c>
      <c r="L24" s="3458">
        <v>336</v>
      </c>
      <c r="M24" s="3463">
        <v>0.15</v>
      </c>
      <c r="U24" s="3458" t="s">
        <v>3406</v>
      </c>
      <c r="V24" s="3458">
        <v>344.9</v>
      </c>
      <c r="W24" s="3459">
        <v>0.16600000000000001</v>
      </c>
      <c r="X24" s="3460">
        <f t="shared" si="6"/>
        <v>-1.2313860252004614E-2</v>
      </c>
      <c r="AA24" s="3461">
        <v>1317</v>
      </c>
    </row>
    <row r="25" spans="2:34">
      <c r="B25" s="3428" t="s">
        <v>3407</v>
      </c>
      <c r="C25" s="3428">
        <v>326</v>
      </c>
      <c r="D25" s="3429">
        <v>0.17499999999999999</v>
      </c>
      <c r="E25" s="3172">
        <v>-2.5000000000000001E-2</v>
      </c>
      <c r="F25" s="3171">
        <v>26.3</v>
      </c>
      <c r="G25" s="3171">
        <v>1245.3599999999999</v>
      </c>
      <c r="H25" s="3170">
        <v>4.0000000000000001E-3</v>
      </c>
      <c r="I25" s="3171"/>
      <c r="K25" s="3428" t="s">
        <v>3407</v>
      </c>
      <c r="L25" s="3428">
        <v>332</v>
      </c>
      <c r="M25" s="3429">
        <v>0.14199999999999999</v>
      </c>
      <c r="N25" s="3172"/>
      <c r="R25" s="3172"/>
      <c r="U25" s="3428" t="s">
        <v>3407</v>
      </c>
      <c r="V25" s="3428">
        <v>341.3</v>
      </c>
      <c r="W25" s="3429">
        <v>0.17299999999999999</v>
      </c>
      <c r="X25" s="3172">
        <f t="shared" si="6"/>
        <v>-1.0437808060307236E-2</v>
      </c>
      <c r="AA25" s="3171">
        <v>1355</v>
      </c>
      <c r="AB25" s="3172"/>
    </row>
    <row r="26" spans="2:34">
      <c r="B26" s="3428" t="s">
        <v>3408</v>
      </c>
      <c r="C26" s="3428">
        <v>332</v>
      </c>
      <c r="D26" s="3429">
        <v>0.16200000000000001</v>
      </c>
      <c r="E26" s="3172">
        <v>1.7999999999999999E-2</v>
      </c>
      <c r="F26" s="3171">
        <v>9.6999999999999993</v>
      </c>
      <c r="G26" s="3171">
        <v>1255.1199999999999</v>
      </c>
      <c r="H26" s="3170">
        <v>7.0000000000000001E-3</v>
      </c>
      <c r="I26" s="3171"/>
      <c r="K26" s="3428" t="s">
        <v>3408</v>
      </c>
      <c r="L26" s="3428">
        <f>ROUND(L22*(1-5.7%),0)</f>
        <v>332</v>
      </c>
      <c r="M26" s="3429">
        <f>M22-1.7%</f>
        <v>0.12200000000000001</v>
      </c>
      <c r="N26" s="3172"/>
      <c r="R26" s="3172"/>
      <c r="U26" s="3428" t="s">
        <v>3408</v>
      </c>
      <c r="V26" s="3428">
        <v>341.7</v>
      </c>
      <c r="W26" s="3429">
        <v>0.16700000000000001</v>
      </c>
      <c r="X26" s="3172">
        <f t="shared" si="6"/>
        <v>1.1719894520948644E-3</v>
      </c>
      <c r="AA26" s="3171">
        <v>1396</v>
      </c>
      <c r="AB26" s="3172"/>
    </row>
    <row r="27" spans="2:34">
      <c r="B27" s="3428" t="s">
        <v>3409</v>
      </c>
      <c r="C27" s="3428">
        <v>337.6</v>
      </c>
      <c r="D27" s="3429">
        <v>0.14599999999999999</v>
      </c>
      <c r="E27" s="3172">
        <v>1.7000000000000001E-2</v>
      </c>
      <c r="F27" s="3171">
        <v>62.4</v>
      </c>
      <c r="G27" s="3171">
        <v>1260.82</v>
      </c>
      <c r="H27" s="3170">
        <v>0.01</v>
      </c>
      <c r="I27" s="3171"/>
      <c r="K27" s="3428" t="s">
        <v>3409</v>
      </c>
      <c r="L27" s="3428"/>
      <c r="M27" s="3429"/>
      <c r="N27" s="3172"/>
      <c r="R27" s="3172"/>
      <c r="U27" s="3428" t="s">
        <v>3409</v>
      </c>
      <c r="V27" s="3428">
        <v>341</v>
      </c>
      <c r="W27" s="3429">
        <v>0.15</v>
      </c>
      <c r="X27" s="3172">
        <f t="shared" si="6"/>
        <v>-2.0485806262803296E-3</v>
      </c>
      <c r="AA27" s="3171">
        <v>1416.4</v>
      </c>
      <c r="AB27" s="3172"/>
    </row>
    <row r="28" spans="2:34">
      <c r="B28" s="3428" t="s">
        <v>3410</v>
      </c>
      <c r="C28" s="3428">
        <v>334.6</v>
      </c>
      <c r="D28" s="3429">
        <v>0.14299999999999999</v>
      </c>
      <c r="E28" s="3172">
        <v>-8.9999999999999993E-3</v>
      </c>
      <c r="F28" s="3171">
        <v>17.5</v>
      </c>
      <c r="G28" s="3171">
        <v>1278.3499999999999</v>
      </c>
      <c r="H28" s="3170">
        <v>1.0999999999999999E-2</v>
      </c>
      <c r="I28" s="3171"/>
      <c r="K28" s="3428" t="s">
        <v>3410</v>
      </c>
      <c r="L28" s="3428"/>
      <c r="M28" s="3429"/>
      <c r="N28" s="3172"/>
      <c r="R28" s="3172"/>
      <c r="U28" s="3428" t="s">
        <v>3410</v>
      </c>
      <c r="V28" s="3428">
        <v>339</v>
      </c>
      <c r="W28" s="3429">
        <v>0.153</v>
      </c>
      <c r="X28" s="3172">
        <f t="shared" si="6"/>
        <v>-5.8651026392961877E-3</v>
      </c>
      <c r="AA28" s="3171">
        <v>1430.5</v>
      </c>
      <c r="AB28" s="3172"/>
    </row>
    <row r="29" spans="2:34">
      <c r="B29" s="3428" t="s">
        <v>3411</v>
      </c>
      <c r="C29" s="3428">
        <v>332.7</v>
      </c>
      <c r="D29" s="3429">
        <v>0.13900000000000001</v>
      </c>
      <c r="E29" s="3172">
        <v>-6.0000000000000001E-3</v>
      </c>
      <c r="F29" s="3171">
        <v>0</v>
      </c>
      <c r="G29" s="3171">
        <v>1280.3499999999999</v>
      </c>
      <c r="H29" s="3170">
        <v>1.4E-2</v>
      </c>
      <c r="I29" s="3171"/>
      <c r="K29" s="3428" t="s">
        <v>3411</v>
      </c>
      <c r="L29" s="3428"/>
      <c r="M29" s="3429"/>
      <c r="N29" s="3172"/>
      <c r="R29" s="3172"/>
      <c r="U29" s="3428" t="s">
        <v>3411</v>
      </c>
      <c r="V29" s="3428">
        <v>337.5</v>
      </c>
      <c r="W29" s="3429">
        <v>0.158</v>
      </c>
      <c r="X29" s="3172">
        <f t="shared" si="6"/>
        <v>-4.4247787610619468E-3</v>
      </c>
      <c r="AA29" s="3171">
        <v>1437.9</v>
      </c>
      <c r="AB29" s="3172"/>
    </row>
    <row r="30" spans="2:34">
      <c r="B30" s="3428" t="s">
        <v>3412</v>
      </c>
      <c r="C30" s="3428">
        <v>330.8</v>
      </c>
      <c r="D30" s="3429">
        <v>0.14599999999999999</v>
      </c>
      <c r="E30" s="3172">
        <v>-6.0000000000000001E-3</v>
      </c>
      <c r="F30" s="3171">
        <v>15</v>
      </c>
      <c r="G30" s="3171">
        <v>1295.5</v>
      </c>
      <c r="H30" s="3170">
        <v>1.7999999999999999E-2</v>
      </c>
      <c r="I30" s="3171"/>
      <c r="K30" s="3428" t="s">
        <v>3412</v>
      </c>
      <c r="L30" s="3428"/>
      <c r="M30" s="3429"/>
      <c r="N30" s="3172"/>
      <c r="R30" s="3172"/>
      <c r="U30" s="3428" t="s">
        <v>3412</v>
      </c>
      <c r="V30" s="3428">
        <v>331.5</v>
      </c>
      <c r="W30" s="3429">
        <v>0.158</v>
      </c>
      <c r="X30" s="3172">
        <f t="shared" si="6"/>
        <v>-1.7777777777777778E-2</v>
      </c>
      <c r="AA30" s="3171">
        <v>1437.9</v>
      </c>
      <c r="AB30" s="3172"/>
    </row>
    <row r="31" spans="2:34">
      <c r="B31" s="3428" t="s">
        <v>3413</v>
      </c>
      <c r="C31" s="3428">
        <v>321.5</v>
      </c>
      <c r="D31" s="3429">
        <v>0.16</v>
      </c>
      <c r="E31" s="3172">
        <v>-2.8000000000000001E-2</v>
      </c>
      <c r="F31" s="3171">
        <v>7.7</v>
      </c>
      <c r="G31" s="3171">
        <v>1303.2</v>
      </c>
      <c r="H31" s="3170">
        <v>1.9E-2</v>
      </c>
      <c r="I31" s="3171"/>
      <c r="K31" s="3428" t="s">
        <v>3413</v>
      </c>
      <c r="L31" s="3428"/>
      <c r="M31" s="3429"/>
      <c r="N31" s="3172"/>
      <c r="R31" s="3172"/>
      <c r="U31" s="3428" t="s">
        <v>3413</v>
      </c>
      <c r="V31" s="3428">
        <v>325.8</v>
      </c>
      <c r="W31" s="3429">
        <v>0.16300000000000001</v>
      </c>
      <c r="X31" s="3172">
        <f t="shared" si="6"/>
        <v>-1.7194570135746573E-2</v>
      </c>
      <c r="AA31" s="3171">
        <v>1445.6</v>
      </c>
      <c r="AB31" s="3172"/>
    </row>
    <row r="32" spans="2:34">
      <c r="B32" s="3428"/>
      <c r="C32" s="3428"/>
      <c r="D32" s="3428"/>
      <c r="J32" s="3172"/>
      <c r="K32" s="3428"/>
      <c r="L32" s="3428"/>
      <c r="M32" s="3428"/>
      <c r="U32" s="3428"/>
      <c r="V32" s="3428"/>
      <c r="W32" s="3428"/>
    </row>
    <row r="33" spans="2:30">
      <c r="B33" s="4896" t="s">
        <v>3439</v>
      </c>
      <c r="C33" s="4896"/>
      <c r="D33" s="4896"/>
      <c r="E33" s="4896"/>
      <c r="F33" s="4896"/>
      <c r="G33" s="4896"/>
      <c r="H33" s="4896"/>
      <c r="I33" s="3428"/>
      <c r="K33" s="4895" t="s">
        <v>3416</v>
      </c>
      <c r="L33" s="4895"/>
      <c r="M33" s="4895"/>
      <c r="N33" s="4895"/>
      <c r="O33" s="3464"/>
      <c r="P33" s="3464"/>
      <c r="Q33" s="3465"/>
      <c r="R33" s="3465"/>
      <c r="U33" s="4897" t="s">
        <v>3440</v>
      </c>
      <c r="V33" s="4897"/>
      <c r="W33" s="4897"/>
      <c r="X33" s="4897"/>
      <c r="Y33" s="4897"/>
      <c r="Z33" s="4897"/>
      <c r="AA33" s="4897"/>
    </row>
    <row r="34" spans="2:30">
      <c r="C34" s="3428" t="s">
        <v>3363</v>
      </c>
      <c r="D34" s="3428" t="s">
        <v>3364</v>
      </c>
      <c r="E34" s="3171" t="s">
        <v>3369</v>
      </c>
      <c r="F34" s="3428" t="s">
        <v>3366</v>
      </c>
      <c r="G34" s="3428" t="s">
        <v>3367</v>
      </c>
      <c r="K34" s="3464"/>
      <c r="L34" s="3464" t="s">
        <v>3363</v>
      </c>
      <c r="M34" s="3464" t="s">
        <v>3364</v>
      </c>
      <c r="N34" s="3465" t="s">
        <v>3369</v>
      </c>
      <c r="O34" s="3464" t="s">
        <v>3366</v>
      </c>
      <c r="P34" s="3464" t="s">
        <v>3414</v>
      </c>
      <c r="Q34" s="3464" t="s">
        <v>3370</v>
      </c>
      <c r="R34" s="3464"/>
      <c r="U34" s="3466" t="s">
        <v>3441</v>
      </c>
      <c r="V34" s="3467" t="s">
        <v>3437</v>
      </c>
      <c r="W34" s="3467" t="s">
        <v>3425</v>
      </c>
      <c r="X34" s="3466" t="s">
        <v>3442</v>
      </c>
      <c r="Y34" s="3467"/>
      <c r="Z34" s="3467"/>
      <c r="AA34" s="3467" t="s">
        <v>3438</v>
      </c>
    </row>
    <row r="35" spans="2:30">
      <c r="B35" s="3428" t="s">
        <v>3373</v>
      </c>
      <c r="C35" s="3428" t="s">
        <v>3415</v>
      </c>
      <c r="D35" s="3428" t="s">
        <v>3415</v>
      </c>
      <c r="F35" s="3428"/>
      <c r="G35" s="3428"/>
      <c r="I35" s="3172"/>
      <c r="K35" s="3464"/>
      <c r="L35" s="3464"/>
      <c r="M35" s="3468"/>
      <c r="N35" s="3465"/>
      <c r="O35" s="3465"/>
      <c r="P35" s="3465"/>
      <c r="Q35" s="3465"/>
      <c r="R35" s="3465"/>
      <c r="U35" s="3467" t="s">
        <v>3373</v>
      </c>
      <c r="V35" s="3467">
        <f>ROUND((C4+V4)/2,1)</f>
        <v>359.7</v>
      </c>
      <c r="W35" s="3471">
        <f>ROUND((D4+W4)/2,4)</f>
        <v>4.7500000000000001E-2</v>
      </c>
      <c r="X35" s="3502">
        <f>AA4</f>
        <v>924</v>
      </c>
      <c r="Y35" s="3467"/>
      <c r="Z35" s="3467"/>
      <c r="AA35" s="3469" t="s">
        <v>3415</v>
      </c>
      <c r="AB35" s="4894" t="s">
        <v>3443</v>
      </c>
      <c r="AC35" s="3172">
        <f>AVERAGE(W35:W38)</f>
        <v>5.5125E-2</v>
      </c>
    </row>
    <row r="36" spans="2:30">
      <c r="B36" s="3428" t="s">
        <v>3374</v>
      </c>
      <c r="C36" s="3428">
        <v>311.2</v>
      </c>
      <c r="D36" s="3429">
        <v>1.6E-2</v>
      </c>
      <c r="E36" s="3172" t="s">
        <v>3415</v>
      </c>
      <c r="G36" s="3171">
        <v>92.4</v>
      </c>
      <c r="H36" s="4894" t="s">
        <v>3454</v>
      </c>
      <c r="I36" s="3172">
        <f>AVERAGE(D37:D40)</f>
        <v>2.4E-2</v>
      </c>
      <c r="K36" s="3464" t="s">
        <v>3374</v>
      </c>
      <c r="L36" s="3464">
        <f t="shared" ref="L36:L57" si="11">ROUND((C5+L5+V5)/3,0)</f>
        <v>363</v>
      </c>
      <c r="M36" s="3468">
        <f t="shared" ref="M36:M57" si="12">ROUND((D5+M5+W5)/3,4)</f>
        <v>5.4300000000000001E-2</v>
      </c>
      <c r="N36" s="3470" t="e">
        <f t="shared" ref="N36:N54" si="13">(L36-L35)/L35</f>
        <v>#DIV/0!</v>
      </c>
      <c r="O36" s="3465">
        <f>P36-P35</f>
        <v>843800</v>
      </c>
      <c r="P36" s="3465">
        <v>843800</v>
      </c>
      <c r="Q36" s="3465">
        <f t="shared" ref="Q36:Q54" si="14">ROUND((G5+Q5+AA5)/3,0)</f>
        <v>839</v>
      </c>
      <c r="R36" s="3470"/>
      <c r="U36" s="3467" t="s">
        <v>3374</v>
      </c>
      <c r="V36" s="3467">
        <f t="shared" ref="V36:V62" si="15">ROUND((C5+V5)/2,1)</f>
        <v>358</v>
      </c>
      <c r="W36" s="3471">
        <f t="shared" ref="W36:W62" si="16">ROUND((D5+W5)/2,4)</f>
        <v>5.8500000000000003E-2</v>
      </c>
      <c r="X36" s="3502">
        <f t="shared" ref="X36:X62" si="17">ROUND((G5+AA5)/2,1)</f>
        <v>903</v>
      </c>
      <c r="Y36" s="3466"/>
      <c r="Z36" s="3466"/>
      <c r="AA36" s="3173">
        <f>(V36-V35)/V35</f>
        <v>-4.7261606894634101E-3</v>
      </c>
      <c r="AB36" s="4894"/>
      <c r="AC36" s="3171">
        <f>AVERAGE(V37:V40)</f>
        <v>362.45000000000005</v>
      </c>
    </row>
    <row r="37" spans="2:30">
      <c r="B37" s="3428" t="s">
        <v>3375</v>
      </c>
      <c r="C37" s="3428">
        <v>330.2</v>
      </c>
      <c r="D37" s="3429">
        <v>2.5000000000000001E-2</v>
      </c>
      <c r="E37" s="3172">
        <f t="shared" ref="E37:E53" si="18">(C37-C36)/C36</f>
        <v>6.1053984575835475E-2</v>
      </c>
      <c r="F37" s="3171">
        <f>G37-G36</f>
        <v>6.8999999999999915</v>
      </c>
      <c r="G37" s="3171">
        <v>99.3</v>
      </c>
      <c r="H37" s="4894"/>
      <c r="I37" s="3171">
        <f>AVERAGE(C37:C40)</f>
        <v>348.69999999999993</v>
      </c>
      <c r="K37" s="3464" t="s">
        <v>3375</v>
      </c>
      <c r="L37" s="3464">
        <f t="shared" si="11"/>
        <v>364</v>
      </c>
      <c r="M37" s="3468">
        <f t="shared" si="12"/>
        <v>5.1999999999999998E-2</v>
      </c>
      <c r="N37" s="3470">
        <f t="shared" si="13"/>
        <v>2.7548209366391185E-3</v>
      </c>
      <c r="O37" s="3465">
        <f t="shared" ref="O37:O54" si="19">P37-P36</f>
        <v>0</v>
      </c>
      <c r="P37" s="3465">
        <v>843800</v>
      </c>
      <c r="Q37" s="3465">
        <f t="shared" si="14"/>
        <v>869</v>
      </c>
      <c r="R37" s="3470">
        <f t="shared" ref="R37:R62" si="20">(L37-L36)/L36</f>
        <v>2.7548209366391185E-3</v>
      </c>
      <c r="U37" s="3467" t="s">
        <v>3375</v>
      </c>
      <c r="V37" s="3467">
        <f t="shared" si="15"/>
        <v>360.8</v>
      </c>
      <c r="W37" s="3471">
        <f t="shared" si="16"/>
        <v>5.3499999999999999E-2</v>
      </c>
      <c r="X37" s="3502">
        <f t="shared" si="17"/>
        <v>940.7</v>
      </c>
      <c r="Y37" s="3466"/>
      <c r="Z37" s="3466"/>
      <c r="AA37" s="3173">
        <f t="shared" ref="AA37:AA62" si="21">(V37-V36)/V36</f>
        <v>7.8212290502793613E-3</v>
      </c>
      <c r="AB37" s="4894"/>
      <c r="AC37" s="3503">
        <f>X38</f>
        <v>961.1</v>
      </c>
    </row>
    <row r="38" spans="2:30">
      <c r="B38" s="3428" t="s">
        <v>3376</v>
      </c>
      <c r="C38" s="3428">
        <v>358.9</v>
      </c>
      <c r="D38" s="3429">
        <v>2.5999999999999999E-2</v>
      </c>
      <c r="E38" s="3172">
        <f t="shared" si="18"/>
        <v>8.6917019987886104E-2</v>
      </c>
      <c r="F38" s="3171">
        <f t="shared" ref="F38:F53" si="22">G38-G37</f>
        <v>0</v>
      </c>
      <c r="G38" s="3171">
        <v>99.3</v>
      </c>
      <c r="H38" s="4894"/>
      <c r="I38" s="3169">
        <f>G40</f>
        <v>104.7</v>
      </c>
      <c r="K38" s="3464" t="s">
        <v>3376</v>
      </c>
      <c r="L38" s="3464">
        <f t="shared" si="11"/>
        <v>366</v>
      </c>
      <c r="M38" s="3468">
        <f t="shared" si="12"/>
        <v>5.3699999999999998E-2</v>
      </c>
      <c r="N38" s="3470">
        <f t="shared" si="13"/>
        <v>5.4945054945054949E-3</v>
      </c>
      <c r="O38" s="3465">
        <f t="shared" si="19"/>
        <v>-71500</v>
      </c>
      <c r="P38" s="3465">
        <v>772300</v>
      </c>
      <c r="Q38" s="3465">
        <f t="shared" si="14"/>
        <v>886</v>
      </c>
      <c r="R38" s="3470">
        <f t="shared" si="20"/>
        <v>5.4945054945054949E-3</v>
      </c>
      <c r="S38" s="3171">
        <f>ROUND(AVERAGE(L36:L38),0)</f>
        <v>364</v>
      </c>
      <c r="T38" s="3172">
        <f>ROUND(AVERAGE(M36:M38),4)</f>
        <v>5.33E-2</v>
      </c>
      <c r="U38" s="3467" t="s">
        <v>3376</v>
      </c>
      <c r="V38" s="3467">
        <f t="shared" si="15"/>
        <v>362.1</v>
      </c>
      <c r="W38" s="3471">
        <f t="shared" si="16"/>
        <v>6.0999999999999999E-2</v>
      </c>
      <c r="X38" s="3502">
        <f t="shared" si="17"/>
        <v>961.1</v>
      </c>
      <c r="Y38" s="3466"/>
      <c r="Z38" s="3466"/>
      <c r="AA38" s="3173">
        <f t="shared" si="21"/>
        <v>3.603104212860342E-3</v>
      </c>
      <c r="AB38" s="3169"/>
      <c r="AC38" s="3172"/>
    </row>
    <row r="39" spans="2:30">
      <c r="B39" s="3428" t="s">
        <v>3377</v>
      </c>
      <c r="C39" s="3428">
        <v>351.6</v>
      </c>
      <c r="D39" s="3429">
        <v>2.5999999999999999E-2</v>
      </c>
      <c r="E39" s="3172">
        <f t="shared" si="18"/>
        <v>-2.0339927556422277E-2</v>
      </c>
      <c r="F39" s="3171">
        <f t="shared" si="22"/>
        <v>5.4000000000000057</v>
      </c>
      <c r="G39" s="3171">
        <v>104.7</v>
      </c>
      <c r="I39" s="3172"/>
      <c r="K39" s="3464" t="s">
        <v>3377</v>
      </c>
      <c r="L39" s="3464">
        <f t="shared" si="11"/>
        <v>365</v>
      </c>
      <c r="M39" s="3468">
        <f t="shared" si="12"/>
        <v>5.7700000000000001E-2</v>
      </c>
      <c r="N39" s="3470">
        <f t="shared" si="13"/>
        <v>-2.7322404371584699E-3</v>
      </c>
      <c r="O39" s="3465">
        <f t="shared" si="19"/>
        <v>0</v>
      </c>
      <c r="P39" s="3465">
        <v>772300</v>
      </c>
      <c r="Q39" s="3465">
        <f t="shared" si="14"/>
        <v>901</v>
      </c>
      <c r="R39" s="3470">
        <f t="shared" si="20"/>
        <v>-2.7322404371584699E-3</v>
      </c>
      <c r="U39" s="3467" t="s">
        <v>3377</v>
      </c>
      <c r="V39" s="3467">
        <f t="shared" si="15"/>
        <v>361.8</v>
      </c>
      <c r="W39" s="3471">
        <f t="shared" si="16"/>
        <v>6.3500000000000001E-2</v>
      </c>
      <c r="X39" s="3502">
        <f t="shared" si="17"/>
        <v>977</v>
      </c>
      <c r="Y39" s="3466"/>
      <c r="Z39" s="3466"/>
      <c r="AA39" s="3173">
        <f t="shared" si="21"/>
        <v>-8.2850041425023852E-4</v>
      </c>
      <c r="AB39" s="4894" t="s">
        <v>3444</v>
      </c>
      <c r="AC39" s="3172">
        <f>AVERAGE(W39:W42)</f>
        <v>6.6875000000000004E-2</v>
      </c>
    </row>
    <row r="40" spans="2:30">
      <c r="B40" s="3428" t="s">
        <v>3378</v>
      </c>
      <c r="C40" s="3428">
        <v>354.1</v>
      </c>
      <c r="D40" s="3429">
        <v>1.9E-2</v>
      </c>
      <c r="E40" s="3172">
        <f t="shared" si="18"/>
        <v>7.1103526734926049E-3</v>
      </c>
      <c r="F40" s="3171">
        <f t="shared" si="22"/>
        <v>0</v>
      </c>
      <c r="G40" s="3171">
        <v>104.7</v>
      </c>
      <c r="H40" s="4894" t="s">
        <v>3455</v>
      </c>
      <c r="I40" s="3172">
        <f>AVERAGE(D41:D44)</f>
        <v>1.175E-2</v>
      </c>
      <c r="K40" s="3464" t="s">
        <v>3378</v>
      </c>
      <c r="L40" s="3464">
        <f t="shared" si="11"/>
        <v>368</v>
      </c>
      <c r="M40" s="3468">
        <f t="shared" si="12"/>
        <v>6.6699999999999995E-2</v>
      </c>
      <c r="N40" s="3470">
        <f t="shared" si="13"/>
        <v>8.21917808219178E-3</v>
      </c>
      <c r="O40" s="3465">
        <f t="shared" si="19"/>
        <v>0</v>
      </c>
      <c r="P40" s="3465">
        <v>772300</v>
      </c>
      <c r="Q40" s="3465">
        <f t="shared" si="14"/>
        <v>921</v>
      </c>
      <c r="R40" s="3470">
        <f t="shared" si="20"/>
        <v>8.21917808219178E-3</v>
      </c>
      <c r="U40" s="3467" t="s">
        <v>3378</v>
      </c>
      <c r="V40" s="3467">
        <f t="shared" si="15"/>
        <v>365.1</v>
      </c>
      <c r="W40" s="3471">
        <f t="shared" si="16"/>
        <v>6.8500000000000005E-2</v>
      </c>
      <c r="X40" s="3502">
        <f t="shared" si="17"/>
        <v>993.5</v>
      </c>
      <c r="Y40" s="3466"/>
      <c r="Z40" s="3466"/>
      <c r="AA40" s="3173">
        <f t="shared" si="21"/>
        <v>9.1210613598673614E-3</v>
      </c>
      <c r="AB40" s="4894"/>
      <c r="AC40" s="3171">
        <f>AVERAGE(V41:V44)</f>
        <v>368.92500000000001</v>
      </c>
      <c r="AD40" s="3172">
        <f>(AC40-AC36)/AC36</f>
        <v>1.786453303903977E-2</v>
      </c>
    </row>
    <row r="41" spans="2:30">
      <c r="B41" s="3428" t="s">
        <v>3379</v>
      </c>
      <c r="C41" s="3428">
        <v>359.2</v>
      </c>
      <c r="D41" s="3429">
        <v>1.7000000000000001E-2</v>
      </c>
      <c r="E41" s="3172">
        <f t="shared" si="18"/>
        <v>1.4402711098559631E-2</v>
      </c>
      <c r="F41" s="3171">
        <f t="shared" si="22"/>
        <v>0</v>
      </c>
      <c r="G41" s="3171">
        <v>104.7</v>
      </c>
      <c r="H41" s="4894"/>
      <c r="I41" s="3171">
        <f>AVERAGE(C41:C44)</f>
        <v>378.82500000000005</v>
      </c>
      <c r="J41" s="3172">
        <f>(I41-I37)/I37</f>
        <v>8.6392314310295731E-2</v>
      </c>
      <c r="K41" s="3464" t="s">
        <v>3379</v>
      </c>
      <c r="L41" s="3464">
        <f t="shared" si="11"/>
        <v>369</v>
      </c>
      <c r="M41" s="3468">
        <f t="shared" si="12"/>
        <v>5.8000000000000003E-2</v>
      </c>
      <c r="N41" s="3470">
        <f t="shared" si="13"/>
        <v>2.717391304347826E-3</v>
      </c>
      <c r="O41" s="3465">
        <f t="shared" si="19"/>
        <v>0</v>
      </c>
      <c r="P41" s="3465">
        <v>772300</v>
      </c>
      <c r="Q41" s="3465">
        <f t="shared" si="14"/>
        <v>924</v>
      </c>
      <c r="R41" s="3470">
        <f t="shared" si="20"/>
        <v>2.717391304347826E-3</v>
      </c>
      <c r="U41" s="3467" t="s">
        <v>3379</v>
      </c>
      <c r="V41" s="3467">
        <f t="shared" si="15"/>
        <v>364.8</v>
      </c>
      <c r="W41" s="3471">
        <f t="shared" si="16"/>
        <v>5.8999999999999997E-2</v>
      </c>
      <c r="X41" s="3502">
        <f t="shared" si="17"/>
        <v>998.5</v>
      </c>
      <c r="Y41" s="3466"/>
      <c r="Z41" s="3466"/>
      <c r="AA41" s="3173">
        <f t="shared" si="21"/>
        <v>-8.2169268693511736E-4</v>
      </c>
      <c r="AB41" s="4894"/>
      <c r="AC41" s="3503">
        <f>X42</f>
        <v>1039.8</v>
      </c>
    </row>
    <row r="42" spans="2:30">
      <c r="B42" s="3428" t="s">
        <v>3380</v>
      </c>
      <c r="C42" s="3428">
        <v>380.3</v>
      </c>
      <c r="D42" s="3429">
        <v>1.2E-2</v>
      </c>
      <c r="E42" s="3172">
        <f t="shared" si="18"/>
        <v>5.8741648106904298E-2</v>
      </c>
      <c r="F42" s="3171">
        <f t="shared" si="22"/>
        <v>0</v>
      </c>
      <c r="G42" s="3171">
        <v>104.7</v>
      </c>
      <c r="H42" s="4894"/>
      <c r="I42" s="3169">
        <f>G44</f>
        <v>104.7</v>
      </c>
      <c r="K42" s="3464" t="s">
        <v>3380</v>
      </c>
      <c r="L42" s="3464">
        <f t="shared" si="11"/>
        <v>370</v>
      </c>
      <c r="M42" s="3468">
        <f t="shared" si="12"/>
        <v>7.4700000000000003E-2</v>
      </c>
      <c r="N42" s="3470">
        <f t="shared" si="13"/>
        <v>2.7100271002710027E-3</v>
      </c>
      <c r="O42" s="3465">
        <f t="shared" si="19"/>
        <v>0</v>
      </c>
      <c r="P42" s="3465">
        <v>772300</v>
      </c>
      <c r="Q42" s="3465">
        <f t="shared" si="14"/>
        <v>966</v>
      </c>
      <c r="R42" s="3470">
        <f t="shared" si="20"/>
        <v>2.7100271002710027E-3</v>
      </c>
      <c r="S42" s="3171">
        <f>ROUND(AVERAGE(L39:L42),0)</f>
        <v>368</v>
      </c>
      <c r="T42" s="3172">
        <f>ROUND(AVERAGE(M39:M42),4)</f>
        <v>6.4299999999999996E-2</v>
      </c>
      <c r="U42" s="3467" t="s">
        <v>3380</v>
      </c>
      <c r="V42" s="3467">
        <f t="shared" si="15"/>
        <v>367.9</v>
      </c>
      <c r="W42" s="3471">
        <f t="shared" si="16"/>
        <v>7.6499999999999999E-2</v>
      </c>
      <c r="X42" s="3502">
        <f t="shared" si="17"/>
        <v>1039.8</v>
      </c>
      <c r="Y42" s="3466"/>
      <c r="Z42" s="3466"/>
      <c r="AA42" s="3173">
        <f t="shared" si="21"/>
        <v>8.4978070175437664E-3</v>
      </c>
      <c r="AB42" s="3169"/>
      <c r="AC42" s="3172"/>
    </row>
    <row r="43" spans="2:30">
      <c r="B43" s="3428" t="s">
        <v>3381</v>
      </c>
      <c r="C43" s="3428">
        <v>387.9</v>
      </c>
      <c r="D43" s="3429">
        <v>4.0000000000000001E-3</v>
      </c>
      <c r="E43" s="3172">
        <f t="shared" si="18"/>
        <v>1.9984222981856339E-2</v>
      </c>
      <c r="F43" s="3171">
        <f t="shared" si="22"/>
        <v>0</v>
      </c>
      <c r="G43" s="3171">
        <v>104.7</v>
      </c>
      <c r="I43" s="3172"/>
      <c r="K43" s="3464" t="s">
        <v>3381</v>
      </c>
      <c r="L43" s="3464">
        <f t="shared" si="11"/>
        <v>369</v>
      </c>
      <c r="M43" s="3468">
        <f t="shared" si="12"/>
        <v>6.5000000000000002E-2</v>
      </c>
      <c r="N43" s="3470">
        <f t="shared" si="13"/>
        <v>-2.7027027027027029E-3</v>
      </c>
      <c r="O43" s="3465">
        <f t="shared" si="19"/>
        <v>0</v>
      </c>
      <c r="P43" s="3465">
        <v>772300</v>
      </c>
      <c r="Q43" s="3465">
        <f t="shared" si="14"/>
        <v>976</v>
      </c>
      <c r="R43" s="3470">
        <f t="shared" si="20"/>
        <v>-2.7027027027027029E-3</v>
      </c>
      <c r="U43" s="3467" t="s">
        <v>3381</v>
      </c>
      <c r="V43" s="3467">
        <f t="shared" si="15"/>
        <v>368.3</v>
      </c>
      <c r="W43" s="3471">
        <f t="shared" si="16"/>
        <v>7.5999999999999998E-2</v>
      </c>
      <c r="X43" s="3502">
        <f t="shared" si="17"/>
        <v>1054.3</v>
      </c>
      <c r="Y43" s="3466"/>
      <c r="Z43" s="3466"/>
      <c r="AA43" s="3173">
        <f t="shared" si="21"/>
        <v>1.0872519706442896E-3</v>
      </c>
      <c r="AB43" s="4894" t="s">
        <v>3445</v>
      </c>
      <c r="AC43" s="3172">
        <f>AVERAGE(W43:W46)</f>
        <v>7.2000000000000008E-2</v>
      </c>
    </row>
    <row r="44" spans="2:30">
      <c r="B44" s="3428" t="s">
        <v>3385</v>
      </c>
      <c r="C44" s="3428">
        <v>387.9</v>
      </c>
      <c r="D44" s="3429">
        <v>1.4E-2</v>
      </c>
      <c r="E44" s="3172">
        <f t="shared" si="18"/>
        <v>0</v>
      </c>
      <c r="F44" s="3171">
        <f t="shared" si="22"/>
        <v>0</v>
      </c>
      <c r="G44" s="3171">
        <v>104.7</v>
      </c>
      <c r="H44" s="4894" t="s">
        <v>3456</v>
      </c>
      <c r="I44" s="3172">
        <f>AVERAGE(D45:D48)</f>
        <v>6.5500000000000003E-3</v>
      </c>
      <c r="K44" s="3464" t="s">
        <v>3385</v>
      </c>
      <c r="L44" s="3464">
        <f t="shared" si="11"/>
        <v>378</v>
      </c>
      <c r="M44" s="3468">
        <f t="shared" si="12"/>
        <v>5.3999999999999999E-2</v>
      </c>
      <c r="N44" s="3470">
        <f t="shared" si="13"/>
        <v>2.4390243902439025E-2</v>
      </c>
      <c r="O44" s="3465">
        <f t="shared" si="19"/>
        <v>0</v>
      </c>
      <c r="P44" s="3465">
        <v>772300</v>
      </c>
      <c r="Q44" s="3465">
        <f t="shared" si="14"/>
        <v>981</v>
      </c>
      <c r="R44" s="3470">
        <f t="shared" si="20"/>
        <v>2.4390243902439025E-2</v>
      </c>
      <c r="U44" s="3467" t="s">
        <v>3385</v>
      </c>
      <c r="V44" s="3467">
        <f t="shared" si="15"/>
        <v>374.7</v>
      </c>
      <c r="W44" s="3471">
        <f t="shared" si="16"/>
        <v>6.4500000000000002E-2</v>
      </c>
      <c r="X44" s="3502">
        <f t="shared" si="17"/>
        <v>1057.8</v>
      </c>
      <c r="Y44" s="3466"/>
      <c r="Z44" s="3466"/>
      <c r="AA44" s="3173">
        <f t="shared" si="21"/>
        <v>1.7377138202552204E-2</v>
      </c>
      <c r="AB44" s="4894"/>
      <c r="AC44" s="3171">
        <f>AVERAGE(V45:V48)</f>
        <v>383.92500000000001</v>
      </c>
      <c r="AD44" s="3172">
        <f>(AC44-AC40)/AC40</f>
        <v>4.0658670461475907E-2</v>
      </c>
    </row>
    <row r="45" spans="2:30">
      <c r="B45" s="3428" t="s">
        <v>3387</v>
      </c>
      <c r="C45" s="3428">
        <v>402.3</v>
      </c>
      <c r="D45" s="3429">
        <v>7.0000000000000001E-3</v>
      </c>
      <c r="E45" s="3172">
        <f t="shared" si="18"/>
        <v>3.7122969837587096E-2</v>
      </c>
      <c r="F45" s="3171">
        <f t="shared" si="22"/>
        <v>0</v>
      </c>
      <c r="G45" s="3171">
        <v>104.7</v>
      </c>
      <c r="H45" s="4894"/>
      <c r="I45" s="3171">
        <f>AVERAGE(C45:C48)</f>
        <v>401.94749999999999</v>
      </c>
      <c r="J45" s="3172">
        <f>(I45-I41)/I41</f>
        <v>6.1037418333003211E-2</v>
      </c>
      <c r="K45" s="3464" t="s">
        <v>3387</v>
      </c>
      <c r="L45" s="3464">
        <f t="shared" si="11"/>
        <v>387</v>
      </c>
      <c r="M45" s="3468">
        <f t="shared" si="12"/>
        <v>5.8700000000000002E-2</v>
      </c>
      <c r="N45" s="3470">
        <f t="shared" si="13"/>
        <v>2.3809523809523808E-2</v>
      </c>
      <c r="O45" s="3465">
        <f t="shared" si="19"/>
        <v>0</v>
      </c>
      <c r="P45" s="3465">
        <v>772300</v>
      </c>
      <c r="Q45" s="3465">
        <f t="shared" si="14"/>
        <v>989</v>
      </c>
      <c r="R45" s="3470">
        <f t="shared" si="20"/>
        <v>2.3809523809523808E-2</v>
      </c>
      <c r="U45" s="3467" t="s">
        <v>3387</v>
      </c>
      <c r="V45" s="3467">
        <f t="shared" si="15"/>
        <v>385</v>
      </c>
      <c r="W45" s="3471">
        <f t="shared" si="16"/>
        <v>7.1999999999999995E-2</v>
      </c>
      <c r="X45" s="3502">
        <f t="shared" si="17"/>
        <v>1067.5999999999999</v>
      </c>
      <c r="Y45" s="3466"/>
      <c r="Z45" s="3466"/>
      <c r="AA45" s="3173">
        <f t="shared" si="21"/>
        <v>2.7488657592740891E-2</v>
      </c>
      <c r="AB45" s="4894"/>
      <c r="AC45" s="3503">
        <f>X46</f>
        <v>1080.0999999999999</v>
      </c>
    </row>
    <row r="46" spans="2:30">
      <c r="B46" s="3428" t="s">
        <v>3389</v>
      </c>
      <c r="C46" s="3428">
        <v>401.82</v>
      </c>
      <c r="D46" s="3429">
        <v>3.0000000000000001E-3</v>
      </c>
      <c r="E46" s="3172">
        <f t="shared" si="18"/>
        <v>-1.1931394481730505E-3</v>
      </c>
      <c r="F46" s="3171">
        <f t="shared" si="22"/>
        <v>0</v>
      </c>
      <c r="G46" s="3171">
        <v>104.7</v>
      </c>
      <c r="H46" s="4894"/>
      <c r="I46" s="3169">
        <f>G48</f>
        <v>104.7</v>
      </c>
      <c r="K46" s="3464" t="s">
        <v>3389</v>
      </c>
      <c r="L46" s="3464">
        <f t="shared" si="11"/>
        <v>385</v>
      </c>
      <c r="M46" s="3468">
        <f t="shared" si="12"/>
        <v>6.6699999999999995E-2</v>
      </c>
      <c r="N46" s="3470">
        <f t="shared" si="13"/>
        <v>-5.1679586563307496E-3</v>
      </c>
      <c r="O46" s="3465">
        <f t="shared" si="19"/>
        <v>0</v>
      </c>
      <c r="P46" s="3465">
        <v>772300</v>
      </c>
      <c r="Q46" s="3465">
        <f t="shared" si="14"/>
        <v>1005</v>
      </c>
      <c r="R46" s="3470">
        <f t="shared" si="20"/>
        <v>-5.1679586563307496E-3</v>
      </c>
      <c r="S46" s="3171">
        <f>ROUND(AVERAGE(L43:L46),0)</f>
        <v>380</v>
      </c>
      <c r="T46" s="3172">
        <f>ROUND(AVERAGE(M43:M46),4)</f>
        <v>6.1100000000000002E-2</v>
      </c>
      <c r="U46" s="3467" t="s">
        <v>3389</v>
      </c>
      <c r="V46" s="3467">
        <f t="shared" si="15"/>
        <v>384.6</v>
      </c>
      <c r="W46" s="3471">
        <f t="shared" si="16"/>
        <v>7.5499999999999998E-2</v>
      </c>
      <c r="X46" s="3502">
        <f t="shared" si="17"/>
        <v>1080.0999999999999</v>
      </c>
      <c r="Y46" s="3466"/>
      <c r="Z46" s="3466"/>
      <c r="AA46" s="3173">
        <f t="shared" si="21"/>
        <v>-1.03896103896098E-3</v>
      </c>
      <c r="AB46" s="3169"/>
      <c r="AC46" s="3172"/>
    </row>
    <row r="47" spans="2:30">
      <c r="B47" s="3428" t="s">
        <v>3391</v>
      </c>
      <c r="C47" s="3428">
        <v>400.67</v>
      </c>
      <c r="D47" s="3429">
        <v>4.1999999999999997E-3</v>
      </c>
      <c r="E47" s="3172">
        <f t="shared" si="18"/>
        <v>-2.8619780000994906E-3</v>
      </c>
      <c r="F47" s="3171">
        <f t="shared" si="22"/>
        <v>0</v>
      </c>
      <c r="G47" s="3171">
        <v>104.7</v>
      </c>
      <c r="I47" s="3172"/>
      <c r="K47" s="3464" t="s">
        <v>3391</v>
      </c>
      <c r="L47" s="3464">
        <f t="shared" si="11"/>
        <v>383</v>
      </c>
      <c r="M47" s="3468">
        <f t="shared" si="12"/>
        <v>6.8699999999999997E-2</v>
      </c>
      <c r="N47" s="3470">
        <f t="shared" si="13"/>
        <v>-5.1948051948051948E-3</v>
      </c>
      <c r="O47" s="3465">
        <f t="shared" si="19"/>
        <v>0</v>
      </c>
      <c r="P47" s="3465">
        <v>772300</v>
      </c>
      <c r="Q47" s="3465">
        <f t="shared" si="14"/>
        <v>1009</v>
      </c>
      <c r="R47" s="3470">
        <f t="shared" si="20"/>
        <v>-5.1948051948051948E-3</v>
      </c>
      <c r="U47" s="3467" t="s">
        <v>3391</v>
      </c>
      <c r="V47" s="3467">
        <f t="shared" si="15"/>
        <v>383.9</v>
      </c>
      <c r="W47" s="3471">
        <f t="shared" si="16"/>
        <v>7.4099999999999999E-2</v>
      </c>
      <c r="X47" s="3502">
        <f t="shared" si="17"/>
        <v>1080.0999999999999</v>
      </c>
      <c r="Y47" s="3466"/>
      <c r="Z47" s="3466"/>
      <c r="AA47" s="3173">
        <f t="shared" si="21"/>
        <v>-1.8200728029122346E-3</v>
      </c>
      <c r="AB47" s="4894" t="s">
        <v>3446</v>
      </c>
      <c r="AC47" s="3172">
        <f>AVERAGE(W47:W50)</f>
        <v>9.7349999999999992E-2</v>
      </c>
    </row>
    <row r="48" spans="2:30">
      <c r="B48" s="3428" t="s">
        <v>3393</v>
      </c>
      <c r="C48" s="3428">
        <v>403</v>
      </c>
      <c r="D48" s="3429">
        <v>1.2E-2</v>
      </c>
      <c r="E48" s="3172">
        <f t="shared" si="18"/>
        <v>5.8152594404372272E-3</v>
      </c>
      <c r="F48" s="3171">
        <f t="shared" si="22"/>
        <v>0</v>
      </c>
      <c r="G48" s="3171">
        <v>104.7</v>
      </c>
      <c r="H48" s="4894" t="s">
        <v>3457</v>
      </c>
      <c r="I48" s="3172">
        <f>AVERAGE(D49:D52)</f>
        <v>2.1999999999999999E-2</v>
      </c>
      <c r="K48" s="3464" t="s">
        <v>3393</v>
      </c>
      <c r="L48" s="3464">
        <f t="shared" si="11"/>
        <v>380</v>
      </c>
      <c r="M48" s="3468">
        <f t="shared" si="12"/>
        <v>8.1299999999999997E-2</v>
      </c>
      <c r="N48" s="3470">
        <f t="shared" si="13"/>
        <v>-7.832898172323759E-3</v>
      </c>
      <c r="O48" s="3465">
        <f t="shared" si="19"/>
        <v>0</v>
      </c>
      <c r="P48" s="3465">
        <v>772300</v>
      </c>
      <c r="Q48" s="3465">
        <f t="shared" si="14"/>
        <v>1016</v>
      </c>
      <c r="R48" s="3470">
        <f t="shared" si="20"/>
        <v>-7.832898172323759E-3</v>
      </c>
      <c r="U48" s="3467" t="s">
        <v>3393</v>
      </c>
      <c r="V48" s="3467">
        <f t="shared" si="15"/>
        <v>382.2</v>
      </c>
      <c r="W48" s="3471">
        <f t="shared" si="16"/>
        <v>8.7499999999999994E-2</v>
      </c>
      <c r="X48" s="3502">
        <f t="shared" si="17"/>
        <v>1082.5999999999999</v>
      </c>
      <c r="Y48" s="3466"/>
      <c r="Z48" s="3466"/>
      <c r="AA48" s="3173">
        <f t="shared" si="21"/>
        <v>-4.4282365199270349E-3</v>
      </c>
      <c r="AB48" s="4894"/>
      <c r="AC48" s="3171">
        <f>AVERAGE(V49:V52)</f>
        <v>370.32499999999999</v>
      </c>
      <c r="AD48" s="3172">
        <f>(AC48-AC44)/AC44</f>
        <v>-3.5423585335677597E-2</v>
      </c>
    </row>
    <row r="49" spans="2:30">
      <c r="B49" s="3428" t="s">
        <v>3395</v>
      </c>
      <c r="C49" s="3428">
        <v>403.09</v>
      </c>
      <c r="D49" s="3429">
        <v>1.7000000000000001E-2</v>
      </c>
      <c r="E49" s="3172">
        <f t="shared" si="18"/>
        <v>2.2332506203467738E-4</v>
      </c>
      <c r="F49" s="3171">
        <f t="shared" si="22"/>
        <v>0</v>
      </c>
      <c r="G49" s="3171">
        <v>104.7</v>
      </c>
      <c r="H49" s="4894"/>
      <c r="I49" s="3171">
        <f>AVERAGE(C49:C52)</f>
        <v>400.63499999999999</v>
      </c>
      <c r="J49" s="3172">
        <f>(I49-I45)/I45</f>
        <v>-3.265351818334484E-3</v>
      </c>
      <c r="K49" s="3464" t="s">
        <v>3395</v>
      </c>
      <c r="L49" s="3464">
        <f t="shared" si="11"/>
        <v>377</v>
      </c>
      <c r="M49" s="3468">
        <f t="shared" si="12"/>
        <v>8.8200000000000001E-2</v>
      </c>
      <c r="N49" s="3470">
        <f t="shared" si="13"/>
        <v>-7.8947368421052634E-3</v>
      </c>
      <c r="O49" s="3465">
        <f t="shared" si="19"/>
        <v>0</v>
      </c>
      <c r="P49" s="3465">
        <v>772300</v>
      </c>
      <c r="Q49" s="3465">
        <f t="shared" si="14"/>
        <v>1029</v>
      </c>
      <c r="R49" s="3470">
        <f t="shared" si="20"/>
        <v>-7.8947368421052634E-3</v>
      </c>
      <c r="U49" s="3467" t="s">
        <v>3395</v>
      </c>
      <c r="V49" s="3467">
        <f t="shared" si="15"/>
        <v>377.9</v>
      </c>
      <c r="W49" s="3471">
        <f t="shared" si="16"/>
        <v>9.6799999999999997E-2</v>
      </c>
      <c r="X49" s="3502">
        <f t="shared" si="17"/>
        <v>1102</v>
      </c>
      <c r="Y49" s="3466"/>
      <c r="Z49" s="3466"/>
      <c r="AA49" s="3173">
        <f t="shared" si="21"/>
        <v>-1.1250654107796996E-2</v>
      </c>
      <c r="AB49" s="4894"/>
      <c r="AC49" s="3503">
        <f>X50</f>
        <v>1178</v>
      </c>
    </row>
    <row r="50" spans="2:30">
      <c r="B50" s="3428" t="s">
        <v>3397</v>
      </c>
      <c r="C50" s="3428">
        <v>401.97</v>
      </c>
      <c r="D50" s="3429">
        <v>2.5000000000000001E-2</v>
      </c>
      <c r="E50" s="3172">
        <f t="shared" si="18"/>
        <v>-2.7785358108609686E-3</v>
      </c>
      <c r="F50" s="3171">
        <f t="shared" si="22"/>
        <v>0</v>
      </c>
      <c r="G50" s="3171">
        <v>104.7</v>
      </c>
      <c r="H50" s="4894"/>
      <c r="I50" s="3169">
        <f>G52</f>
        <v>104.7</v>
      </c>
      <c r="K50" s="3464" t="s">
        <v>3397</v>
      </c>
      <c r="L50" s="3464">
        <f t="shared" si="11"/>
        <v>375</v>
      </c>
      <c r="M50" s="3468">
        <f t="shared" si="12"/>
        <v>0.125</v>
      </c>
      <c r="N50" s="3470">
        <f t="shared" si="13"/>
        <v>-5.3050397877984082E-3</v>
      </c>
      <c r="O50" s="3465">
        <f t="shared" si="19"/>
        <v>0</v>
      </c>
      <c r="P50" s="3465">
        <v>772300</v>
      </c>
      <c r="Q50" s="3465">
        <f t="shared" si="14"/>
        <v>1106</v>
      </c>
      <c r="R50" s="3470">
        <f t="shared" si="20"/>
        <v>-5.3050397877984082E-3</v>
      </c>
      <c r="S50" s="3171">
        <f>ROUND(AVERAGE(L47:L50),0)</f>
        <v>379</v>
      </c>
      <c r="T50" s="3172">
        <f>ROUND(AVERAGE(M47:M50),4)</f>
        <v>9.0800000000000006E-2</v>
      </c>
      <c r="U50" s="3467" t="s">
        <v>3397</v>
      </c>
      <c r="V50" s="3467">
        <f t="shared" si="15"/>
        <v>373.7</v>
      </c>
      <c r="W50" s="3471">
        <f t="shared" si="16"/>
        <v>0.13100000000000001</v>
      </c>
      <c r="X50" s="3502">
        <f t="shared" si="17"/>
        <v>1178</v>
      </c>
      <c r="Y50" s="3466"/>
      <c r="Z50" s="3466"/>
      <c r="AA50" s="3173">
        <f t="shared" si="21"/>
        <v>-1.1114051336332333E-2</v>
      </c>
      <c r="AB50" s="3169"/>
      <c r="AC50" s="3172"/>
    </row>
    <row r="51" spans="2:30">
      <c r="B51" s="3428" t="s">
        <v>3399</v>
      </c>
      <c r="C51" s="3428">
        <v>401.79</v>
      </c>
      <c r="D51" s="3429">
        <v>2.1000000000000001E-2</v>
      </c>
      <c r="E51" s="3172">
        <f t="shared" si="18"/>
        <v>-4.4779461153819145E-4</v>
      </c>
      <c r="F51" s="3171">
        <f t="shared" si="22"/>
        <v>0</v>
      </c>
      <c r="G51" s="3171">
        <v>104.7</v>
      </c>
      <c r="I51" s="3172"/>
      <c r="K51" s="3464" t="s">
        <v>3399</v>
      </c>
      <c r="L51" s="3464">
        <f t="shared" si="11"/>
        <v>371</v>
      </c>
      <c r="M51" s="3468">
        <f t="shared" si="12"/>
        <v>0.12770000000000001</v>
      </c>
      <c r="N51" s="3470">
        <f t="shared" si="13"/>
        <v>-1.0666666666666666E-2</v>
      </c>
      <c r="O51" s="3465">
        <f t="shared" si="19"/>
        <v>0</v>
      </c>
      <c r="P51" s="3465">
        <v>772300</v>
      </c>
      <c r="Q51" s="3465">
        <f t="shared" si="14"/>
        <v>1105</v>
      </c>
      <c r="R51" s="3470">
        <f t="shared" si="20"/>
        <v>-1.0666666666666666E-2</v>
      </c>
      <c r="U51" s="3467" t="s">
        <v>3399</v>
      </c>
      <c r="V51" s="3467">
        <f t="shared" si="15"/>
        <v>370.2</v>
      </c>
      <c r="W51" s="3471">
        <f t="shared" si="16"/>
        <v>0.13500000000000001</v>
      </c>
      <c r="X51" s="3502">
        <f t="shared" si="17"/>
        <v>1176</v>
      </c>
      <c r="Y51" s="3466"/>
      <c r="Z51" s="3466"/>
      <c r="AA51" s="3173">
        <f t="shared" si="21"/>
        <v>-9.3658014450093661E-3</v>
      </c>
      <c r="AB51" s="4894" t="s">
        <v>3447</v>
      </c>
      <c r="AC51" s="3172">
        <f>AVERAGE(W51:W54)</f>
        <v>0.15150000000000002</v>
      </c>
    </row>
    <row r="52" spans="2:30">
      <c r="B52" s="3428" t="s">
        <v>3401</v>
      </c>
      <c r="C52" s="3428">
        <v>395.69</v>
      </c>
      <c r="D52" s="3429">
        <v>2.5000000000000001E-2</v>
      </c>
      <c r="E52" s="3172">
        <f t="shared" si="18"/>
        <v>-1.5182060280245956E-2</v>
      </c>
      <c r="F52" s="3171">
        <f t="shared" si="22"/>
        <v>0</v>
      </c>
      <c r="G52" s="3171">
        <v>104.7</v>
      </c>
      <c r="H52" s="4894" t="s">
        <v>3458</v>
      </c>
      <c r="I52" s="3172">
        <f>AVERAGE(D53:D56)</f>
        <v>3.3500000000000002E-2</v>
      </c>
      <c r="K52" s="3464" t="s">
        <v>3401</v>
      </c>
      <c r="L52" s="3464">
        <f t="shared" si="11"/>
        <v>358</v>
      </c>
      <c r="M52" s="3468">
        <f t="shared" si="12"/>
        <v>0.14599999999999999</v>
      </c>
      <c r="N52" s="3470">
        <f t="shared" si="13"/>
        <v>-3.5040431266846361E-2</v>
      </c>
      <c r="O52" s="3465">
        <f t="shared" si="19"/>
        <v>0</v>
      </c>
      <c r="P52" s="3465">
        <v>772300</v>
      </c>
      <c r="Q52" s="3465">
        <f t="shared" si="14"/>
        <v>1120</v>
      </c>
      <c r="R52" s="3470">
        <f t="shared" si="20"/>
        <v>-3.5040431266846361E-2</v>
      </c>
      <c r="U52" s="3467" t="s">
        <v>3401</v>
      </c>
      <c r="V52" s="3467">
        <f t="shared" si="15"/>
        <v>359.5</v>
      </c>
      <c r="W52" s="3471">
        <f t="shared" si="16"/>
        <v>0.14899999999999999</v>
      </c>
      <c r="X52" s="3502">
        <f t="shared" si="17"/>
        <v>1199.0999999999999</v>
      </c>
      <c r="Y52" s="3466"/>
      <c r="Z52" s="3466"/>
      <c r="AA52" s="3173">
        <f t="shared" si="21"/>
        <v>-2.8903295515937302E-2</v>
      </c>
      <c r="AB52" s="4894"/>
      <c r="AC52" s="3171">
        <f>AVERAGE(V53:V56)</f>
        <v>342</v>
      </c>
      <c r="AD52" s="3172">
        <f>(AC52-AC48)/AC48</f>
        <v>-7.6486869641531063E-2</v>
      </c>
    </row>
    <row r="53" spans="2:30">
      <c r="B53" s="3428" t="s">
        <v>3403</v>
      </c>
      <c r="C53" s="3428">
        <v>386.09</v>
      </c>
      <c r="D53" s="3429">
        <v>3.9E-2</v>
      </c>
      <c r="E53" s="3172">
        <f t="shared" si="18"/>
        <v>-2.4261416765649937E-2</v>
      </c>
      <c r="F53" s="3171">
        <f t="shared" si="22"/>
        <v>0</v>
      </c>
      <c r="G53" s="3171">
        <v>104.7</v>
      </c>
      <c r="H53" s="4894"/>
      <c r="I53" s="3171">
        <f>AVERAGE(C53:C56)</f>
        <v>384.34249999999997</v>
      </c>
      <c r="J53" s="3172">
        <f>(I53-I49)/I49</f>
        <v>-4.0666691627042117E-2</v>
      </c>
      <c r="K53" s="3464" t="s">
        <v>3403</v>
      </c>
      <c r="L53" s="3464">
        <f t="shared" si="11"/>
        <v>352</v>
      </c>
      <c r="M53" s="3468">
        <f t="shared" si="12"/>
        <v>0.1517</v>
      </c>
      <c r="N53" s="3470">
        <f t="shared" si="13"/>
        <v>-1.6759776536312849E-2</v>
      </c>
      <c r="O53" s="3465">
        <f t="shared" si="19"/>
        <v>0</v>
      </c>
      <c r="P53" s="3465">
        <v>772300</v>
      </c>
      <c r="Q53" s="3465">
        <f t="shared" si="14"/>
        <v>1134</v>
      </c>
      <c r="R53" s="3470">
        <f t="shared" si="20"/>
        <v>-1.6759776536312849E-2</v>
      </c>
      <c r="U53" s="3467" t="s">
        <v>3403</v>
      </c>
      <c r="V53" s="3467">
        <f t="shared" si="15"/>
        <v>351.6</v>
      </c>
      <c r="W53" s="3471">
        <f t="shared" si="16"/>
        <v>0.158</v>
      </c>
      <c r="X53" s="3502">
        <f t="shared" si="17"/>
        <v>1219.8</v>
      </c>
      <c r="Y53" s="3466"/>
      <c r="Z53" s="3466"/>
      <c r="AA53" s="3173">
        <f t="shared" si="21"/>
        <v>-2.1974965229485333E-2</v>
      </c>
      <c r="AB53" s="4894"/>
      <c r="AC53" s="3503">
        <f>X54</f>
        <v>1243.7</v>
      </c>
    </row>
    <row r="54" spans="2:30">
      <c r="B54" s="3428" t="s">
        <v>3405</v>
      </c>
      <c r="C54" s="3428">
        <v>384.99</v>
      </c>
      <c r="D54" s="3429">
        <v>3.9E-2</v>
      </c>
      <c r="E54" s="3172">
        <f t="shared" ref="E54:E62" si="23">(C54-C53)/C53</f>
        <v>-2.8490766401615322E-3</v>
      </c>
      <c r="F54" s="3171">
        <f t="shared" ref="F54:F62" si="24">G54-G53</f>
        <v>0</v>
      </c>
      <c r="G54" s="3171">
        <v>104.7</v>
      </c>
      <c r="H54" s="4894"/>
      <c r="I54" s="3169">
        <f>G56</f>
        <v>104.7</v>
      </c>
      <c r="K54" s="3464" t="s">
        <v>3405</v>
      </c>
      <c r="L54" s="3464">
        <f t="shared" si="11"/>
        <v>343</v>
      </c>
      <c r="M54" s="3468">
        <f t="shared" si="12"/>
        <v>0.16070000000000001</v>
      </c>
      <c r="N54" s="3470">
        <f t="shared" si="13"/>
        <v>-2.556818181818182E-2</v>
      </c>
      <c r="O54" s="3465">
        <f t="shared" si="19"/>
        <v>124000</v>
      </c>
      <c r="P54" s="3465">
        <v>896300</v>
      </c>
      <c r="Q54" s="3465">
        <f t="shared" si="14"/>
        <v>1168</v>
      </c>
      <c r="R54" s="3470">
        <f t="shared" si="20"/>
        <v>-2.556818181818182E-2</v>
      </c>
      <c r="S54" s="3171">
        <f>ROUND(AVERAGE(L51:L54),0)</f>
        <v>356</v>
      </c>
      <c r="T54" s="3172">
        <f>ROUND(AVERAGE(M51:M54),4)</f>
        <v>0.14649999999999999</v>
      </c>
      <c r="U54" s="3467" t="s">
        <v>3405</v>
      </c>
      <c r="V54" s="3467">
        <f t="shared" si="15"/>
        <v>343.2</v>
      </c>
      <c r="W54" s="3471">
        <f t="shared" si="16"/>
        <v>0.16400000000000001</v>
      </c>
      <c r="X54" s="3502">
        <f t="shared" si="17"/>
        <v>1243.7</v>
      </c>
      <c r="Y54" s="3466"/>
      <c r="Z54" s="3466"/>
      <c r="AA54" s="3173">
        <f t="shared" si="21"/>
        <v>-2.3890784982935249E-2</v>
      </c>
      <c r="AB54" s="3169"/>
      <c r="AC54" s="3172"/>
    </row>
    <row r="55" spans="2:30">
      <c r="B55" s="3428" t="s">
        <v>3406</v>
      </c>
      <c r="C55" s="3171">
        <v>383.95</v>
      </c>
      <c r="D55" s="3429">
        <v>3.4000000000000002E-2</v>
      </c>
      <c r="E55" s="3172">
        <f t="shared" si="23"/>
        <v>-2.7013688667238641E-3</v>
      </c>
      <c r="F55" s="3171">
        <f t="shared" si="24"/>
        <v>0</v>
      </c>
      <c r="G55" s="3171">
        <v>104.7</v>
      </c>
      <c r="I55" s="3172"/>
      <c r="K55" s="3458" t="s">
        <v>3406</v>
      </c>
      <c r="L55" s="3464">
        <f t="shared" si="11"/>
        <v>338</v>
      </c>
      <c r="M55" s="3468">
        <f t="shared" si="12"/>
        <v>0.16270000000000001</v>
      </c>
      <c r="Q55" s="3472">
        <f>ROUND((G24+Q24+AA24)/1,0)</f>
        <v>2515</v>
      </c>
      <c r="R55" s="3470">
        <f t="shared" si="20"/>
        <v>-1.4577259475218658E-2</v>
      </c>
      <c r="U55" s="3467" t="s">
        <v>3406</v>
      </c>
      <c r="V55" s="3467">
        <f t="shared" si="15"/>
        <v>339.5</v>
      </c>
      <c r="W55" s="3471">
        <f t="shared" si="16"/>
        <v>0.16900000000000001</v>
      </c>
      <c r="X55" s="3502">
        <f t="shared" si="17"/>
        <v>1257.7</v>
      </c>
      <c r="Y55" s="3466"/>
      <c r="Z55" s="3466"/>
      <c r="AA55" s="3173">
        <f t="shared" si="21"/>
        <v>-1.0780885780885749E-2</v>
      </c>
      <c r="AB55" s="4894" t="s">
        <v>3448</v>
      </c>
      <c r="AC55" s="3172">
        <f>AVERAGE(W55:W58)</f>
        <v>0.16387499999999999</v>
      </c>
    </row>
    <row r="56" spans="2:30">
      <c r="B56" s="3428" t="s">
        <v>3407</v>
      </c>
      <c r="C56" s="3171">
        <v>382.34</v>
      </c>
      <c r="D56" s="3429">
        <v>2.1999999999999999E-2</v>
      </c>
      <c r="E56" s="3172">
        <f t="shared" si="23"/>
        <v>-4.1932543299909196E-3</v>
      </c>
      <c r="F56" s="3171">
        <f t="shared" si="24"/>
        <v>0</v>
      </c>
      <c r="G56" s="3171">
        <v>104.7</v>
      </c>
      <c r="H56" s="4894" t="s">
        <v>3459</v>
      </c>
      <c r="I56" s="3172">
        <f>AVERAGE(D57:D60)</f>
        <v>4.7149999999999997E-2</v>
      </c>
      <c r="K56" s="3428" t="s">
        <v>3407</v>
      </c>
      <c r="L56" s="3464">
        <f t="shared" si="11"/>
        <v>333</v>
      </c>
      <c r="M56" s="3468">
        <f t="shared" si="12"/>
        <v>0.1633</v>
      </c>
      <c r="Q56" s="3473">
        <f>ROUND((G25+Q25+AA25)/2,0)</f>
        <v>1300</v>
      </c>
      <c r="R56" s="3470">
        <f t="shared" si="20"/>
        <v>-1.4792899408284023E-2</v>
      </c>
      <c r="U56" s="3467" t="s">
        <v>3407</v>
      </c>
      <c r="V56" s="3467">
        <f t="shared" si="15"/>
        <v>333.7</v>
      </c>
      <c r="W56" s="3471">
        <f t="shared" si="16"/>
        <v>0.17399999999999999</v>
      </c>
      <c r="X56" s="3502">
        <f t="shared" si="17"/>
        <v>1300.2</v>
      </c>
      <c r="Y56" s="3466"/>
      <c r="Z56" s="3466"/>
      <c r="AA56" s="3173">
        <f t="shared" si="21"/>
        <v>-1.708394698085423E-2</v>
      </c>
      <c r="AB56" s="4894"/>
      <c r="AC56" s="3171">
        <f>AVERAGE(V57:V60)</f>
        <v>337.02499999999998</v>
      </c>
      <c r="AD56" s="3172">
        <f>(AC56-AC52)/AC52</f>
        <v>-1.4546783625731061E-2</v>
      </c>
    </row>
    <row r="57" spans="2:30">
      <c r="B57" s="3428" t="s">
        <v>3408</v>
      </c>
      <c r="C57" s="3171">
        <v>384.91</v>
      </c>
      <c r="D57" s="3429">
        <v>1.47E-2</v>
      </c>
      <c r="E57" s="3172">
        <f t="shared" si="23"/>
        <v>6.721765967463645E-3</v>
      </c>
      <c r="F57" s="3171">
        <f t="shared" si="24"/>
        <v>0</v>
      </c>
      <c r="G57" s="3171">
        <v>104.7</v>
      </c>
      <c r="H57" s="4894"/>
      <c r="I57" s="3171">
        <f>AVERAGE(C57:C60)</f>
        <v>386.23250000000002</v>
      </c>
      <c r="J57" s="3172">
        <f>(I57-I53)/I53</f>
        <v>4.9174889584161089E-3</v>
      </c>
      <c r="K57" s="3428" t="s">
        <v>3408</v>
      </c>
      <c r="L57" s="3464">
        <f t="shared" si="11"/>
        <v>335</v>
      </c>
      <c r="M57" s="3468">
        <f t="shared" si="12"/>
        <v>0.15029999999999999</v>
      </c>
      <c r="Q57" s="3473">
        <f>ROUND((G26+Q26+AA26)/2,0)</f>
        <v>1326</v>
      </c>
      <c r="R57" s="3470">
        <f t="shared" si="20"/>
        <v>6.006006006006006E-3</v>
      </c>
      <c r="U57" s="3467" t="s">
        <v>3408</v>
      </c>
      <c r="V57" s="3467">
        <f t="shared" si="15"/>
        <v>336.9</v>
      </c>
      <c r="W57" s="3471">
        <f t="shared" si="16"/>
        <v>0.16450000000000001</v>
      </c>
      <c r="X57" s="3502">
        <f t="shared" si="17"/>
        <v>1325.6</v>
      </c>
      <c r="Y57" s="3466"/>
      <c r="Z57" s="3466"/>
      <c r="AA57" s="3173">
        <f t="shared" si="21"/>
        <v>9.5894516032364058E-3</v>
      </c>
      <c r="AB57" s="4894"/>
      <c r="AC57" s="3503">
        <f>X58</f>
        <v>1338.6</v>
      </c>
    </row>
    <row r="58" spans="2:30">
      <c r="B58" s="3428" t="s">
        <v>3409</v>
      </c>
      <c r="C58" s="3171">
        <v>391.71</v>
      </c>
      <c r="D58" s="3429">
        <v>5.5899999999999998E-2</v>
      </c>
      <c r="E58" s="3172">
        <f t="shared" si="23"/>
        <v>1.7666467485905678E-2</v>
      </c>
      <c r="F58" s="3171">
        <f t="shared" si="24"/>
        <v>5.7000000000000028</v>
      </c>
      <c r="G58" s="3171">
        <v>110.4</v>
      </c>
      <c r="H58" s="4894"/>
      <c r="I58" s="3169">
        <f>G60</f>
        <v>110.4</v>
      </c>
      <c r="K58" s="3428" t="s">
        <v>3409</v>
      </c>
      <c r="L58" s="3474">
        <f>ROUND((C27+L27+V27)/2,0)</f>
        <v>339</v>
      </c>
      <c r="M58" s="3475">
        <f>ROUND((D27+M27+W27)/2,4)</f>
        <v>0.14799999999999999</v>
      </c>
      <c r="Q58" s="3473">
        <f>ROUND((G27+Q27+AA27)/2,0)</f>
        <v>1339</v>
      </c>
      <c r="R58" s="3470">
        <f t="shared" si="20"/>
        <v>1.1940298507462687E-2</v>
      </c>
      <c r="S58" s="3171">
        <f>ROUND(AVERAGE(L55:L58),0)</f>
        <v>336</v>
      </c>
      <c r="T58" s="3172">
        <f>ROUND(AVERAGE(M55:M58),4)</f>
        <v>0.15609999999999999</v>
      </c>
      <c r="U58" s="3467" t="s">
        <v>3409</v>
      </c>
      <c r="V58" s="3467">
        <f t="shared" si="15"/>
        <v>339.3</v>
      </c>
      <c r="W58" s="3471">
        <f t="shared" si="16"/>
        <v>0.14799999999999999</v>
      </c>
      <c r="X58" s="3502">
        <f t="shared" si="17"/>
        <v>1338.6</v>
      </c>
      <c r="Y58" s="3466"/>
      <c r="Z58" s="3466"/>
      <c r="AA58" s="3173">
        <f t="shared" si="21"/>
        <v>7.1237756010686677E-3</v>
      </c>
      <c r="AB58" s="3169"/>
      <c r="AC58" s="3172"/>
    </row>
    <row r="59" spans="2:30">
      <c r="B59" s="3428" t="s">
        <v>3410</v>
      </c>
      <c r="C59" s="3171">
        <v>384.64</v>
      </c>
      <c r="D59" s="3429">
        <v>5.6000000000000001E-2</v>
      </c>
      <c r="E59" s="3172">
        <f t="shared" si="23"/>
        <v>-1.8049066911745917E-2</v>
      </c>
      <c r="F59" s="3171">
        <f t="shared" si="24"/>
        <v>0</v>
      </c>
      <c r="G59" s="3171">
        <v>110.4</v>
      </c>
      <c r="I59" s="3172"/>
      <c r="K59" s="3428" t="s">
        <v>3410</v>
      </c>
      <c r="L59" s="3474">
        <f>ROUND((C28+L28+V28)/2,0)</f>
        <v>337</v>
      </c>
      <c r="M59" s="3475">
        <f>ROUND((D28+M28+W28)/2,4)</f>
        <v>0.14799999999999999</v>
      </c>
      <c r="Q59" s="3473">
        <f>ROUND((G28+Q28+AA28)/2,0)</f>
        <v>1354</v>
      </c>
      <c r="R59" s="3470">
        <f t="shared" si="20"/>
        <v>-5.8997050147492625E-3</v>
      </c>
      <c r="U59" s="3467" t="s">
        <v>3410</v>
      </c>
      <c r="V59" s="3467">
        <f t="shared" si="15"/>
        <v>336.8</v>
      </c>
      <c r="W59" s="3471">
        <f t="shared" si="16"/>
        <v>0.14799999999999999</v>
      </c>
      <c r="X59" s="3502">
        <f t="shared" si="17"/>
        <v>1354.4</v>
      </c>
      <c r="Y59" s="3466"/>
      <c r="Z59" s="3466"/>
      <c r="AA59" s="3173">
        <f t="shared" si="21"/>
        <v>-7.3681108163866785E-3</v>
      </c>
      <c r="AB59" s="4894" t="s">
        <v>3449</v>
      </c>
      <c r="AC59" s="3172">
        <f>AVERAGE(W59:W62)</f>
        <v>0.1525</v>
      </c>
    </row>
    <row r="60" spans="2:30">
      <c r="B60" s="3428" t="s">
        <v>3411</v>
      </c>
      <c r="C60" s="3171">
        <v>383.67</v>
      </c>
      <c r="D60" s="3429">
        <v>6.2E-2</v>
      </c>
      <c r="E60" s="3172">
        <f t="shared" si="23"/>
        <v>-2.5218386023293741E-3</v>
      </c>
      <c r="F60" s="3171">
        <f t="shared" si="24"/>
        <v>0</v>
      </c>
      <c r="G60" s="3171">
        <v>110.4</v>
      </c>
      <c r="H60" s="4894"/>
      <c r="I60" s="3172"/>
      <c r="K60" s="3428" t="s">
        <v>3411</v>
      </c>
      <c r="L60" s="3474">
        <f>ROUND((C29+L29+V29)/2,0)</f>
        <v>335</v>
      </c>
      <c r="M60" s="3475">
        <f>ROUND((D29+M29+W29)/2,4)</f>
        <v>0.14849999999999999</v>
      </c>
      <c r="Q60" s="3473">
        <f>ROUND((G29+Q29+AA29)/2,0)</f>
        <v>1359</v>
      </c>
      <c r="R60" s="3470">
        <f t="shared" si="20"/>
        <v>-5.9347181008902079E-3</v>
      </c>
      <c r="U60" s="3467" t="s">
        <v>3411</v>
      </c>
      <c r="V60" s="3467">
        <f t="shared" si="15"/>
        <v>335.1</v>
      </c>
      <c r="W60" s="3471">
        <f t="shared" si="16"/>
        <v>0.14849999999999999</v>
      </c>
      <c r="X60" s="3502">
        <f t="shared" si="17"/>
        <v>1359.1</v>
      </c>
      <c r="Y60" s="3466"/>
      <c r="Z60" s="3466"/>
      <c r="AA60" s="3173">
        <f t="shared" si="21"/>
        <v>-5.0475059382422468E-3</v>
      </c>
      <c r="AB60" s="4894"/>
      <c r="AC60" s="3171">
        <f>AVERAGE(V61:V64)</f>
        <v>327.45</v>
      </c>
      <c r="AD60" s="3172">
        <f>(AC60-AC56)/AC56</f>
        <v>-2.8410355314887586E-2</v>
      </c>
    </row>
    <row r="61" spans="2:30">
      <c r="B61" s="3428" t="s">
        <v>3412</v>
      </c>
      <c r="C61" s="3171">
        <v>381.22</v>
      </c>
      <c r="D61" s="3429">
        <v>0.111</v>
      </c>
      <c r="E61" s="3172">
        <f t="shared" si="23"/>
        <v>-6.3856960408684247E-3</v>
      </c>
      <c r="F61" s="3171">
        <f t="shared" si="24"/>
        <v>8</v>
      </c>
      <c r="G61" s="3171">
        <v>118.4</v>
      </c>
      <c r="H61" s="4894"/>
      <c r="I61" s="3171"/>
      <c r="J61" s="3172"/>
      <c r="K61" s="3428" t="s">
        <v>3412</v>
      </c>
      <c r="L61" s="3476">
        <f>ROUND((C30+L30+V30)/1,0)</f>
        <v>662</v>
      </c>
      <c r="M61" s="3477">
        <f>ROUND((D30+M30+W30)/1,4)</f>
        <v>0.30399999999999999</v>
      </c>
      <c r="Q61" s="3472">
        <f>ROUND((G30+Q30+AA30)/1,0)</f>
        <v>2733</v>
      </c>
      <c r="R61" s="3470">
        <f t="shared" si="20"/>
        <v>0.9761194029850746</v>
      </c>
      <c r="U61" s="3467" t="s">
        <v>3412</v>
      </c>
      <c r="V61" s="3467">
        <f t="shared" si="15"/>
        <v>331.2</v>
      </c>
      <c r="W61" s="3471">
        <f t="shared" si="16"/>
        <v>0.152</v>
      </c>
      <c r="X61" s="3502">
        <f t="shared" si="17"/>
        <v>1366.7</v>
      </c>
      <c r="Y61" s="3466"/>
      <c r="Z61" s="3466"/>
      <c r="AA61" s="3173">
        <f t="shared" si="21"/>
        <v>-1.1638316920322392E-2</v>
      </c>
      <c r="AB61" s="4894"/>
      <c r="AC61" s="3503">
        <f>X62</f>
        <v>1374.4</v>
      </c>
    </row>
    <row r="62" spans="2:30">
      <c r="B62" s="3428" t="s">
        <v>3413</v>
      </c>
      <c r="C62" s="3171">
        <v>362.87</v>
      </c>
      <c r="D62" s="3429">
        <v>0.14599999999999999</v>
      </c>
      <c r="E62" s="3172">
        <f t="shared" si="23"/>
        <v>-4.8134935208016427E-2</v>
      </c>
      <c r="F62" s="3171">
        <f t="shared" si="24"/>
        <v>0</v>
      </c>
      <c r="G62" s="3171">
        <v>118.4</v>
      </c>
      <c r="H62" s="4894"/>
      <c r="K62" s="3428" t="s">
        <v>3413</v>
      </c>
      <c r="L62" s="3476">
        <f>ROUND((C31+L31+V31)/1,0)</f>
        <v>647</v>
      </c>
      <c r="M62" s="3477">
        <f>ROUND((D31+M31+W31)/1,4)</f>
        <v>0.32300000000000001</v>
      </c>
      <c r="Q62" s="3472">
        <f>ROUND((G31+Q31+AA31)/1,0)</f>
        <v>2749</v>
      </c>
      <c r="R62" s="3470">
        <f t="shared" si="20"/>
        <v>-2.2658610271903322E-2</v>
      </c>
      <c r="S62" s="3171">
        <f>ROUND(AVERAGE(L59:L62),0)</f>
        <v>495</v>
      </c>
      <c r="T62" s="3172">
        <f>ROUND(AVERAGE(M59:M62),4)</f>
        <v>0.23089999999999999</v>
      </c>
      <c r="U62" s="3467" t="s">
        <v>3413</v>
      </c>
      <c r="V62" s="3467">
        <f t="shared" si="15"/>
        <v>323.7</v>
      </c>
      <c r="W62" s="3471">
        <f t="shared" si="16"/>
        <v>0.1615</v>
      </c>
      <c r="X62" s="3502">
        <f t="shared" si="17"/>
        <v>1374.4</v>
      </c>
      <c r="Y62" s="3466"/>
      <c r="Z62" s="3466"/>
      <c r="AA62" s="3173">
        <f t="shared" si="21"/>
        <v>-2.2644927536231884E-2</v>
      </c>
    </row>
    <row r="64" spans="2:30">
      <c r="M64" s="3465"/>
      <c r="Q64" s="3428" t="s">
        <v>3417</v>
      </c>
    </row>
    <row r="65" spans="11:28">
      <c r="M65" s="3473"/>
      <c r="Q65" s="3428" t="s">
        <v>3418</v>
      </c>
      <c r="AB65" s="3465"/>
    </row>
    <row r="66" spans="11:28">
      <c r="M66" s="3472"/>
      <c r="Q66" s="3428" t="s">
        <v>3420</v>
      </c>
      <c r="AB66" s="3464"/>
    </row>
    <row r="67" spans="11:28">
      <c r="AB67" s="3465"/>
    </row>
    <row r="68" spans="11:28">
      <c r="AB68" s="3470"/>
    </row>
    <row r="69" spans="11:28">
      <c r="AB69" s="3470"/>
    </row>
    <row r="70" spans="11:28">
      <c r="AB70" s="3470"/>
    </row>
    <row r="71" spans="11:28">
      <c r="K71" s="4895" t="s">
        <v>3419</v>
      </c>
      <c r="L71" s="4895"/>
      <c r="M71" s="4895"/>
      <c r="N71" s="4895"/>
      <c r="O71" s="3464"/>
      <c r="P71" s="3464"/>
      <c r="Q71" s="3465"/>
      <c r="AB71" s="3470"/>
    </row>
    <row r="72" spans="11:28">
      <c r="K72" s="3464"/>
      <c r="L72" s="3464" t="s">
        <v>3363</v>
      </c>
      <c r="M72" s="3464" t="s">
        <v>3364</v>
      </c>
      <c r="N72" s="3465" t="s">
        <v>3369</v>
      </c>
      <c r="O72" s="3464" t="s">
        <v>3366</v>
      </c>
      <c r="P72" s="3464" t="s">
        <v>3414</v>
      </c>
      <c r="Q72" s="3464" t="s">
        <v>3370</v>
      </c>
      <c r="AB72" s="3470"/>
    </row>
    <row r="73" spans="11:28">
      <c r="K73" s="3464"/>
      <c r="L73" s="3464"/>
      <c r="M73" s="3468"/>
      <c r="N73" s="3465"/>
      <c r="O73" s="3465"/>
      <c r="P73" s="3465"/>
      <c r="Q73" s="3465"/>
      <c r="AB73" s="3470"/>
    </row>
    <row r="74" spans="11:28">
      <c r="K74" s="3464" t="s">
        <v>3374</v>
      </c>
      <c r="L74" s="3464">
        <f t="shared" ref="L74:L92" si="25">ROUND((C5+L5)/2,0)</f>
        <v>376</v>
      </c>
      <c r="M74" s="3468">
        <f t="shared" ref="M74:M92" si="26">ROUND((D5+M5)/2,4)</f>
        <v>5.9499999999999997E-2</v>
      </c>
      <c r="N74" s="3470"/>
      <c r="O74" s="3465">
        <f>P74-P73</f>
        <v>843800</v>
      </c>
      <c r="P74" s="3465">
        <v>843800</v>
      </c>
      <c r="Q74" s="3465">
        <f t="shared" ref="Q74:Q92" si="27">ROUND((G5+Q5)/2,0)</f>
        <v>781</v>
      </c>
      <c r="AB74" s="3470"/>
    </row>
    <row r="75" spans="11:28">
      <c r="K75" s="3464" t="s">
        <v>3375</v>
      </c>
      <c r="L75" s="3464">
        <f t="shared" si="25"/>
        <v>377</v>
      </c>
      <c r="M75" s="3468">
        <f t="shared" si="26"/>
        <v>5.3499999999999999E-2</v>
      </c>
      <c r="N75" s="3470">
        <f>(L75-L74)/L74</f>
        <v>2.6595744680851063E-3</v>
      </c>
      <c r="O75" s="3465">
        <f t="shared" ref="O75:O92" si="28">P75-P74</f>
        <v>0</v>
      </c>
      <c r="P75" s="3465">
        <v>843800</v>
      </c>
      <c r="Q75" s="3465">
        <f t="shared" si="27"/>
        <v>815</v>
      </c>
      <c r="AB75" s="3470"/>
    </row>
    <row r="76" spans="11:28">
      <c r="K76" s="3464" t="s">
        <v>3376</v>
      </c>
      <c r="L76" s="3464">
        <f t="shared" si="25"/>
        <v>380</v>
      </c>
      <c r="M76" s="3468">
        <f t="shared" si="26"/>
        <v>5.2499999999999998E-2</v>
      </c>
      <c r="N76" s="3470">
        <f t="shared" ref="N76:N92" si="29">(L76-L75)/L75</f>
        <v>7.9575596816976128E-3</v>
      </c>
      <c r="O76" s="3465">
        <f t="shared" si="28"/>
        <v>-71500</v>
      </c>
      <c r="P76" s="3465">
        <v>772300</v>
      </c>
      <c r="Q76" s="3465">
        <f t="shared" si="27"/>
        <v>833</v>
      </c>
      <c r="AB76" s="3470"/>
    </row>
    <row r="77" spans="11:28">
      <c r="K77" s="3464" t="s">
        <v>3377</v>
      </c>
      <c r="L77" s="3464">
        <f t="shared" si="25"/>
        <v>380</v>
      </c>
      <c r="M77" s="3468">
        <f t="shared" si="26"/>
        <v>5.6000000000000001E-2</v>
      </c>
      <c r="N77" s="3470">
        <f t="shared" si="29"/>
        <v>0</v>
      </c>
      <c r="O77" s="3465">
        <f t="shared" si="28"/>
        <v>0</v>
      </c>
      <c r="P77" s="3465">
        <v>772300</v>
      </c>
      <c r="Q77" s="3465">
        <f t="shared" si="27"/>
        <v>847</v>
      </c>
      <c r="AB77" s="3470"/>
    </row>
    <row r="78" spans="11:28">
      <c r="K78" s="3464" t="s">
        <v>3378</v>
      </c>
      <c r="L78" s="3464">
        <f t="shared" si="25"/>
        <v>383</v>
      </c>
      <c r="M78" s="3468">
        <f t="shared" si="26"/>
        <v>6.7500000000000004E-2</v>
      </c>
      <c r="N78" s="3470">
        <f t="shared" si="29"/>
        <v>7.8947368421052634E-3</v>
      </c>
      <c r="O78" s="3465">
        <f t="shared" si="28"/>
        <v>0</v>
      </c>
      <c r="P78" s="3465">
        <v>772300</v>
      </c>
      <c r="Q78" s="3465">
        <f t="shared" si="27"/>
        <v>871</v>
      </c>
      <c r="AB78" s="3470"/>
    </row>
    <row r="79" spans="11:28">
      <c r="K79" s="3464" t="s">
        <v>3379</v>
      </c>
      <c r="L79" s="3464">
        <f t="shared" si="25"/>
        <v>384</v>
      </c>
      <c r="M79" s="3468">
        <f t="shared" si="26"/>
        <v>5.9499999999999997E-2</v>
      </c>
      <c r="N79" s="3470">
        <f t="shared" si="29"/>
        <v>2.6109660574412533E-3</v>
      </c>
      <c r="O79" s="3465">
        <f t="shared" si="28"/>
        <v>0</v>
      </c>
      <c r="P79" s="3465">
        <v>772300</v>
      </c>
      <c r="Q79" s="3465">
        <f t="shared" si="27"/>
        <v>871</v>
      </c>
      <c r="AB79" s="3470"/>
    </row>
    <row r="80" spans="11:28">
      <c r="K80" s="3464" t="s">
        <v>3380</v>
      </c>
      <c r="L80" s="3464">
        <f t="shared" si="25"/>
        <v>385</v>
      </c>
      <c r="M80" s="3468">
        <f t="shared" si="26"/>
        <v>7.3999999999999996E-2</v>
      </c>
      <c r="N80" s="3470">
        <f t="shared" si="29"/>
        <v>2.6041666666666665E-3</v>
      </c>
      <c r="O80" s="3465">
        <f t="shared" si="28"/>
        <v>0</v>
      </c>
      <c r="P80" s="3465">
        <v>772300</v>
      </c>
      <c r="Q80" s="3465">
        <f t="shared" si="27"/>
        <v>912</v>
      </c>
      <c r="AB80" s="3470"/>
    </row>
    <row r="81" spans="7:28">
      <c r="K81" s="3464" t="s">
        <v>3381</v>
      </c>
      <c r="L81" s="3464">
        <f t="shared" si="25"/>
        <v>381</v>
      </c>
      <c r="M81" s="3468">
        <f t="shared" si="26"/>
        <v>6.3500000000000001E-2</v>
      </c>
      <c r="N81" s="3470">
        <f t="shared" si="29"/>
        <v>-1.038961038961039E-2</v>
      </c>
      <c r="O81" s="3465">
        <f t="shared" si="28"/>
        <v>0</v>
      </c>
      <c r="P81" s="3465">
        <v>772300</v>
      </c>
      <c r="Q81" s="3465">
        <f t="shared" si="27"/>
        <v>931</v>
      </c>
      <c r="AB81" s="3470"/>
    </row>
    <row r="82" spans="7:28">
      <c r="G82" s="3169"/>
      <c r="H82" s="3171"/>
      <c r="I82" s="3171"/>
      <c r="K82" s="3464" t="s">
        <v>3385</v>
      </c>
      <c r="L82" s="3464">
        <f t="shared" si="25"/>
        <v>389</v>
      </c>
      <c r="M82" s="3468">
        <f t="shared" si="26"/>
        <v>5.1999999999999998E-2</v>
      </c>
      <c r="N82" s="3470">
        <f t="shared" si="29"/>
        <v>2.0997375328083989E-2</v>
      </c>
      <c r="O82" s="3465">
        <f t="shared" si="28"/>
        <v>0</v>
      </c>
      <c r="P82" s="3465">
        <v>772300</v>
      </c>
      <c r="Q82" s="3465">
        <f t="shared" si="27"/>
        <v>935</v>
      </c>
      <c r="AB82" s="3470"/>
    </row>
    <row r="83" spans="7:28">
      <c r="G83" s="3169"/>
      <c r="H83" s="3171"/>
      <c r="I83" s="3171"/>
      <c r="K83" s="3464" t="s">
        <v>3387</v>
      </c>
      <c r="L83" s="3464">
        <f t="shared" si="25"/>
        <v>397</v>
      </c>
      <c r="M83" s="3468">
        <f t="shared" si="26"/>
        <v>5.5500000000000001E-2</v>
      </c>
      <c r="N83" s="3470">
        <f t="shared" si="29"/>
        <v>2.056555269922879E-2</v>
      </c>
      <c r="O83" s="3465">
        <f t="shared" si="28"/>
        <v>0</v>
      </c>
      <c r="P83" s="3465">
        <v>772300</v>
      </c>
      <c r="Q83" s="3465">
        <f t="shared" si="27"/>
        <v>940</v>
      </c>
      <c r="AB83" s="3470"/>
    </row>
    <row r="84" spans="7:28">
      <c r="G84" s="3169"/>
      <c r="H84" s="3171"/>
      <c r="I84" s="3171"/>
      <c r="K84" s="3464" t="s">
        <v>3389</v>
      </c>
      <c r="L84" s="3464">
        <f t="shared" si="25"/>
        <v>393</v>
      </c>
      <c r="M84" s="3468">
        <f t="shared" si="26"/>
        <v>6.5000000000000002E-2</v>
      </c>
      <c r="N84" s="3470">
        <f t="shared" si="29"/>
        <v>-1.0075566750629723E-2</v>
      </c>
      <c r="O84" s="3465">
        <f t="shared" si="28"/>
        <v>0</v>
      </c>
      <c r="P84" s="3465">
        <v>772300</v>
      </c>
      <c r="Q84" s="3465">
        <f t="shared" si="27"/>
        <v>957</v>
      </c>
      <c r="AB84" s="3470"/>
    </row>
    <row r="85" spans="7:28">
      <c r="G85" s="3169"/>
      <c r="H85" s="3171"/>
      <c r="I85" s="3171"/>
      <c r="K85" s="3464" t="s">
        <v>3391</v>
      </c>
      <c r="L85" s="3464">
        <f t="shared" si="25"/>
        <v>391</v>
      </c>
      <c r="M85" s="3468">
        <f t="shared" si="26"/>
        <v>6.8599999999999994E-2</v>
      </c>
      <c r="N85" s="3470">
        <f t="shared" si="29"/>
        <v>-5.0890585241730284E-3</v>
      </c>
      <c r="O85" s="3465">
        <f t="shared" si="28"/>
        <v>0</v>
      </c>
      <c r="P85" s="3465">
        <v>772300</v>
      </c>
      <c r="Q85" s="3465">
        <f t="shared" si="27"/>
        <v>963</v>
      </c>
      <c r="AB85" s="3470"/>
    </row>
    <row r="86" spans="7:28">
      <c r="G86" s="3169"/>
      <c r="H86" s="3171"/>
      <c r="I86" s="3171"/>
      <c r="K86" s="3464" t="s">
        <v>3393</v>
      </c>
      <c r="L86" s="3464">
        <f t="shared" si="25"/>
        <v>387</v>
      </c>
      <c r="M86" s="3468">
        <f t="shared" si="26"/>
        <v>7.9000000000000001E-2</v>
      </c>
      <c r="N86" s="3470">
        <f t="shared" si="29"/>
        <v>-1.0230179028132993E-2</v>
      </c>
      <c r="O86" s="3465">
        <f t="shared" si="28"/>
        <v>0</v>
      </c>
      <c r="P86" s="3465">
        <v>772300</v>
      </c>
      <c r="Q86" s="3465">
        <f t="shared" si="27"/>
        <v>959</v>
      </c>
      <c r="AB86" s="3470"/>
    </row>
    <row r="87" spans="7:28">
      <c r="G87" s="3169"/>
      <c r="K87" s="3464" t="s">
        <v>3395</v>
      </c>
      <c r="L87" s="3464">
        <f t="shared" si="25"/>
        <v>381</v>
      </c>
      <c r="M87" s="3468">
        <f t="shared" si="26"/>
        <v>8.6300000000000002E-2</v>
      </c>
      <c r="N87" s="3470">
        <f t="shared" si="29"/>
        <v>-1.5503875968992248E-2</v>
      </c>
      <c r="O87" s="3465">
        <f t="shared" si="28"/>
        <v>0</v>
      </c>
      <c r="P87" s="3465">
        <v>772300</v>
      </c>
      <c r="Q87" s="3465">
        <f t="shared" si="27"/>
        <v>969</v>
      </c>
    </row>
    <row r="88" spans="7:28">
      <c r="K88" s="3464" t="s">
        <v>3397</v>
      </c>
      <c r="L88" s="3464">
        <f t="shared" si="25"/>
        <v>381</v>
      </c>
      <c r="M88" s="3468">
        <f t="shared" si="26"/>
        <v>0.124</v>
      </c>
      <c r="N88" s="3470">
        <f t="shared" si="29"/>
        <v>0</v>
      </c>
      <c r="O88" s="3465">
        <f t="shared" si="28"/>
        <v>0</v>
      </c>
      <c r="P88" s="3465">
        <v>772300</v>
      </c>
      <c r="Q88" s="3465">
        <f t="shared" si="27"/>
        <v>1038</v>
      </c>
    </row>
    <row r="89" spans="7:28">
      <c r="K89" s="3464" t="s">
        <v>3399</v>
      </c>
      <c r="L89" s="3464">
        <f t="shared" si="25"/>
        <v>376</v>
      </c>
      <c r="M89" s="3468">
        <f t="shared" si="26"/>
        <v>0.1255</v>
      </c>
      <c r="N89" s="3470">
        <f t="shared" si="29"/>
        <v>-1.3123359580052493E-2</v>
      </c>
      <c r="O89" s="3465">
        <f t="shared" si="28"/>
        <v>0</v>
      </c>
      <c r="P89" s="3465">
        <v>772300</v>
      </c>
      <c r="Q89" s="3465">
        <f t="shared" si="27"/>
        <v>1038</v>
      </c>
    </row>
    <row r="90" spans="7:28">
      <c r="K90" s="3464" t="s">
        <v>3401</v>
      </c>
      <c r="L90" s="3464">
        <f t="shared" si="25"/>
        <v>357</v>
      </c>
      <c r="M90" s="3468">
        <f t="shared" si="26"/>
        <v>0.151</v>
      </c>
      <c r="N90" s="3470">
        <f t="shared" si="29"/>
        <v>-5.0531914893617018E-2</v>
      </c>
      <c r="O90" s="3465">
        <f t="shared" si="28"/>
        <v>0</v>
      </c>
      <c r="P90" s="3465">
        <v>772300</v>
      </c>
      <c r="Q90" s="3465">
        <f t="shared" si="27"/>
        <v>1056</v>
      </c>
    </row>
    <row r="91" spans="7:28">
      <c r="K91" s="3464" t="s">
        <v>3403</v>
      </c>
      <c r="L91" s="3464">
        <f t="shared" si="25"/>
        <v>350</v>
      </c>
      <c r="M91" s="3468">
        <f t="shared" si="26"/>
        <v>0.1525</v>
      </c>
      <c r="N91" s="3470">
        <f t="shared" si="29"/>
        <v>-1.9607843137254902E-2</v>
      </c>
      <c r="O91" s="3465">
        <f t="shared" si="28"/>
        <v>0</v>
      </c>
      <c r="P91" s="3465">
        <v>772300</v>
      </c>
      <c r="Q91" s="3465">
        <f t="shared" si="27"/>
        <v>1065</v>
      </c>
    </row>
    <row r="92" spans="7:28">
      <c r="K92" s="3464" t="s">
        <v>3405</v>
      </c>
      <c r="L92" s="3464">
        <f t="shared" si="25"/>
        <v>340</v>
      </c>
      <c r="M92" s="3468">
        <f t="shared" si="26"/>
        <v>0.16200000000000001</v>
      </c>
      <c r="N92" s="3470">
        <f t="shared" si="29"/>
        <v>-2.8571428571428571E-2</v>
      </c>
      <c r="O92" s="3465">
        <f t="shared" si="28"/>
        <v>124000</v>
      </c>
      <c r="P92" s="3465">
        <v>896300</v>
      </c>
      <c r="Q92" s="3465">
        <f t="shared" si="27"/>
        <v>1108</v>
      </c>
    </row>
  </sheetData>
  <mergeCells count="21">
    <mergeCell ref="B33:H33"/>
    <mergeCell ref="K33:N33"/>
    <mergeCell ref="U33:AA33"/>
    <mergeCell ref="B2:E2"/>
    <mergeCell ref="K2:N2"/>
    <mergeCell ref="U2:X2"/>
    <mergeCell ref="K71:N71"/>
    <mergeCell ref="H36:H38"/>
    <mergeCell ref="H40:H42"/>
    <mergeCell ref="H44:H46"/>
    <mergeCell ref="H48:H50"/>
    <mergeCell ref="H52:H54"/>
    <mergeCell ref="H56:H58"/>
    <mergeCell ref="H60:H62"/>
    <mergeCell ref="AB59:AB61"/>
    <mergeCell ref="AB35:AB37"/>
    <mergeCell ref="AB39:AB41"/>
    <mergeCell ref="AB43:AB45"/>
    <mergeCell ref="AB47:AB49"/>
    <mergeCell ref="AB51:AB53"/>
    <mergeCell ref="AB55:AB57"/>
  </mergeCells>
  <phoneticPr fontId="147" type="noConversion"/>
  <hyperlinks>
    <hyperlink ref="AE13" r:id="rId1" display="http://bj.cityhouse.cn/lmarketha/pa00025093dc043/" xr:uid="{00000000-0004-0000-2D00-000000000000}"/>
    <hyperlink ref="AE14" r:id="rId2" display="http://bj.cityhouse.cn/lmarketha/pa00022420dc689/" xr:uid="{00000000-0004-0000-2D00-000001000000}"/>
    <hyperlink ref="AE15" r:id="rId3" display="http://bj.cityhouse.cn/lmarketha/pa00024376dc680/" xr:uid="{00000000-0004-0000-2D00-000002000000}"/>
    <hyperlink ref="AE16" r:id="rId4" display="http://bj.cityhouse.cn/lmarketha/pa00024048dc020/" xr:uid="{00000000-0004-0000-2D00-000003000000}"/>
    <hyperlink ref="AE17" r:id="rId5" display="http://bj.cityhouse.cn/lmarketha/pa0123004cy866/" xr:uid="{00000000-0004-0000-2D00-000004000000}"/>
    <hyperlink ref="AE18" r:id="rId6" display="http://bj.cityhouse.cn/lmarketha/sa0036900dc705/" xr:uid="{00000000-0004-0000-2D00-000005000000}"/>
    <hyperlink ref="AE19" r:id="rId7" display="http://bj.cityhouse.cn/lmarketha/0163022498/" xr:uid="{00000000-0004-0000-2D00-000006000000}"/>
    <hyperlink ref="AE20" r:id="rId8" display="http://bj.cityhouse.cn/lmarketha/pa00022566dc977/" xr:uid="{00000000-0004-0000-2D00-000007000000}"/>
    <hyperlink ref="AE21" r:id="rId9" display="http://bj.cityhouse.cn/lmarketha/pa00025908dc061/" xr:uid="{00000000-0004-0000-2D00-000008000000}"/>
    <hyperlink ref="AE22" r:id="rId10" display="http://bj.cityhouse.cn/lmarketha/pa00023555dc402/" xr:uid="{00000000-0004-0000-2D00-000009000000}"/>
  </hyperlinks>
  <pageMargins left="0.7" right="0.7" top="0.75" bottom="0.75" header="0.3" footer="0.3"/>
  <drawing r:id="rId1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M71"/>
  <sheetViews>
    <sheetView topLeftCell="A16" workbookViewId="0">
      <selection activeCell="H22" sqref="H22"/>
    </sheetView>
  </sheetViews>
  <sheetFormatPr defaultColWidth="9" defaultRowHeight="14.25"/>
  <cols>
    <col min="1" max="1" width="9" style="3428"/>
    <col min="2" max="2" width="13.375" style="3428" customWidth="1"/>
    <col min="3" max="3" width="16.5" style="3428" customWidth="1"/>
    <col min="4" max="4" width="11.5" style="3428" customWidth="1"/>
    <col min="5" max="5" width="15.5" style="3428" customWidth="1"/>
    <col min="6" max="6" width="17.625" style="3428" customWidth="1"/>
    <col min="7" max="7" width="9" style="3428"/>
    <col min="8" max="11" width="14.125" style="3428" customWidth="1"/>
    <col min="12" max="12" width="20.375" style="3171" customWidth="1"/>
    <col min="13" max="16384" width="9" style="3171"/>
  </cols>
  <sheetData>
    <row r="1" spans="1:13">
      <c r="A1" s="4898" t="s">
        <v>3421</v>
      </c>
      <c r="B1" s="4898"/>
      <c r="C1" s="4898"/>
      <c r="D1" s="4898"/>
      <c r="E1" s="4898"/>
      <c r="G1" s="4899" t="s">
        <v>3422</v>
      </c>
      <c r="H1" s="4899"/>
      <c r="I1" s="4899"/>
      <c r="J1" s="4899"/>
      <c r="K1" s="4899"/>
    </row>
    <row r="2" spans="1:13" ht="28.5">
      <c r="A2" s="3478"/>
      <c r="B2" s="3478" t="s">
        <v>3423</v>
      </c>
      <c r="C2" s="3479" t="s">
        <v>3424</v>
      </c>
      <c r="D2" s="3478" t="s">
        <v>3425</v>
      </c>
      <c r="E2" s="3479" t="s">
        <v>3426</v>
      </c>
      <c r="G2" s="3480"/>
      <c r="H2" s="3481" t="s">
        <v>3427</v>
      </c>
      <c r="I2" s="3481" t="s">
        <v>3424</v>
      </c>
      <c r="J2" s="3481" t="s">
        <v>3428</v>
      </c>
      <c r="K2" s="3481" t="s">
        <v>3429</v>
      </c>
    </row>
    <row r="3" spans="1:13">
      <c r="A3" s="3478">
        <v>2007</v>
      </c>
      <c r="B3" s="3482"/>
      <c r="C3" s="3482"/>
      <c r="D3" s="3482"/>
      <c r="E3" s="3483"/>
      <c r="F3" s="3484"/>
      <c r="G3" s="3480">
        <v>2007</v>
      </c>
      <c r="H3" s="3483"/>
      <c r="I3" s="3483"/>
      <c r="J3" s="3483"/>
      <c r="K3" s="3483"/>
    </row>
    <row r="4" spans="1:13">
      <c r="A4" s="3478">
        <v>2008</v>
      </c>
      <c r="B4" s="3485">
        <v>0.14499999999999999</v>
      </c>
      <c r="C4" s="3485">
        <v>-0.34100000000000003</v>
      </c>
      <c r="D4" s="3485">
        <v>0.2465</v>
      </c>
      <c r="E4" s="3486"/>
      <c r="F4" s="3484"/>
      <c r="G4" s="3480">
        <v>2008</v>
      </c>
      <c r="H4" s="3487">
        <v>1.1973</v>
      </c>
      <c r="I4" s="3488">
        <v>0.09</v>
      </c>
      <c r="J4" s="3487">
        <v>0.1492</v>
      </c>
      <c r="K4" s="3482"/>
      <c r="M4" s="3171" t="s">
        <v>3430</v>
      </c>
    </row>
    <row r="5" spans="1:13">
      <c r="A5" s="3478">
        <v>2009</v>
      </c>
      <c r="B5" s="3485"/>
      <c r="C5" s="3485">
        <v>1.107</v>
      </c>
      <c r="D5" s="3485"/>
      <c r="E5" s="3486"/>
      <c r="F5" s="3484"/>
      <c r="G5" s="3480">
        <v>2009</v>
      </c>
      <c r="H5" s="3487">
        <v>0.245</v>
      </c>
      <c r="I5" s="3487">
        <v>1.387</v>
      </c>
      <c r="J5" s="3489" t="s">
        <v>3431</v>
      </c>
      <c r="K5" s="3483"/>
    </row>
    <row r="6" spans="1:13">
      <c r="A6" s="3478">
        <v>2010</v>
      </c>
      <c r="B6" s="3485">
        <v>-0.30199999999999999</v>
      </c>
      <c r="C6" s="3485">
        <v>0.26800000000000002</v>
      </c>
      <c r="D6" s="3485">
        <f>ROUND((22.7%+20.3%+20.6%+19.7%)/4,2)</f>
        <v>0.21</v>
      </c>
      <c r="E6" s="3486">
        <v>538</v>
      </c>
      <c r="F6" s="3484"/>
      <c r="G6" s="3480">
        <v>2010</v>
      </c>
      <c r="H6" s="3487">
        <v>0.107</v>
      </c>
      <c r="I6" s="3487">
        <v>3.5999999999999997E-2</v>
      </c>
      <c r="J6" s="3490">
        <f>J7+10.6%</f>
        <v>0.19700000000000001</v>
      </c>
      <c r="K6" s="3483"/>
    </row>
    <row r="7" spans="1:13">
      <c r="A7" s="3478">
        <v>2011</v>
      </c>
      <c r="B7" s="3485">
        <v>2.5999999999999999E-2</v>
      </c>
      <c r="C7" s="3485">
        <v>-0.23</v>
      </c>
      <c r="D7" s="3485">
        <f>ROUND((20%+18%+16%)/3,2)</f>
        <v>0.18</v>
      </c>
      <c r="E7" s="3486">
        <v>672</v>
      </c>
      <c r="F7" s="3491">
        <f>ROUND(E7/E6-1,4)</f>
        <v>0.24909999999999999</v>
      </c>
      <c r="G7" s="3480">
        <v>2011</v>
      </c>
      <c r="H7" s="3487">
        <v>0.36</v>
      </c>
      <c r="I7" s="3487">
        <v>-0.16900000000000001</v>
      </c>
      <c r="J7" s="3490">
        <v>9.0999999999999998E-2</v>
      </c>
      <c r="K7" s="3489">
        <f>ROUND((187+205+227+246)/4,0)</f>
        <v>216</v>
      </c>
    </row>
    <row r="8" spans="1:13">
      <c r="A8" s="3478">
        <v>2012</v>
      </c>
      <c r="B8" s="3485">
        <v>-0.433</v>
      </c>
      <c r="C8" s="3492">
        <v>-0.16</v>
      </c>
      <c r="D8" s="3485">
        <v>0.115</v>
      </c>
      <c r="E8" s="3486">
        <v>729</v>
      </c>
      <c r="F8" s="3491">
        <f t="shared" ref="F8:F18" si="0">ROUND(E8/E7-1,4)</f>
        <v>8.48E-2</v>
      </c>
      <c r="G8" s="3480">
        <v>2012</v>
      </c>
      <c r="H8" s="3487">
        <v>-0.23200000000000001</v>
      </c>
      <c r="I8" s="3487">
        <v>0.30599999999999999</v>
      </c>
      <c r="J8" s="3487">
        <v>2.7E-2</v>
      </c>
      <c r="K8" s="3489">
        <f>ROUND((278+289+295+294.5)/4,0)</f>
        <v>289</v>
      </c>
      <c r="L8" s="3171">
        <f>(K8-K7)/K7</f>
        <v>0.33796296296296297</v>
      </c>
    </row>
    <row r="9" spans="1:13">
      <c r="A9" s="3478">
        <v>2013</v>
      </c>
      <c r="B9" s="3485">
        <v>1.1887000000000001</v>
      </c>
      <c r="C9" s="3485">
        <v>0.04</v>
      </c>
      <c r="D9" s="3485">
        <v>8.4000000000000005E-2</v>
      </c>
      <c r="E9" s="3486">
        <v>795</v>
      </c>
      <c r="F9" s="3491">
        <f t="shared" si="0"/>
        <v>9.0499999999999997E-2</v>
      </c>
      <c r="G9" s="3480">
        <v>2013</v>
      </c>
      <c r="H9" s="3487">
        <v>0.14000000000000001</v>
      </c>
      <c r="I9" s="3487">
        <v>0.17499999999999999</v>
      </c>
      <c r="J9" s="3487">
        <v>1.7999999999999999E-2</v>
      </c>
      <c r="K9" s="3489">
        <f>ROUND((298+298+297+299)/4,0)</f>
        <v>298</v>
      </c>
    </row>
    <row r="10" spans="1:13">
      <c r="A10" s="3478">
        <v>2014</v>
      </c>
      <c r="B10" s="3485">
        <v>0.1096</v>
      </c>
      <c r="C10" s="3485">
        <v>-0.3</v>
      </c>
      <c r="D10" s="3485">
        <v>4.8000000000000001E-2</v>
      </c>
      <c r="E10" s="3486">
        <f>ROUND((824+839+848+858)/4,0)</f>
        <v>842</v>
      </c>
      <c r="F10" s="3491">
        <f t="shared" si="0"/>
        <v>5.91E-2</v>
      </c>
      <c r="G10" s="3480">
        <v>2014</v>
      </c>
      <c r="H10" s="3487">
        <f>H9-1.6%</f>
        <v>0.12400000000000001</v>
      </c>
      <c r="I10" s="3487">
        <f>I9-49.2%</f>
        <v>-0.31700000000000006</v>
      </c>
      <c r="J10" s="3487">
        <v>3.3000000000000002E-2</v>
      </c>
      <c r="K10" s="3489">
        <f>ROUND((301+380.2+387.62+389.2)/4,0)</f>
        <v>365</v>
      </c>
    </row>
    <row r="11" spans="1:13">
      <c r="A11" s="3478">
        <v>2015</v>
      </c>
      <c r="B11" s="3485">
        <f>B10-2%</f>
        <v>8.9599999999999999E-2</v>
      </c>
      <c r="C11" s="3485">
        <v>0.02</v>
      </c>
      <c r="D11" s="3485">
        <v>6.3E-2</v>
      </c>
      <c r="E11" s="3486">
        <f>ROUND((854+865)/2,0)</f>
        <v>860</v>
      </c>
      <c r="F11" s="3491">
        <f t="shared" si="0"/>
        <v>2.1399999999999999E-2</v>
      </c>
      <c r="G11" s="3480">
        <v>2015</v>
      </c>
      <c r="H11" s="3487">
        <v>0.35799999999999998</v>
      </c>
      <c r="I11" s="3487">
        <v>0.39400000000000002</v>
      </c>
      <c r="J11" s="3487">
        <v>0.06</v>
      </c>
      <c r="K11" s="3489">
        <f>ROUND((382.36+383.53+381.9+383.81)/4,0)</f>
        <v>383</v>
      </c>
    </row>
    <row r="12" spans="1:13">
      <c r="A12" s="3478">
        <v>2016</v>
      </c>
      <c r="B12" s="3485">
        <v>0.48799999999999999</v>
      </c>
      <c r="C12" s="3485">
        <v>0.54</v>
      </c>
      <c r="D12" s="3493">
        <f>[7]商业!AB11</f>
        <v>5.2999999999999999E-2</v>
      </c>
      <c r="E12" s="3494">
        <f>[7]商业!AA11</f>
        <v>913.4</v>
      </c>
      <c r="F12" s="3491">
        <f>ROUND(E12/E11-1,4)</f>
        <v>6.2100000000000002E-2</v>
      </c>
      <c r="G12" s="3495">
        <v>2016</v>
      </c>
      <c r="H12" s="3496">
        <v>0.29599999999999999</v>
      </c>
      <c r="I12" s="3496">
        <v>1.4710000000000001</v>
      </c>
      <c r="J12" s="3496">
        <f>写字楼!T38</f>
        <v>5.33E-2</v>
      </c>
      <c r="K12" s="3495">
        <f>写字楼!S38</f>
        <v>364</v>
      </c>
    </row>
    <row r="13" spans="1:13">
      <c r="A13" s="3478">
        <v>2017</v>
      </c>
      <c r="B13" s="3485">
        <v>-0.63400000000000001</v>
      </c>
      <c r="C13" s="3485">
        <v>-0.44800000000000001</v>
      </c>
      <c r="D13" s="3493">
        <f>[7]商业!AB15</f>
        <v>6.7000000000000004E-2</v>
      </c>
      <c r="E13" s="3494">
        <f>[7]商业!AA15</f>
        <v>941.4</v>
      </c>
      <c r="F13" s="3491">
        <f t="shared" si="0"/>
        <v>3.0700000000000002E-2</v>
      </c>
      <c r="G13" s="3495">
        <v>2017</v>
      </c>
      <c r="H13" s="3496">
        <v>-0.59899999999999998</v>
      </c>
      <c r="I13" s="3496">
        <v>-0.70199999999999996</v>
      </c>
      <c r="J13" s="3496">
        <f>写字楼!T42</f>
        <v>6.4299999999999996E-2</v>
      </c>
      <c r="K13" s="3495">
        <f>写字楼!S42</f>
        <v>368</v>
      </c>
    </row>
    <row r="14" spans="1:13">
      <c r="A14" s="3478">
        <v>2018</v>
      </c>
      <c r="B14" s="3482"/>
      <c r="C14" s="3482"/>
      <c r="D14" s="3493">
        <f>[7]商业!AB19</f>
        <v>6.7000000000000004E-2</v>
      </c>
      <c r="E14" s="3494">
        <f>[7]商业!AA19</f>
        <v>943.5</v>
      </c>
      <c r="F14" s="3491">
        <f t="shared" si="0"/>
        <v>2.2000000000000001E-3</v>
      </c>
      <c r="G14" s="3495">
        <v>2018</v>
      </c>
      <c r="H14" s="3496"/>
      <c r="I14" s="3496"/>
      <c r="J14" s="3496">
        <f>写字楼!T46</f>
        <v>6.1100000000000002E-2</v>
      </c>
      <c r="K14" s="3495">
        <f>写字楼!S46</f>
        <v>380</v>
      </c>
    </row>
    <row r="15" spans="1:13">
      <c r="A15" s="3478">
        <v>2019</v>
      </c>
      <c r="B15" s="3482"/>
      <c r="C15" s="3482"/>
      <c r="D15" s="3493">
        <f>[7]商业!AB23</f>
        <v>6.7000000000000004E-2</v>
      </c>
      <c r="E15" s="3494">
        <f>[7]商业!AA23</f>
        <v>948.2</v>
      </c>
      <c r="F15" s="3491">
        <f t="shared" si="0"/>
        <v>5.0000000000000001E-3</v>
      </c>
      <c r="G15" s="3495">
        <v>2019</v>
      </c>
      <c r="H15" s="3496"/>
      <c r="I15" s="3496"/>
      <c r="J15" s="3496">
        <f>写字楼!T50</f>
        <v>9.0800000000000006E-2</v>
      </c>
      <c r="K15" s="3495">
        <f>写字楼!S50</f>
        <v>379</v>
      </c>
    </row>
    <row r="16" spans="1:13">
      <c r="A16" s="3478">
        <v>2020</v>
      </c>
      <c r="B16" s="3482"/>
      <c r="C16" s="3482"/>
      <c r="D16" s="3493">
        <f>[7]商业!AB27</f>
        <v>0.08</v>
      </c>
      <c r="E16" s="3494">
        <f>[7]商业!AA27</f>
        <v>866.2</v>
      </c>
      <c r="F16" s="3491">
        <f t="shared" si="0"/>
        <v>-8.6499999999999994E-2</v>
      </c>
      <c r="G16" s="3495">
        <v>2020</v>
      </c>
      <c r="H16" s="3496"/>
      <c r="I16" s="3496"/>
      <c r="J16" s="3496">
        <f>写字楼!T54</f>
        <v>0.14649999999999999</v>
      </c>
      <c r="K16" s="3495">
        <f>写字楼!S54</f>
        <v>356</v>
      </c>
    </row>
    <row r="17" spans="1:12">
      <c r="A17" s="3478">
        <v>2021</v>
      </c>
      <c r="B17" s="3482"/>
      <c r="C17" s="3482"/>
      <c r="D17" s="3497">
        <f>[7]商业!I31</f>
        <v>0.1</v>
      </c>
      <c r="E17" s="3498">
        <f>[7]商业!H31</f>
        <v>2400</v>
      </c>
      <c r="F17" s="3491">
        <f t="shared" si="0"/>
        <v>1.7706999999999999</v>
      </c>
      <c r="G17" s="3495">
        <v>2021</v>
      </c>
      <c r="H17" s="3496"/>
      <c r="I17" s="3496"/>
      <c r="J17" s="3496">
        <f>写字楼!T58</f>
        <v>0.15609999999999999</v>
      </c>
      <c r="K17" s="3495">
        <f>写字楼!S58</f>
        <v>336</v>
      </c>
    </row>
    <row r="18" spans="1:12">
      <c r="A18" s="3478">
        <v>2022</v>
      </c>
      <c r="B18" s="3482"/>
      <c r="C18" s="3482"/>
      <c r="D18" s="3497">
        <f>[7]商业!I35</f>
        <v>9.9000000000000005E-2</v>
      </c>
      <c r="E18" s="3498">
        <f>[7]商业!H35</f>
        <v>2312.5</v>
      </c>
      <c r="F18" s="3491">
        <f t="shared" si="0"/>
        <v>-3.6499999999999998E-2</v>
      </c>
      <c r="G18" s="3495">
        <v>2022</v>
      </c>
      <c r="H18" s="3496"/>
      <c r="I18" s="3496"/>
      <c r="J18" s="3496">
        <f>写字楼!T62</f>
        <v>0.23089999999999999</v>
      </c>
      <c r="K18" s="3495">
        <f>写字楼!S62</f>
        <v>495</v>
      </c>
    </row>
    <row r="21" spans="1:12">
      <c r="E21" s="3458"/>
      <c r="F21" s="3428" t="s">
        <v>3432</v>
      </c>
      <c r="K21" s="3467"/>
      <c r="L21" s="3428" t="s">
        <v>3432</v>
      </c>
    </row>
    <row r="22" spans="1:12">
      <c r="L22" s="3428"/>
    </row>
    <row r="23" spans="1:12">
      <c r="E23" s="3499"/>
      <c r="F23" s="3428" t="s">
        <v>3433</v>
      </c>
      <c r="K23" s="3500"/>
      <c r="L23" s="3428" t="s">
        <v>3434</v>
      </c>
    </row>
    <row r="25" spans="1:12">
      <c r="E25" s="3501"/>
      <c r="F25" s="3428" t="s">
        <v>3435</v>
      </c>
    </row>
    <row r="39" spans="2:4">
      <c r="B39" s="3428" t="s">
        <v>3436</v>
      </c>
      <c r="C39" s="3428" t="s">
        <v>3437</v>
      </c>
      <c r="D39" s="3428" t="s">
        <v>3438</v>
      </c>
    </row>
    <row r="40" spans="2:4">
      <c r="B40" s="3428">
        <v>2007</v>
      </c>
    </row>
    <row r="41" spans="2:4">
      <c r="B41" s="3428">
        <v>2008</v>
      </c>
    </row>
    <row r="42" spans="2:4">
      <c r="B42" s="3428">
        <v>2009</v>
      </c>
    </row>
    <row r="43" spans="2:4">
      <c r="B43" s="3428">
        <v>2010</v>
      </c>
    </row>
    <row r="44" spans="2:4">
      <c r="B44" s="3428">
        <v>2011</v>
      </c>
      <c r="D44" s="3429">
        <f>F7</f>
        <v>0.24909999999999999</v>
      </c>
    </row>
    <row r="45" spans="2:4">
      <c r="B45" s="3428">
        <v>2012</v>
      </c>
      <c r="D45" s="3429">
        <f t="shared" ref="D45:D55" si="1">F8</f>
        <v>8.48E-2</v>
      </c>
    </row>
    <row r="46" spans="2:4">
      <c r="B46" s="3428">
        <v>2013</v>
      </c>
      <c r="D46" s="3429">
        <f t="shared" si="1"/>
        <v>9.0499999999999997E-2</v>
      </c>
    </row>
    <row r="47" spans="2:4">
      <c r="B47" s="3428">
        <v>2014</v>
      </c>
      <c r="D47" s="3429">
        <f t="shared" si="1"/>
        <v>5.91E-2</v>
      </c>
    </row>
    <row r="48" spans="2:4">
      <c r="B48" s="3428">
        <v>2015</v>
      </c>
      <c r="D48" s="3429">
        <f t="shared" si="1"/>
        <v>2.1399999999999999E-2</v>
      </c>
    </row>
    <row r="49" spans="2:4">
      <c r="B49" s="3428">
        <v>2016</v>
      </c>
      <c r="D49" s="3429">
        <f t="shared" si="1"/>
        <v>6.2100000000000002E-2</v>
      </c>
    </row>
    <row r="50" spans="2:4">
      <c r="B50" s="3428">
        <v>2017</v>
      </c>
      <c r="D50" s="3429">
        <f t="shared" si="1"/>
        <v>3.0700000000000002E-2</v>
      </c>
    </row>
    <row r="51" spans="2:4">
      <c r="B51" s="3428">
        <v>2018</v>
      </c>
      <c r="D51" s="3429">
        <f t="shared" si="1"/>
        <v>2.2000000000000001E-3</v>
      </c>
    </row>
    <row r="52" spans="2:4">
      <c r="B52" s="3428">
        <v>2019</v>
      </c>
      <c r="D52" s="3429">
        <f t="shared" si="1"/>
        <v>5.0000000000000001E-3</v>
      </c>
    </row>
    <row r="53" spans="2:4">
      <c r="B53" s="3428">
        <v>2020</v>
      </c>
      <c r="D53" s="3429">
        <f t="shared" si="1"/>
        <v>-8.6499999999999994E-2</v>
      </c>
    </row>
    <row r="54" spans="2:4">
      <c r="B54" s="3428">
        <v>2021</v>
      </c>
      <c r="D54" s="3429">
        <f t="shared" si="1"/>
        <v>1.7706999999999999</v>
      </c>
    </row>
    <row r="55" spans="2:4">
      <c r="B55" s="3428">
        <v>2022</v>
      </c>
      <c r="C55" s="3428">
        <f>'[8]比较法-租金（1层）2022'!$C$49</f>
        <v>12.2</v>
      </c>
      <c r="D55" s="3429">
        <f t="shared" si="1"/>
        <v>-3.6499999999999998E-2</v>
      </c>
    </row>
    <row r="61" spans="2:4">
      <c r="B61" s="3478">
        <v>2010</v>
      </c>
      <c r="C61" s="3486">
        <v>538</v>
      </c>
    </row>
    <row r="62" spans="2:4">
      <c r="B62" s="3478">
        <v>2011</v>
      </c>
      <c r="C62" s="3486">
        <v>672</v>
      </c>
    </row>
    <row r="63" spans="2:4">
      <c r="B63" s="3478">
        <v>2012</v>
      </c>
      <c r="C63" s="3486">
        <v>729</v>
      </c>
    </row>
    <row r="64" spans="2:4">
      <c r="B64" s="3478">
        <v>2013</v>
      </c>
      <c r="C64" s="3486">
        <v>795</v>
      </c>
    </row>
    <row r="65" spans="2:3">
      <c r="B65" s="3478">
        <v>2014</v>
      </c>
      <c r="C65" s="3486">
        <v>842</v>
      </c>
    </row>
    <row r="66" spans="2:3">
      <c r="B66" s="3478">
        <v>2015</v>
      </c>
      <c r="C66" s="3486">
        <v>860</v>
      </c>
    </row>
    <row r="67" spans="2:3">
      <c r="B67" s="3478">
        <v>2016</v>
      </c>
      <c r="C67" s="3494">
        <v>913.4</v>
      </c>
    </row>
    <row r="68" spans="2:3">
      <c r="B68" s="3478">
        <v>2017</v>
      </c>
      <c r="C68" s="3494">
        <v>941.4</v>
      </c>
    </row>
    <row r="69" spans="2:3">
      <c r="B69" s="3478">
        <v>2018</v>
      </c>
      <c r="C69" s="3494">
        <v>943.5</v>
      </c>
    </row>
    <row r="70" spans="2:3">
      <c r="B70" s="3478">
        <v>2019</v>
      </c>
      <c r="C70" s="3494">
        <v>948.2</v>
      </c>
    </row>
    <row r="71" spans="2:3">
      <c r="B71" s="3478">
        <v>2020</v>
      </c>
      <c r="C71" s="3494">
        <v>866.2</v>
      </c>
    </row>
  </sheetData>
  <mergeCells count="2">
    <mergeCell ref="A1:E1"/>
    <mergeCell ref="G1:K1"/>
  </mergeCells>
  <phoneticPr fontId="147" type="noConversion"/>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6"/>
  <dimension ref="A1:F344"/>
  <sheetViews>
    <sheetView workbookViewId="0">
      <selection activeCell="H13" sqref="H13"/>
    </sheetView>
  </sheetViews>
  <sheetFormatPr defaultColWidth="8.875" defaultRowHeight="14.25"/>
  <cols>
    <col min="1" max="1" width="12.625" style="741" customWidth="1"/>
    <col min="2" max="2" width="10.125" style="674" customWidth="1"/>
  </cols>
  <sheetData>
    <row r="1" spans="1:6">
      <c r="A1" s="4900" t="s">
        <v>779</v>
      </c>
      <c r="B1" s="4900"/>
    </row>
    <row r="2" spans="1:6" ht="15" thickBot="1">
      <c r="A2" s="841"/>
      <c r="B2" s="841"/>
    </row>
    <row r="3" spans="1:6" ht="15" thickBot="1">
      <c r="A3" s="841"/>
      <c r="B3" s="841"/>
      <c r="C3" s="842" t="s">
        <v>780</v>
      </c>
      <c r="D3" s="842" t="s">
        <v>781</v>
      </c>
      <c r="E3" s="842" t="s">
        <v>782</v>
      </c>
      <c r="F3" s="842" t="s">
        <v>783</v>
      </c>
    </row>
    <row r="4" spans="1:6" ht="15" thickBot="1">
      <c r="A4" s="843" t="s">
        <v>784</v>
      </c>
      <c r="B4" s="844" t="s">
        <v>785</v>
      </c>
      <c r="C4" s="842"/>
      <c r="D4" s="842"/>
      <c r="E4" s="842"/>
      <c r="F4" s="842"/>
    </row>
    <row r="5" spans="1:6" ht="15" thickBot="1">
      <c r="A5" s="717" t="s">
        <v>786</v>
      </c>
      <c r="B5" s="718" t="s">
        <v>787</v>
      </c>
      <c r="C5" s="845">
        <v>8.8999999999999996E-2</v>
      </c>
      <c r="D5" s="845">
        <v>7.3999999999999996E-2</v>
      </c>
      <c r="E5" s="845">
        <v>7.4999999999999997E-2</v>
      </c>
      <c r="F5" s="846">
        <v>0.1</v>
      </c>
    </row>
    <row r="6" spans="1:6" ht="15" thickBot="1">
      <c r="A6" s="717" t="s">
        <v>161</v>
      </c>
      <c r="B6" s="711" t="s">
        <v>788</v>
      </c>
      <c r="C6" s="847">
        <v>0.1</v>
      </c>
      <c r="D6" s="847">
        <v>9.0999999999999998E-2</v>
      </c>
      <c r="E6" s="847">
        <v>9.0999999999999998E-2</v>
      </c>
      <c r="F6" s="848">
        <v>0.1</v>
      </c>
    </row>
    <row r="7" spans="1:6" ht="15" thickBot="1">
      <c r="A7" s="717" t="s">
        <v>161</v>
      </c>
      <c r="B7" s="725" t="s">
        <v>150</v>
      </c>
      <c r="C7" s="847">
        <v>8.5999999999999993E-2</v>
      </c>
      <c r="D7" s="847">
        <v>9.6000000000000002E-2</v>
      </c>
      <c r="E7" s="847">
        <v>7.5999999999999998E-2</v>
      </c>
      <c r="F7" s="848">
        <v>0.1</v>
      </c>
    </row>
    <row r="8" spans="1:6" ht="15" thickBot="1">
      <c r="A8" s="717" t="s">
        <v>161</v>
      </c>
      <c r="B8" s="711" t="s">
        <v>162</v>
      </c>
      <c r="C8" s="847">
        <v>9.9000000000000005E-2</v>
      </c>
      <c r="D8" s="847">
        <v>9.8000000000000004E-2</v>
      </c>
      <c r="E8" s="847">
        <v>9.8000000000000004E-2</v>
      </c>
      <c r="F8" s="848">
        <v>0.1</v>
      </c>
    </row>
    <row r="9" spans="1:6" ht="15" thickBot="1">
      <c r="A9" s="734" t="s">
        <v>161</v>
      </c>
      <c r="B9" s="726" t="s">
        <v>174</v>
      </c>
      <c r="C9" s="849">
        <v>0.05</v>
      </c>
      <c r="D9" s="850"/>
      <c r="E9" s="850"/>
      <c r="F9" s="851"/>
    </row>
    <row r="10" spans="1:6" ht="15" thickBot="1">
      <c r="A10" s="717" t="s">
        <v>221</v>
      </c>
      <c r="B10" s="718" t="s">
        <v>789</v>
      </c>
      <c r="C10" s="845">
        <v>8.8999999999999996E-2</v>
      </c>
      <c r="D10" s="845">
        <v>7.2999999999999995E-2</v>
      </c>
      <c r="E10" s="845">
        <v>8.2000000000000003E-2</v>
      </c>
      <c r="F10" s="846">
        <v>0.1</v>
      </c>
    </row>
    <row r="11" spans="1:6" ht="15" thickBot="1">
      <c r="A11" s="717" t="s">
        <v>221</v>
      </c>
      <c r="B11" s="725" t="s">
        <v>137</v>
      </c>
      <c r="C11" s="847">
        <v>8.8999999999999996E-2</v>
      </c>
      <c r="D11" s="847">
        <v>7.2999999999999995E-2</v>
      </c>
      <c r="E11" s="847">
        <v>8.2000000000000003E-2</v>
      </c>
      <c r="F11" s="848">
        <v>0.1</v>
      </c>
    </row>
    <row r="12" spans="1:6" ht="15" thickBot="1">
      <c r="A12" s="717" t="s">
        <v>221</v>
      </c>
      <c r="B12" s="725" t="s">
        <v>88</v>
      </c>
      <c r="C12" s="847">
        <v>6.0999999999999999E-2</v>
      </c>
      <c r="D12" s="847">
        <v>7.0999999999999994E-2</v>
      </c>
      <c r="E12" s="847">
        <v>9.6000000000000002E-2</v>
      </c>
      <c r="F12" s="848">
        <v>0.1</v>
      </c>
    </row>
    <row r="13" spans="1:6" ht="15" thickBot="1">
      <c r="A13" s="717" t="s">
        <v>221</v>
      </c>
      <c r="B13" s="725" t="s">
        <v>163</v>
      </c>
      <c r="C13" s="847">
        <v>6.9000000000000006E-2</v>
      </c>
      <c r="D13" s="847">
        <v>6.5000000000000002E-2</v>
      </c>
      <c r="E13" s="847">
        <v>6.6000000000000003E-2</v>
      </c>
      <c r="F13" s="848">
        <v>0.1</v>
      </c>
    </row>
    <row r="14" spans="1:6" ht="15" thickBot="1">
      <c r="A14" s="717" t="s">
        <v>221</v>
      </c>
      <c r="B14" s="725" t="s">
        <v>175</v>
      </c>
      <c r="C14" s="847">
        <v>0.1</v>
      </c>
      <c r="D14" s="847">
        <v>6.5000000000000002E-2</v>
      </c>
      <c r="E14" s="847">
        <v>7.0000000000000007E-2</v>
      </c>
      <c r="F14" s="848">
        <v>0.1</v>
      </c>
    </row>
    <row r="15" spans="1:6" ht="15" thickBot="1">
      <c r="A15" s="717" t="s">
        <v>221</v>
      </c>
      <c r="B15" s="725" t="s">
        <v>187</v>
      </c>
      <c r="C15" s="847">
        <v>9.8000000000000004E-2</v>
      </c>
      <c r="D15" s="847">
        <v>8.8999999999999996E-2</v>
      </c>
      <c r="E15" s="847">
        <v>8.8999999999999996E-2</v>
      </c>
      <c r="F15" s="848">
        <v>0.1</v>
      </c>
    </row>
    <row r="16" spans="1:6" ht="15" thickBot="1">
      <c r="A16" s="717" t="s">
        <v>221</v>
      </c>
      <c r="B16" s="725" t="s">
        <v>199</v>
      </c>
      <c r="C16" s="847">
        <v>7.0000000000000007E-2</v>
      </c>
      <c r="D16" s="847">
        <v>9.2999999999999999E-2</v>
      </c>
      <c r="E16" s="847">
        <v>9.6000000000000002E-2</v>
      </c>
      <c r="F16" s="848">
        <v>0.1</v>
      </c>
    </row>
    <row r="17" spans="1:6" ht="15" thickBot="1">
      <c r="A17" s="717" t="s">
        <v>221</v>
      </c>
      <c r="B17" s="725" t="s">
        <v>211</v>
      </c>
      <c r="C17" s="847">
        <v>9.5000000000000001E-2</v>
      </c>
      <c r="D17" s="847">
        <v>0.1</v>
      </c>
      <c r="E17" s="847">
        <v>0.1</v>
      </c>
      <c r="F17" s="852"/>
    </row>
    <row r="18" spans="1:6" ht="15" thickBot="1">
      <c r="A18" s="717" t="s">
        <v>221</v>
      </c>
      <c r="B18" s="725" t="s">
        <v>224</v>
      </c>
      <c r="C18" s="847">
        <v>7.3999999999999996E-2</v>
      </c>
      <c r="D18" s="847">
        <v>9.9000000000000005E-2</v>
      </c>
      <c r="E18" s="847">
        <v>0.1</v>
      </c>
      <c r="F18" s="852"/>
    </row>
    <row r="19" spans="1:6" ht="15" thickBot="1">
      <c r="A19" s="717" t="s">
        <v>221</v>
      </c>
      <c r="B19" s="725" t="s">
        <v>235</v>
      </c>
      <c r="C19" s="847">
        <v>9.9000000000000005E-2</v>
      </c>
      <c r="D19" s="847">
        <v>7.5999999999999998E-2</v>
      </c>
      <c r="E19" s="847">
        <v>8.6999999999999994E-2</v>
      </c>
      <c r="F19" s="852"/>
    </row>
    <row r="20" spans="1:6" ht="15" thickBot="1">
      <c r="A20" s="717" t="s">
        <v>221</v>
      </c>
      <c r="B20" s="725" t="s">
        <v>246</v>
      </c>
      <c r="C20" s="847">
        <v>9.8000000000000004E-2</v>
      </c>
      <c r="D20" s="847">
        <v>8.5000000000000006E-2</v>
      </c>
      <c r="E20" s="847">
        <v>8.2000000000000003E-2</v>
      </c>
      <c r="F20" s="852"/>
    </row>
    <row r="21" spans="1:6" ht="15" thickBot="1">
      <c r="A21" s="717" t="s">
        <v>221</v>
      </c>
      <c r="B21" s="725" t="s">
        <v>257</v>
      </c>
      <c r="C21" s="847">
        <v>6.6000000000000003E-2</v>
      </c>
      <c r="D21" s="847">
        <v>6.4000000000000001E-2</v>
      </c>
      <c r="E21" s="847">
        <v>6.5000000000000002E-2</v>
      </c>
      <c r="F21" s="852"/>
    </row>
    <row r="22" spans="1:6" ht="15" thickBot="1">
      <c r="A22" s="717" t="s">
        <v>221</v>
      </c>
      <c r="B22" s="725" t="s">
        <v>790</v>
      </c>
      <c r="C22" s="847">
        <v>0.08</v>
      </c>
      <c r="D22" s="847">
        <v>9.8000000000000004E-2</v>
      </c>
      <c r="E22" s="847">
        <v>9.8000000000000004E-2</v>
      </c>
      <c r="F22" s="852"/>
    </row>
    <row r="23" spans="1:6" ht="15" thickBot="1">
      <c r="A23" s="717" t="s">
        <v>221</v>
      </c>
      <c r="B23" s="725" t="s">
        <v>279</v>
      </c>
      <c r="C23" s="847">
        <v>9.9000000000000005E-2</v>
      </c>
      <c r="D23" s="847">
        <v>9.8000000000000004E-2</v>
      </c>
      <c r="E23" s="847">
        <v>9.0999999999999998E-2</v>
      </c>
      <c r="F23" s="852"/>
    </row>
    <row r="24" spans="1:6" ht="15" thickBot="1">
      <c r="A24" s="717" t="s">
        <v>221</v>
      </c>
      <c r="B24" s="725" t="s">
        <v>290</v>
      </c>
      <c r="C24" s="847">
        <v>8.8999999999999996E-2</v>
      </c>
      <c r="D24" s="847">
        <v>9.7000000000000003E-2</v>
      </c>
      <c r="E24" s="847">
        <v>7.0000000000000007E-2</v>
      </c>
      <c r="F24" s="852"/>
    </row>
    <row r="25" spans="1:6" ht="15" thickBot="1">
      <c r="A25" s="717" t="s">
        <v>221</v>
      </c>
      <c r="B25" s="725" t="s">
        <v>300</v>
      </c>
      <c r="C25" s="847">
        <v>8.8999999999999996E-2</v>
      </c>
      <c r="D25" s="847">
        <v>0.1</v>
      </c>
      <c r="E25" s="847">
        <v>8.1000000000000003E-2</v>
      </c>
      <c r="F25" s="852"/>
    </row>
    <row r="26" spans="1:6" ht="15" thickBot="1">
      <c r="A26" s="717" t="s">
        <v>221</v>
      </c>
      <c r="B26" s="725" t="s">
        <v>310</v>
      </c>
      <c r="C26" s="853"/>
      <c r="D26" s="847">
        <v>9.6000000000000002E-2</v>
      </c>
      <c r="E26" s="847">
        <v>9.2999999999999999E-2</v>
      </c>
      <c r="F26" s="852"/>
    </row>
    <row r="27" spans="1:6" ht="15" thickBot="1">
      <c r="A27" s="717" t="s">
        <v>221</v>
      </c>
      <c r="B27" s="725" t="s">
        <v>320</v>
      </c>
      <c r="C27" s="853"/>
      <c r="D27" s="847">
        <v>7.5999999999999998E-2</v>
      </c>
      <c r="E27" s="847">
        <v>9.1999999999999998E-2</v>
      </c>
      <c r="F27" s="852"/>
    </row>
    <row r="28" spans="1:6" ht="15" thickBot="1">
      <c r="A28" s="734" t="s">
        <v>221</v>
      </c>
      <c r="B28" s="726" t="s">
        <v>330</v>
      </c>
      <c r="C28" s="850"/>
      <c r="D28" s="849">
        <v>7.5999999999999998E-2</v>
      </c>
      <c r="E28" s="849">
        <v>9.1999999999999998E-2</v>
      </c>
      <c r="F28" s="851"/>
    </row>
    <row r="29" spans="1:6" ht="15" thickBot="1">
      <c r="A29" s="717" t="s">
        <v>399</v>
      </c>
      <c r="B29" s="718" t="s">
        <v>791</v>
      </c>
      <c r="C29" s="845">
        <v>6.4000000000000001E-2</v>
      </c>
      <c r="D29" s="845">
        <v>6.5000000000000002E-2</v>
      </c>
      <c r="E29" s="845">
        <v>6.9000000000000006E-2</v>
      </c>
      <c r="F29" s="846">
        <v>0.1</v>
      </c>
    </row>
    <row r="30" spans="1:6" ht="15" thickBot="1">
      <c r="A30" s="717" t="s">
        <v>399</v>
      </c>
      <c r="B30" s="725" t="s">
        <v>138</v>
      </c>
      <c r="C30" s="847">
        <v>6.4000000000000001E-2</v>
      </c>
      <c r="D30" s="847">
        <v>9.9000000000000005E-2</v>
      </c>
      <c r="E30" s="847">
        <v>0.1</v>
      </c>
      <c r="F30" s="848">
        <v>0.1</v>
      </c>
    </row>
    <row r="31" spans="1:6" ht="15" thickBot="1">
      <c r="A31" s="717" t="s">
        <v>399</v>
      </c>
      <c r="B31" s="725" t="s">
        <v>151</v>
      </c>
      <c r="C31" s="847">
        <v>0.1</v>
      </c>
      <c r="D31" s="847">
        <v>9.5000000000000001E-2</v>
      </c>
      <c r="E31" s="847">
        <v>8.8999999999999996E-2</v>
      </c>
      <c r="F31" s="848">
        <v>0.1</v>
      </c>
    </row>
    <row r="32" spans="1:6" ht="15" thickBot="1">
      <c r="A32" s="717" t="s">
        <v>399</v>
      </c>
      <c r="B32" s="725" t="s">
        <v>164</v>
      </c>
      <c r="C32" s="847">
        <v>0.05</v>
      </c>
      <c r="D32" s="847">
        <v>0.05</v>
      </c>
      <c r="E32" s="847">
        <v>8.7999999999999995E-2</v>
      </c>
      <c r="F32" s="848">
        <v>0.1</v>
      </c>
    </row>
    <row r="33" spans="1:6" ht="15" thickBot="1">
      <c r="A33" s="717" t="s">
        <v>399</v>
      </c>
      <c r="B33" s="725" t="s">
        <v>176</v>
      </c>
      <c r="C33" s="847">
        <v>7.4999999999999997E-2</v>
      </c>
      <c r="D33" s="847">
        <v>9.4E-2</v>
      </c>
      <c r="E33" s="847">
        <v>9.7000000000000003E-2</v>
      </c>
      <c r="F33" s="848">
        <v>0.1</v>
      </c>
    </row>
    <row r="34" spans="1:6" ht="15" thickBot="1">
      <c r="A34" s="717" t="s">
        <v>399</v>
      </c>
      <c r="B34" s="725" t="s">
        <v>188</v>
      </c>
      <c r="C34" s="847">
        <v>9.8000000000000004E-2</v>
      </c>
      <c r="D34" s="847">
        <v>8.5999999999999993E-2</v>
      </c>
      <c r="E34" s="847">
        <v>9.7000000000000003E-2</v>
      </c>
      <c r="F34" s="848">
        <v>0.1</v>
      </c>
    </row>
    <row r="35" spans="1:6" ht="15" thickBot="1">
      <c r="A35" s="717" t="s">
        <v>399</v>
      </c>
      <c r="B35" s="725" t="s">
        <v>200</v>
      </c>
      <c r="C35" s="847">
        <v>5.8999999999999997E-2</v>
      </c>
      <c r="D35" s="847">
        <v>6.5000000000000002E-2</v>
      </c>
      <c r="E35" s="847">
        <v>7.0000000000000007E-2</v>
      </c>
      <c r="F35" s="848">
        <v>0.1</v>
      </c>
    </row>
    <row r="36" spans="1:6" ht="15" thickBot="1">
      <c r="A36" s="717" t="s">
        <v>399</v>
      </c>
      <c r="B36" s="725" t="s">
        <v>212</v>
      </c>
      <c r="C36" s="847">
        <v>6.3E-2</v>
      </c>
      <c r="D36" s="847">
        <v>0.1</v>
      </c>
      <c r="E36" s="847">
        <v>0.1</v>
      </c>
      <c r="F36" s="848">
        <v>0.1</v>
      </c>
    </row>
    <row r="37" spans="1:6" ht="15" thickBot="1">
      <c r="A37" s="717" t="s">
        <v>399</v>
      </c>
      <c r="B37" s="725" t="s">
        <v>225</v>
      </c>
      <c r="C37" s="847">
        <v>7.3999999999999996E-2</v>
      </c>
      <c r="D37" s="847">
        <v>0.1</v>
      </c>
      <c r="E37" s="847">
        <v>0.1</v>
      </c>
      <c r="F37" s="848">
        <v>0.1</v>
      </c>
    </row>
    <row r="38" spans="1:6" ht="15" thickBot="1">
      <c r="A38" s="717" t="s">
        <v>399</v>
      </c>
      <c r="B38" s="725" t="s">
        <v>236</v>
      </c>
      <c r="C38" s="847">
        <v>0.1</v>
      </c>
      <c r="D38" s="847">
        <v>9.6000000000000002E-2</v>
      </c>
      <c r="E38" s="847">
        <v>9.6000000000000002E-2</v>
      </c>
      <c r="F38" s="852"/>
    </row>
    <row r="39" spans="1:6" ht="15" thickBot="1">
      <c r="A39" s="717" t="s">
        <v>399</v>
      </c>
      <c r="B39" s="725" t="s">
        <v>247</v>
      </c>
      <c r="C39" s="847">
        <v>0.1</v>
      </c>
      <c r="D39" s="847">
        <v>9.6000000000000002E-2</v>
      </c>
      <c r="E39" s="847">
        <v>9.6000000000000002E-2</v>
      </c>
      <c r="F39" s="852"/>
    </row>
    <row r="40" spans="1:6" ht="15" thickBot="1">
      <c r="A40" s="717" t="s">
        <v>399</v>
      </c>
      <c r="B40" s="725" t="s">
        <v>258</v>
      </c>
      <c r="C40" s="847">
        <v>9.6000000000000002E-2</v>
      </c>
      <c r="D40" s="847">
        <v>0.1</v>
      </c>
      <c r="E40" s="847">
        <v>9.9000000000000005E-2</v>
      </c>
      <c r="F40" s="852"/>
    </row>
    <row r="41" spans="1:6" ht="15" thickBot="1">
      <c r="A41" s="717" t="s">
        <v>399</v>
      </c>
      <c r="B41" s="725" t="s">
        <v>269</v>
      </c>
      <c r="C41" s="847">
        <v>9.6000000000000002E-2</v>
      </c>
      <c r="D41" s="847">
        <v>9.8000000000000004E-2</v>
      </c>
      <c r="E41" s="847">
        <v>9.8000000000000004E-2</v>
      </c>
      <c r="F41" s="852"/>
    </row>
    <row r="42" spans="1:6" ht="15" thickBot="1">
      <c r="A42" s="717" t="s">
        <v>399</v>
      </c>
      <c r="B42" s="725" t="s">
        <v>280</v>
      </c>
      <c r="C42" s="847">
        <v>0.1</v>
      </c>
      <c r="D42" s="847">
        <v>8.7999999999999995E-2</v>
      </c>
      <c r="E42" s="847">
        <v>0.1</v>
      </c>
      <c r="F42" s="852"/>
    </row>
    <row r="43" spans="1:6" ht="15" thickBot="1">
      <c r="A43" s="717" t="s">
        <v>399</v>
      </c>
      <c r="B43" s="725" t="s">
        <v>291</v>
      </c>
      <c r="C43" s="847">
        <v>9.8000000000000004E-2</v>
      </c>
      <c r="D43" s="847">
        <v>9.7000000000000003E-2</v>
      </c>
      <c r="E43" s="847">
        <v>9.6000000000000002E-2</v>
      </c>
      <c r="F43" s="852"/>
    </row>
    <row r="44" spans="1:6" ht="15" thickBot="1">
      <c r="A44" s="717" t="s">
        <v>399</v>
      </c>
      <c r="B44" s="725" t="s">
        <v>301</v>
      </c>
      <c r="C44" s="847">
        <v>8.5999999999999993E-2</v>
      </c>
      <c r="D44" s="847">
        <v>7.9000000000000001E-2</v>
      </c>
      <c r="E44" s="847">
        <v>7.0999999999999994E-2</v>
      </c>
      <c r="F44" s="852"/>
    </row>
    <row r="45" spans="1:6" ht="15" thickBot="1">
      <c r="A45" s="717" t="s">
        <v>399</v>
      </c>
      <c r="B45" s="725" t="s">
        <v>311</v>
      </c>
      <c r="C45" s="847">
        <v>9.8000000000000004E-2</v>
      </c>
      <c r="D45" s="847">
        <v>9.6000000000000002E-2</v>
      </c>
      <c r="E45" s="847">
        <v>9.6000000000000002E-2</v>
      </c>
      <c r="F45" s="852"/>
    </row>
    <row r="46" spans="1:6" ht="15" thickBot="1">
      <c r="A46" s="717" t="s">
        <v>399</v>
      </c>
      <c r="B46" s="725" t="s">
        <v>321</v>
      </c>
      <c r="C46" s="847">
        <v>8.5999999999999993E-2</v>
      </c>
      <c r="D46" s="847">
        <v>9.8000000000000004E-2</v>
      </c>
      <c r="E46" s="847">
        <v>8.7999999999999995E-2</v>
      </c>
      <c r="F46" s="852"/>
    </row>
    <row r="47" spans="1:6" ht="15" thickBot="1">
      <c r="A47" s="717" t="s">
        <v>399</v>
      </c>
      <c r="B47" s="725" t="s">
        <v>331</v>
      </c>
      <c r="C47" s="847">
        <v>9.6000000000000002E-2</v>
      </c>
      <c r="D47" s="853"/>
      <c r="E47" s="847">
        <v>6.9000000000000006E-2</v>
      </c>
      <c r="F47" s="852"/>
    </row>
    <row r="48" spans="1:6" ht="15" thickBot="1">
      <c r="A48" s="734" t="s">
        <v>399</v>
      </c>
      <c r="B48" s="726" t="s">
        <v>340</v>
      </c>
      <c r="C48" s="849">
        <v>9.8000000000000004E-2</v>
      </c>
      <c r="D48" s="850"/>
      <c r="E48" s="849">
        <v>9.5000000000000001E-2</v>
      </c>
      <c r="F48" s="851"/>
    </row>
    <row r="49" spans="1:6" ht="15" thickBot="1">
      <c r="A49" s="717" t="s">
        <v>87</v>
      </c>
      <c r="B49" s="718" t="s">
        <v>792</v>
      </c>
      <c r="C49" s="845">
        <v>9.7000000000000003E-2</v>
      </c>
      <c r="D49" s="845">
        <v>9.5000000000000001E-2</v>
      </c>
      <c r="E49" s="845">
        <v>9.7000000000000003E-2</v>
      </c>
      <c r="F49" s="846">
        <v>0.1</v>
      </c>
    </row>
    <row r="50" spans="1:6" ht="15" thickBot="1">
      <c r="A50" s="717" t="s">
        <v>87</v>
      </c>
      <c r="B50" s="711" t="s">
        <v>139</v>
      </c>
      <c r="C50" s="847">
        <v>7.4999999999999997E-2</v>
      </c>
      <c r="D50" s="847">
        <v>9.5000000000000001E-2</v>
      </c>
      <c r="E50" s="847">
        <v>0.1</v>
      </c>
      <c r="F50" s="848">
        <v>0.1</v>
      </c>
    </row>
    <row r="51" spans="1:6" ht="15" thickBot="1">
      <c r="A51" s="717" t="s">
        <v>87</v>
      </c>
      <c r="B51" s="711" t="s">
        <v>152</v>
      </c>
      <c r="C51" s="847">
        <v>9.8000000000000004E-2</v>
      </c>
      <c r="D51" s="847">
        <v>8.8999999999999996E-2</v>
      </c>
      <c r="E51" s="847">
        <v>0.1</v>
      </c>
      <c r="F51" s="848">
        <v>0.1</v>
      </c>
    </row>
    <row r="52" spans="1:6" ht="15" thickBot="1">
      <c r="A52" s="717" t="s">
        <v>87</v>
      </c>
      <c r="B52" s="711" t="s">
        <v>165</v>
      </c>
      <c r="C52" s="847">
        <v>9.8000000000000004E-2</v>
      </c>
      <c r="D52" s="847">
        <v>9.7000000000000003E-2</v>
      </c>
      <c r="E52" s="847">
        <v>8.1000000000000003E-2</v>
      </c>
      <c r="F52" s="848">
        <v>0.1</v>
      </c>
    </row>
    <row r="53" spans="1:6" ht="15" thickBot="1">
      <c r="A53" s="717" t="s">
        <v>87</v>
      </c>
      <c r="B53" s="711" t="s">
        <v>177</v>
      </c>
      <c r="C53" s="847">
        <v>9.7000000000000003E-2</v>
      </c>
      <c r="D53" s="847">
        <v>7.5999999999999998E-2</v>
      </c>
      <c r="E53" s="847">
        <v>7.0999999999999994E-2</v>
      </c>
      <c r="F53" s="848">
        <v>0.1</v>
      </c>
    </row>
    <row r="54" spans="1:6" ht="15" thickBot="1">
      <c r="A54" s="717" t="s">
        <v>87</v>
      </c>
      <c r="B54" s="711" t="s">
        <v>189</v>
      </c>
      <c r="C54" s="847">
        <v>7.5999999999999998E-2</v>
      </c>
      <c r="D54" s="847">
        <v>0.1</v>
      </c>
      <c r="E54" s="847">
        <v>9.9000000000000005E-2</v>
      </c>
      <c r="F54" s="848">
        <v>0.1</v>
      </c>
    </row>
    <row r="55" spans="1:6" ht="15" thickBot="1">
      <c r="A55" s="717" t="s">
        <v>87</v>
      </c>
      <c r="B55" s="711" t="s">
        <v>201</v>
      </c>
      <c r="C55" s="847">
        <v>0.1</v>
      </c>
      <c r="D55" s="847">
        <v>0.1</v>
      </c>
      <c r="E55" s="847">
        <v>9.6000000000000002E-2</v>
      </c>
      <c r="F55" s="848">
        <v>0.1</v>
      </c>
    </row>
    <row r="56" spans="1:6" ht="15" thickBot="1">
      <c r="A56" s="717" t="s">
        <v>87</v>
      </c>
      <c r="B56" s="711" t="s">
        <v>213</v>
      </c>
      <c r="C56" s="847">
        <v>0.1</v>
      </c>
      <c r="D56" s="847">
        <v>9.6000000000000002E-2</v>
      </c>
      <c r="E56" s="847">
        <v>5.1999999999999998E-2</v>
      </c>
      <c r="F56" s="848">
        <v>0.1</v>
      </c>
    </row>
    <row r="57" spans="1:6" ht="15" thickBot="1">
      <c r="A57" s="717" t="s">
        <v>87</v>
      </c>
      <c r="B57" s="711" t="s">
        <v>226</v>
      </c>
      <c r="C57" s="847">
        <v>9.7000000000000003E-2</v>
      </c>
      <c r="D57" s="847">
        <v>9.6000000000000002E-2</v>
      </c>
      <c r="E57" s="847">
        <v>9.6000000000000002E-2</v>
      </c>
      <c r="F57" s="848">
        <v>0.1</v>
      </c>
    </row>
    <row r="58" spans="1:6" ht="15" thickBot="1">
      <c r="A58" s="717" t="s">
        <v>87</v>
      </c>
      <c r="B58" s="711" t="s">
        <v>237</v>
      </c>
      <c r="C58" s="847">
        <v>9.6000000000000002E-2</v>
      </c>
      <c r="D58" s="847">
        <v>9.9000000000000005E-2</v>
      </c>
      <c r="E58" s="847">
        <v>9.6000000000000002E-2</v>
      </c>
      <c r="F58" s="848">
        <v>0.1</v>
      </c>
    </row>
    <row r="59" spans="1:6" ht="15" thickBot="1">
      <c r="A59" s="717" t="s">
        <v>87</v>
      </c>
      <c r="B59" s="711" t="s">
        <v>248</v>
      </c>
      <c r="C59" s="847">
        <v>7.1999999999999995E-2</v>
      </c>
      <c r="D59" s="847">
        <v>9.6000000000000002E-2</v>
      </c>
      <c r="E59" s="847">
        <v>7.0999999999999994E-2</v>
      </c>
      <c r="F59" s="848">
        <v>0.1</v>
      </c>
    </row>
    <row r="60" spans="1:6" ht="15" thickBot="1">
      <c r="A60" s="717" t="s">
        <v>87</v>
      </c>
      <c r="B60" s="711" t="s">
        <v>259</v>
      </c>
      <c r="C60" s="847">
        <v>9.6000000000000002E-2</v>
      </c>
      <c r="D60" s="847">
        <v>8.8999999999999996E-2</v>
      </c>
      <c r="E60" s="847">
        <v>9.6000000000000002E-2</v>
      </c>
      <c r="F60" s="848">
        <v>0.1</v>
      </c>
    </row>
    <row r="61" spans="1:6" ht="15" thickBot="1">
      <c r="A61" s="717" t="s">
        <v>87</v>
      </c>
      <c r="B61" s="711" t="s">
        <v>270</v>
      </c>
      <c r="C61" s="847">
        <v>8.8999999999999996E-2</v>
      </c>
      <c r="D61" s="847">
        <v>9.8000000000000004E-2</v>
      </c>
      <c r="E61" s="847">
        <v>8.7999999999999995E-2</v>
      </c>
      <c r="F61" s="852"/>
    </row>
    <row r="62" spans="1:6" ht="15" thickBot="1">
      <c r="A62" s="717" t="s">
        <v>87</v>
      </c>
      <c r="B62" s="711" t="s">
        <v>281</v>
      </c>
      <c r="C62" s="847">
        <v>9.8000000000000004E-2</v>
      </c>
      <c r="D62" s="847">
        <v>9.2999999999999999E-2</v>
      </c>
      <c r="E62" s="847">
        <v>9.7000000000000003E-2</v>
      </c>
      <c r="F62" s="852"/>
    </row>
    <row r="63" spans="1:6" ht="15" thickBot="1">
      <c r="A63" s="717" t="s">
        <v>87</v>
      </c>
      <c r="B63" s="711" t="s">
        <v>292</v>
      </c>
      <c r="C63" s="847">
        <v>9.6000000000000002E-2</v>
      </c>
      <c r="D63" s="847">
        <v>9.8000000000000004E-2</v>
      </c>
      <c r="E63" s="847">
        <v>0.09</v>
      </c>
      <c r="F63" s="852"/>
    </row>
    <row r="64" spans="1:6" ht="15" thickBot="1">
      <c r="A64" s="717" t="s">
        <v>87</v>
      </c>
      <c r="B64" s="711" t="s">
        <v>302</v>
      </c>
      <c r="C64" s="847">
        <v>9.9000000000000005E-2</v>
      </c>
      <c r="D64" s="847">
        <v>9.7000000000000003E-2</v>
      </c>
      <c r="E64" s="847">
        <v>9.9000000000000005E-2</v>
      </c>
      <c r="F64" s="852"/>
    </row>
    <row r="65" spans="1:6" ht="15" thickBot="1">
      <c r="A65" s="717" t="s">
        <v>87</v>
      </c>
      <c r="B65" s="711" t="s">
        <v>312</v>
      </c>
      <c r="C65" s="847">
        <v>9.8000000000000004E-2</v>
      </c>
      <c r="D65" s="847">
        <v>9.6000000000000002E-2</v>
      </c>
      <c r="E65" s="847">
        <v>9.6000000000000002E-2</v>
      </c>
      <c r="F65" s="852"/>
    </row>
    <row r="66" spans="1:6" ht="15" thickBot="1">
      <c r="A66" s="717" t="s">
        <v>87</v>
      </c>
      <c r="B66" s="711" t="s">
        <v>322</v>
      </c>
      <c r="C66" s="847">
        <v>9.6000000000000002E-2</v>
      </c>
      <c r="D66" s="847">
        <v>9.1999999999999998E-2</v>
      </c>
      <c r="E66" s="847">
        <v>9.6000000000000002E-2</v>
      </c>
      <c r="F66" s="852"/>
    </row>
    <row r="67" spans="1:6" ht="15" thickBot="1">
      <c r="A67" s="717" t="s">
        <v>87</v>
      </c>
      <c r="B67" s="711" t="s">
        <v>332</v>
      </c>
      <c r="C67" s="847">
        <v>9.4E-2</v>
      </c>
      <c r="D67" s="847">
        <v>0.1</v>
      </c>
      <c r="E67" s="847">
        <v>8.7999999999999995E-2</v>
      </c>
      <c r="F67" s="852"/>
    </row>
    <row r="68" spans="1:6" ht="15" thickBot="1">
      <c r="A68" s="717" t="s">
        <v>87</v>
      </c>
      <c r="B68" s="711" t="s">
        <v>341</v>
      </c>
      <c r="C68" s="847">
        <v>0.1</v>
      </c>
      <c r="D68" s="847">
        <v>8.7999999999999995E-2</v>
      </c>
      <c r="E68" s="847">
        <v>9.7000000000000003E-2</v>
      </c>
      <c r="F68" s="852"/>
    </row>
    <row r="69" spans="1:6" ht="15" thickBot="1">
      <c r="A69" s="717" t="s">
        <v>87</v>
      </c>
      <c r="B69" s="711" t="s">
        <v>350</v>
      </c>
      <c r="C69" s="847">
        <v>6.4000000000000001E-2</v>
      </c>
      <c r="D69" s="847">
        <v>0.1</v>
      </c>
      <c r="E69" s="847">
        <v>0.1</v>
      </c>
      <c r="F69" s="852"/>
    </row>
    <row r="70" spans="1:6" ht="15" thickBot="1">
      <c r="A70" s="717" t="s">
        <v>87</v>
      </c>
      <c r="B70" s="711" t="s">
        <v>358</v>
      </c>
      <c r="C70" s="847">
        <v>9.0999999999999998E-2</v>
      </c>
      <c r="D70" s="853"/>
      <c r="E70" s="853"/>
      <c r="F70" s="852"/>
    </row>
    <row r="71" spans="1:6" ht="15" thickBot="1">
      <c r="A71" s="717" t="s">
        <v>87</v>
      </c>
      <c r="B71" s="711" t="s">
        <v>365</v>
      </c>
      <c r="C71" s="847">
        <v>0.1</v>
      </c>
      <c r="D71" s="853"/>
      <c r="E71" s="853"/>
      <c r="F71" s="852"/>
    </row>
    <row r="72" spans="1:6" ht="24.75" thickBot="1">
      <c r="A72" s="717" t="s">
        <v>87</v>
      </c>
      <c r="B72" s="711" t="s">
        <v>793</v>
      </c>
      <c r="C72" s="853"/>
      <c r="D72" s="853"/>
      <c r="E72" s="853"/>
      <c r="F72" s="848">
        <v>0.05</v>
      </c>
    </row>
    <row r="73" spans="1:6" ht="24.75" thickBot="1">
      <c r="A73" s="717" t="s">
        <v>87</v>
      </c>
      <c r="B73" s="711" t="s">
        <v>794</v>
      </c>
      <c r="C73" s="853"/>
      <c r="D73" s="853"/>
      <c r="E73" s="853"/>
      <c r="F73" s="848">
        <v>0.05</v>
      </c>
    </row>
    <row r="74" spans="1:6" ht="24.75" thickBot="1">
      <c r="A74" s="717" t="s">
        <v>87</v>
      </c>
      <c r="B74" s="711" t="s">
        <v>795</v>
      </c>
      <c r="C74" s="853"/>
      <c r="D74" s="853"/>
      <c r="E74" s="853"/>
      <c r="F74" s="848">
        <v>0.05</v>
      </c>
    </row>
    <row r="75" spans="1:6" ht="24.75" thickBot="1">
      <c r="A75" s="734" t="s">
        <v>87</v>
      </c>
      <c r="B75" s="727" t="s">
        <v>796</v>
      </c>
      <c r="C75" s="850"/>
      <c r="D75" s="850"/>
      <c r="E75" s="850"/>
      <c r="F75" s="854">
        <v>0.05</v>
      </c>
    </row>
    <row r="76" spans="1:6" ht="15" thickBot="1">
      <c r="A76" s="717" t="s">
        <v>480</v>
      </c>
      <c r="B76" s="718" t="s">
        <v>797</v>
      </c>
      <c r="C76" s="845">
        <v>0.1</v>
      </c>
      <c r="D76" s="845">
        <v>0.1</v>
      </c>
      <c r="E76" s="845">
        <v>0.1</v>
      </c>
      <c r="F76" s="846">
        <v>0.1</v>
      </c>
    </row>
    <row r="77" spans="1:6" ht="15" thickBot="1">
      <c r="A77" s="717" t="s">
        <v>480</v>
      </c>
      <c r="B77" s="711" t="s">
        <v>140</v>
      </c>
      <c r="C77" s="847">
        <v>8.7999999999999995E-2</v>
      </c>
      <c r="D77" s="847">
        <v>8.6999999999999994E-2</v>
      </c>
      <c r="E77" s="847">
        <v>7.9000000000000001E-2</v>
      </c>
      <c r="F77" s="848">
        <v>0.1</v>
      </c>
    </row>
    <row r="78" spans="1:6" ht="15" thickBot="1">
      <c r="A78" s="717" t="s">
        <v>480</v>
      </c>
      <c r="B78" s="711" t="s">
        <v>153</v>
      </c>
      <c r="C78" s="847">
        <v>8.6999999999999994E-2</v>
      </c>
      <c r="D78" s="847">
        <v>8.4000000000000005E-2</v>
      </c>
      <c r="E78" s="847">
        <v>9.6000000000000002E-2</v>
      </c>
      <c r="F78" s="848">
        <v>0.1</v>
      </c>
    </row>
    <row r="79" spans="1:6" ht="15" thickBot="1">
      <c r="A79" s="717" t="s">
        <v>480</v>
      </c>
      <c r="B79" s="711" t="s">
        <v>166</v>
      </c>
      <c r="C79" s="847">
        <v>9.8000000000000004E-2</v>
      </c>
      <c r="D79" s="847">
        <v>9.8000000000000004E-2</v>
      </c>
      <c r="E79" s="847">
        <v>9.0999999999999998E-2</v>
      </c>
      <c r="F79" s="848">
        <v>0.1</v>
      </c>
    </row>
    <row r="80" spans="1:6" ht="15" thickBot="1">
      <c r="A80" s="717" t="s">
        <v>480</v>
      </c>
      <c r="B80" s="711" t="s">
        <v>178</v>
      </c>
      <c r="C80" s="847">
        <v>9.6000000000000002E-2</v>
      </c>
      <c r="D80" s="847">
        <v>9.6000000000000002E-2</v>
      </c>
      <c r="E80" s="847">
        <v>0.1</v>
      </c>
      <c r="F80" s="848">
        <v>0.1</v>
      </c>
    </row>
    <row r="81" spans="1:6" ht="15" thickBot="1">
      <c r="A81" s="717" t="s">
        <v>480</v>
      </c>
      <c r="B81" s="711" t="s">
        <v>190</v>
      </c>
      <c r="C81" s="847">
        <v>9.9000000000000005E-2</v>
      </c>
      <c r="D81" s="847">
        <v>9.9000000000000005E-2</v>
      </c>
      <c r="E81" s="847">
        <v>9.8000000000000004E-2</v>
      </c>
      <c r="F81" s="848">
        <v>0.1</v>
      </c>
    </row>
    <row r="82" spans="1:6" ht="15" thickBot="1">
      <c r="A82" s="717" t="s">
        <v>480</v>
      </c>
      <c r="B82" s="711" t="s">
        <v>202</v>
      </c>
      <c r="C82" s="847">
        <v>9.9000000000000005E-2</v>
      </c>
      <c r="D82" s="847">
        <v>9.9000000000000005E-2</v>
      </c>
      <c r="E82" s="847">
        <v>9.7000000000000003E-2</v>
      </c>
      <c r="F82" s="848">
        <v>0.1</v>
      </c>
    </row>
    <row r="83" spans="1:6" ht="15" thickBot="1">
      <c r="A83" s="717" t="s">
        <v>480</v>
      </c>
      <c r="B83" s="711" t="s">
        <v>214</v>
      </c>
      <c r="C83" s="847">
        <v>9.8000000000000004E-2</v>
      </c>
      <c r="D83" s="847">
        <v>9.8000000000000004E-2</v>
      </c>
      <c r="E83" s="847">
        <v>9.8000000000000004E-2</v>
      </c>
      <c r="F83" s="848">
        <v>0.1</v>
      </c>
    </row>
    <row r="84" spans="1:6" ht="15" thickBot="1">
      <c r="A84" s="717" t="s">
        <v>480</v>
      </c>
      <c r="B84" s="711" t="s">
        <v>227</v>
      </c>
      <c r="C84" s="847">
        <v>9.9000000000000005E-2</v>
      </c>
      <c r="D84" s="847">
        <v>9.9000000000000005E-2</v>
      </c>
      <c r="E84" s="847">
        <v>9.9000000000000005E-2</v>
      </c>
      <c r="F84" s="848">
        <v>0.1</v>
      </c>
    </row>
    <row r="85" spans="1:6" ht="15" thickBot="1">
      <c r="A85" s="717" t="s">
        <v>480</v>
      </c>
      <c r="B85" s="711" t="s">
        <v>238</v>
      </c>
      <c r="C85" s="847">
        <v>9.9000000000000005E-2</v>
      </c>
      <c r="D85" s="847">
        <v>9.9000000000000005E-2</v>
      </c>
      <c r="E85" s="847">
        <v>9.9000000000000005E-2</v>
      </c>
      <c r="F85" s="848">
        <v>0.1</v>
      </c>
    </row>
    <row r="86" spans="1:6" ht="15" thickBot="1">
      <c r="A86" s="717" t="s">
        <v>480</v>
      </c>
      <c r="B86" s="711" t="s">
        <v>249</v>
      </c>
      <c r="C86" s="847">
        <v>0.1</v>
      </c>
      <c r="D86" s="847">
        <v>0.1</v>
      </c>
      <c r="E86" s="847">
        <v>7.6999999999999999E-2</v>
      </c>
      <c r="F86" s="848">
        <v>0.1</v>
      </c>
    </row>
    <row r="87" spans="1:6" ht="15" thickBot="1">
      <c r="A87" s="717" t="s">
        <v>480</v>
      </c>
      <c r="B87" s="711" t="s">
        <v>260</v>
      </c>
      <c r="C87" s="847">
        <v>0.1</v>
      </c>
      <c r="D87" s="847">
        <v>0.1</v>
      </c>
      <c r="E87" s="847">
        <v>9.8000000000000004E-2</v>
      </c>
      <c r="F87" s="852"/>
    </row>
    <row r="88" spans="1:6" ht="15" thickBot="1">
      <c r="A88" s="717" t="s">
        <v>480</v>
      </c>
      <c r="B88" s="711" t="s">
        <v>271</v>
      </c>
      <c r="C88" s="847">
        <v>9.1999999999999998E-2</v>
      </c>
      <c r="D88" s="847">
        <v>8.5000000000000006E-2</v>
      </c>
      <c r="E88" s="847">
        <v>9.6000000000000002E-2</v>
      </c>
      <c r="F88" s="852"/>
    </row>
    <row r="89" spans="1:6" ht="15" thickBot="1">
      <c r="A89" s="717" t="s">
        <v>480</v>
      </c>
      <c r="B89" s="711" t="s">
        <v>282</v>
      </c>
      <c r="C89" s="847">
        <v>0.1</v>
      </c>
      <c r="D89" s="847">
        <v>0.1</v>
      </c>
      <c r="E89" s="847">
        <v>9.7000000000000003E-2</v>
      </c>
      <c r="F89" s="852"/>
    </row>
    <row r="90" spans="1:6" ht="15" thickBot="1">
      <c r="A90" s="717" t="s">
        <v>480</v>
      </c>
      <c r="B90" s="711" t="s">
        <v>293</v>
      </c>
      <c r="C90" s="847">
        <v>9.8000000000000004E-2</v>
      </c>
      <c r="D90" s="847">
        <v>9.8000000000000004E-2</v>
      </c>
      <c r="E90" s="847">
        <v>8.7999999999999995E-2</v>
      </c>
      <c r="F90" s="852"/>
    </row>
    <row r="91" spans="1:6" ht="15" thickBot="1">
      <c r="A91" s="717" t="s">
        <v>480</v>
      </c>
      <c r="B91" s="711" t="s">
        <v>303</v>
      </c>
      <c r="C91" s="847">
        <v>9.9000000000000005E-2</v>
      </c>
      <c r="D91" s="847">
        <v>9.9000000000000005E-2</v>
      </c>
      <c r="E91" s="847">
        <v>9.0999999999999998E-2</v>
      </c>
      <c r="F91" s="852"/>
    </row>
    <row r="92" spans="1:6" ht="15" thickBot="1">
      <c r="A92" s="717" t="s">
        <v>480</v>
      </c>
      <c r="B92" s="711" t="s">
        <v>313</v>
      </c>
      <c r="C92" s="847">
        <v>9.6000000000000002E-2</v>
      </c>
      <c r="D92" s="847">
        <v>9.6000000000000002E-2</v>
      </c>
      <c r="E92" s="847">
        <v>7.2999999999999995E-2</v>
      </c>
      <c r="F92" s="852"/>
    </row>
    <row r="93" spans="1:6" ht="15" thickBot="1">
      <c r="A93" s="717" t="s">
        <v>480</v>
      </c>
      <c r="B93" s="711" t="s">
        <v>323</v>
      </c>
      <c r="C93" s="847">
        <v>9.6000000000000002E-2</v>
      </c>
      <c r="D93" s="847">
        <v>9.6000000000000002E-2</v>
      </c>
      <c r="E93" s="847">
        <v>9.9000000000000005E-2</v>
      </c>
      <c r="F93" s="852"/>
    </row>
    <row r="94" spans="1:6" ht="15" thickBot="1">
      <c r="A94" s="717" t="s">
        <v>480</v>
      </c>
      <c r="B94" s="711" t="s">
        <v>333</v>
      </c>
      <c r="C94" s="847">
        <v>7.5999999999999998E-2</v>
      </c>
      <c r="D94" s="847">
        <v>7.3999999999999996E-2</v>
      </c>
      <c r="E94" s="847">
        <v>9.7000000000000003E-2</v>
      </c>
      <c r="F94" s="852"/>
    </row>
    <row r="95" spans="1:6" ht="15" thickBot="1">
      <c r="A95" s="717" t="s">
        <v>480</v>
      </c>
      <c r="B95" s="711" t="s">
        <v>342</v>
      </c>
      <c r="C95" s="847">
        <v>9.9000000000000005E-2</v>
      </c>
      <c r="D95" s="847">
        <v>9.4E-2</v>
      </c>
      <c r="E95" s="847">
        <v>9.6000000000000002E-2</v>
      </c>
      <c r="F95" s="852"/>
    </row>
    <row r="96" spans="1:6" ht="15" thickBot="1">
      <c r="A96" s="717" t="s">
        <v>480</v>
      </c>
      <c r="B96" s="711" t="s">
        <v>351</v>
      </c>
      <c r="C96" s="847">
        <v>9.9000000000000005E-2</v>
      </c>
      <c r="D96" s="847">
        <v>9.9000000000000005E-2</v>
      </c>
      <c r="E96" s="847">
        <v>9.9000000000000005E-2</v>
      </c>
      <c r="F96" s="852"/>
    </row>
    <row r="97" spans="1:6" ht="15" thickBot="1">
      <c r="A97" s="717" t="s">
        <v>480</v>
      </c>
      <c r="B97" s="711" t="s">
        <v>359</v>
      </c>
      <c r="C97" s="847">
        <v>9.8000000000000004E-2</v>
      </c>
      <c r="D97" s="847">
        <v>9.8000000000000004E-2</v>
      </c>
      <c r="E97" s="847">
        <v>9.7000000000000003E-2</v>
      </c>
      <c r="F97" s="852"/>
    </row>
    <row r="98" spans="1:6" ht="15" thickBot="1">
      <c r="A98" s="717" t="s">
        <v>480</v>
      </c>
      <c r="B98" s="711" t="s">
        <v>366</v>
      </c>
      <c r="C98" s="847">
        <v>0.1</v>
      </c>
      <c r="D98" s="847">
        <v>0.1</v>
      </c>
      <c r="E98" s="847">
        <v>9.7000000000000003E-2</v>
      </c>
      <c r="F98" s="852"/>
    </row>
    <row r="99" spans="1:6" ht="15" thickBot="1">
      <c r="A99" s="717" t="s">
        <v>480</v>
      </c>
      <c r="B99" s="711" t="s">
        <v>373</v>
      </c>
      <c r="C99" s="847">
        <v>0.1</v>
      </c>
      <c r="D99" s="847">
        <v>0.1</v>
      </c>
      <c r="E99" s="853"/>
      <c r="F99" s="852"/>
    </row>
    <row r="100" spans="1:6" ht="15" thickBot="1">
      <c r="A100" s="717" t="s">
        <v>480</v>
      </c>
      <c r="B100" s="711" t="s">
        <v>380</v>
      </c>
      <c r="C100" s="847">
        <v>0.09</v>
      </c>
      <c r="D100" s="847">
        <v>8.8999999999999996E-2</v>
      </c>
      <c r="E100" s="853"/>
      <c r="F100" s="852"/>
    </row>
    <row r="101" spans="1:6" ht="15" thickBot="1">
      <c r="A101" s="717" t="s">
        <v>480</v>
      </c>
      <c r="B101" s="711" t="s">
        <v>387</v>
      </c>
      <c r="C101" s="847">
        <v>9.8000000000000004E-2</v>
      </c>
      <c r="D101" s="847">
        <v>9.7000000000000003E-2</v>
      </c>
      <c r="E101" s="853"/>
      <c r="F101" s="852"/>
    </row>
    <row r="102" spans="1:6" ht="24.7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5" thickBot="1">
      <c r="A104" s="717" t="s">
        <v>480</v>
      </c>
      <c r="B104" s="711" t="s">
        <v>800</v>
      </c>
      <c r="C104" s="853"/>
      <c r="D104" s="853"/>
      <c r="E104" s="853"/>
      <c r="F104" s="848">
        <v>0.05</v>
      </c>
    </row>
    <row r="105" spans="1:6" ht="15" thickBot="1">
      <c r="A105" s="717" t="s">
        <v>480</v>
      </c>
      <c r="B105" s="711" t="s">
        <v>801</v>
      </c>
      <c r="C105" s="853"/>
      <c r="D105" s="853"/>
      <c r="E105" s="853"/>
      <c r="F105" s="848">
        <v>0.05</v>
      </c>
    </row>
    <row r="106" spans="1:6" ht="1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5" thickBot="1">
      <c r="A110" s="717" t="s">
        <v>70</v>
      </c>
      <c r="B110" s="718" t="s">
        <v>806</v>
      </c>
      <c r="C110" s="845">
        <v>0.129</v>
      </c>
      <c r="D110" s="845">
        <v>0.129</v>
      </c>
      <c r="E110" s="845">
        <v>0.126</v>
      </c>
      <c r="F110" s="846">
        <v>0.13</v>
      </c>
    </row>
    <row r="111" spans="1:6" ht="15" thickBot="1">
      <c r="A111" s="717" t="s">
        <v>70</v>
      </c>
      <c r="B111" s="711" t="s">
        <v>141</v>
      </c>
      <c r="C111" s="847">
        <v>0.11</v>
      </c>
      <c r="D111" s="847">
        <v>0.11</v>
      </c>
      <c r="E111" s="847">
        <v>9.9000000000000005E-2</v>
      </c>
      <c r="F111" s="848">
        <v>0.128</v>
      </c>
    </row>
    <row r="112" spans="1:6" ht="15" thickBot="1">
      <c r="A112" s="717" t="s">
        <v>70</v>
      </c>
      <c r="B112" s="711" t="s">
        <v>154</v>
      </c>
      <c r="C112" s="847">
        <v>0.125</v>
      </c>
      <c r="D112" s="847">
        <v>0.125</v>
      </c>
      <c r="E112" s="847">
        <v>0.12</v>
      </c>
      <c r="F112" s="848">
        <v>0.125</v>
      </c>
    </row>
    <row r="113" spans="1:6" ht="15" thickBot="1">
      <c r="A113" s="717" t="s">
        <v>70</v>
      </c>
      <c r="B113" s="711" t="s">
        <v>167</v>
      </c>
      <c r="C113" s="847">
        <v>0.13</v>
      </c>
      <c r="D113" s="847">
        <v>0.13</v>
      </c>
      <c r="E113" s="847">
        <v>0.13</v>
      </c>
      <c r="F113" s="848">
        <v>0.13</v>
      </c>
    </row>
    <row r="114" spans="1:6" ht="15" thickBot="1">
      <c r="A114" s="717" t="s">
        <v>70</v>
      </c>
      <c r="B114" s="711" t="s">
        <v>179</v>
      </c>
      <c r="C114" s="847">
        <v>0.123</v>
      </c>
      <c r="D114" s="847">
        <v>0.123</v>
      </c>
      <c r="E114" s="847">
        <v>0.12</v>
      </c>
      <c r="F114" s="848">
        <v>0.13</v>
      </c>
    </row>
    <row r="115" spans="1:6" ht="15" thickBot="1">
      <c r="A115" s="717" t="s">
        <v>70</v>
      </c>
      <c r="B115" s="711" t="s">
        <v>191</v>
      </c>
      <c r="C115" s="847">
        <v>0.125</v>
      </c>
      <c r="D115" s="847">
        <v>0.125</v>
      </c>
      <c r="E115" s="847">
        <v>0.11700000000000001</v>
      </c>
      <c r="F115" s="848">
        <v>0.13</v>
      </c>
    </row>
    <row r="116" spans="1:6" ht="15" thickBot="1">
      <c r="A116" s="717" t="s">
        <v>70</v>
      </c>
      <c r="B116" s="711" t="s">
        <v>203</v>
      </c>
      <c r="C116" s="847">
        <v>0.11700000000000001</v>
      </c>
      <c r="D116" s="847">
        <v>0.11700000000000001</v>
      </c>
      <c r="E116" s="847">
        <v>8.7999999999999995E-2</v>
      </c>
      <c r="F116" s="848">
        <v>0.13</v>
      </c>
    </row>
    <row r="117" spans="1:6" ht="15" thickBot="1">
      <c r="A117" s="717" t="s">
        <v>70</v>
      </c>
      <c r="B117" s="711" t="s">
        <v>215</v>
      </c>
      <c r="C117" s="847">
        <v>0.13</v>
      </c>
      <c r="D117" s="847">
        <v>0.13</v>
      </c>
      <c r="E117" s="847">
        <v>0.129</v>
      </c>
      <c r="F117" s="848">
        <v>0.13</v>
      </c>
    </row>
    <row r="118" spans="1:6" ht="15" thickBot="1">
      <c r="A118" s="717" t="s">
        <v>70</v>
      </c>
      <c r="B118" s="711" t="s">
        <v>228</v>
      </c>
      <c r="C118" s="847">
        <v>0.123</v>
      </c>
      <c r="D118" s="847">
        <v>0.123</v>
      </c>
      <c r="E118" s="847">
        <v>0.11600000000000001</v>
      </c>
      <c r="F118" s="848">
        <v>0.13</v>
      </c>
    </row>
    <row r="119" spans="1:6" ht="15" thickBot="1">
      <c r="A119" s="717" t="s">
        <v>70</v>
      </c>
      <c r="B119" s="711" t="s">
        <v>239</v>
      </c>
      <c r="C119" s="847">
        <v>0.127</v>
      </c>
      <c r="D119" s="847">
        <v>0.127</v>
      </c>
      <c r="E119" s="847">
        <v>0.124</v>
      </c>
      <c r="F119" s="848">
        <v>0.13</v>
      </c>
    </row>
    <row r="120" spans="1:6" ht="15" thickBot="1">
      <c r="A120" s="717" t="s">
        <v>70</v>
      </c>
      <c r="B120" s="711" t="s">
        <v>250</v>
      </c>
      <c r="C120" s="847">
        <v>0.125</v>
      </c>
      <c r="D120" s="847">
        <v>0.125</v>
      </c>
      <c r="E120" s="847">
        <v>0.122</v>
      </c>
      <c r="F120" s="848">
        <v>0.13</v>
      </c>
    </row>
    <row r="121" spans="1:6" ht="15" thickBot="1">
      <c r="A121" s="717" t="s">
        <v>70</v>
      </c>
      <c r="B121" s="711" t="s">
        <v>261</v>
      </c>
      <c r="C121" s="847">
        <v>0.13</v>
      </c>
      <c r="D121" s="847">
        <v>0.13</v>
      </c>
      <c r="E121" s="847">
        <v>0.13</v>
      </c>
      <c r="F121" s="848">
        <v>0.13</v>
      </c>
    </row>
    <row r="122" spans="1:6" ht="15" thickBot="1">
      <c r="A122" s="717" t="s">
        <v>70</v>
      </c>
      <c r="B122" s="711" t="s">
        <v>272</v>
      </c>
      <c r="C122" s="847">
        <v>0.13</v>
      </c>
      <c r="D122" s="847">
        <v>0.13</v>
      </c>
      <c r="E122" s="847">
        <v>0.125</v>
      </c>
      <c r="F122" s="848">
        <v>0.13</v>
      </c>
    </row>
    <row r="123" spans="1:6" ht="15" thickBot="1">
      <c r="A123" s="717" t="s">
        <v>70</v>
      </c>
      <c r="B123" s="711" t="s">
        <v>283</v>
      </c>
      <c r="C123" s="847">
        <v>0.129</v>
      </c>
      <c r="D123" s="847">
        <v>0.129</v>
      </c>
      <c r="E123" s="847">
        <v>0.123</v>
      </c>
      <c r="F123" s="848">
        <v>0.13</v>
      </c>
    </row>
    <row r="124" spans="1:6" ht="15" thickBot="1">
      <c r="A124" s="717" t="s">
        <v>70</v>
      </c>
      <c r="B124" s="711" t="s">
        <v>294</v>
      </c>
      <c r="C124" s="847">
        <v>0.10199999999999999</v>
      </c>
      <c r="D124" s="847">
        <v>0.10100000000000001</v>
      </c>
      <c r="E124" s="847">
        <v>0.08</v>
      </c>
      <c r="F124" s="852"/>
    </row>
    <row r="125" spans="1:6" ht="15" thickBot="1">
      <c r="A125" s="717" t="s">
        <v>70</v>
      </c>
      <c r="B125" s="711" t="s">
        <v>304</v>
      </c>
      <c r="C125" s="847">
        <v>0.13</v>
      </c>
      <c r="D125" s="847">
        <v>0.13</v>
      </c>
      <c r="E125" s="847">
        <v>0.129</v>
      </c>
      <c r="F125" s="852"/>
    </row>
    <row r="126" spans="1:6" ht="15" thickBot="1">
      <c r="A126" s="717" t="s">
        <v>70</v>
      </c>
      <c r="B126" s="711" t="s">
        <v>314</v>
      </c>
      <c r="C126" s="847">
        <v>0.13</v>
      </c>
      <c r="D126" s="847">
        <v>0.13</v>
      </c>
      <c r="E126" s="847">
        <v>0.126</v>
      </c>
      <c r="F126" s="852"/>
    </row>
    <row r="127" spans="1:6" ht="15" thickBot="1">
      <c r="A127" s="717" t="s">
        <v>70</v>
      </c>
      <c r="B127" s="711" t="s">
        <v>324</v>
      </c>
      <c r="C127" s="847">
        <v>0.125</v>
      </c>
      <c r="D127" s="847">
        <v>0.125</v>
      </c>
      <c r="E127" s="847">
        <v>0.121</v>
      </c>
      <c r="F127" s="852"/>
    </row>
    <row r="128" spans="1:6" ht="15" thickBot="1">
      <c r="A128" s="717" t="s">
        <v>70</v>
      </c>
      <c r="B128" s="711" t="s">
        <v>334</v>
      </c>
      <c r="C128" s="847">
        <v>0.12</v>
      </c>
      <c r="D128" s="847">
        <v>0.12</v>
      </c>
      <c r="E128" s="847">
        <v>0.105</v>
      </c>
      <c r="F128" s="852"/>
    </row>
    <row r="129" spans="1:6" ht="15" thickBot="1">
      <c r="A129" s="717" t="s">
        <v>70</v>
      </c>
      <c r="B129" s="711" t="s">
        <v>343</v>
      </c>
      <c r="C129" s="847">
        <v>0.13</v>
      </c>
      <c r="D129" s="847">
        <v>0.13</v>
      </c>
      <c r="E129" s="847">
        <v>0.126</v>
      </c>
      <c r="F129" s="852"/>
    </row>
    <row r="130" spans="1:6" ht="15" thickBot="1">
      <c r="A130" s="717" t="s">
        <v>70</v>
      </c>
      <c r="B130" s="711" t="s">
        <v>352</v>
      </c>
      <c r="C130" s="847">
        <v>0.125</v>
      </c>
      <c r="D130" s="847">
        <v>0.125</v>
      </c>
      <c r="E130" s="847">
        <v>0.122</v>
      </c>
      <c r="F130" s="852"/>
    </row>
    <row r="131" spans="1:6" ht="15" thickBot="1">
      <c r="A131" s="717" t="s">
        <v>70</v>
      </c>
      <c r="B131" s="711" t="s">
        <v>360</v>
      </c>
      <c r="C131" s="847">
        <v>0.127</v>
      </c>
      <c r="D131" s="847">
        <v>0.126</v>
      </c>
      <c r="E131" s="847">
        <v>0.123</v>
      </c>
      <c r="F131" s="852"/>
    </row>
    <row r="132" spans="1:6" ht="15" thickBot="1">
      <c r="A132" s="717" t="s">
        <v>70</v>
      </c>
      <c r="B132" s="711" t="s">
        <v>367</v>
      </c>
      <c r="C132" s="847">
        <v>9.0999999999999998E-2</v>
      </c>
      <c r="D132" s="847">
        <v>0.121</v>
      </c>
      <c r="E132" s="847">
        <v>9.9000000000000005E-2</v>
      </c>
      <c r="F132" s="852"/>
    </row>
    <row r="133" spans="1:6" ht="15" thickBot="1">
      <c r="A133" s="717" t="s">
        <v>70</v>
      </c>
      <c r="B133" s="711" t="s">
        <v>374</v>
      </c>
      <c r="C133" s="847">
        <v>0.13</v>
      </c>
      <c r="D133" s="847">
        <v>0.13</v>
      </c>
      <c r="E133" s="847">
        <v>0.129</v>
      </c>
      <c r="F133" s="852"/>
    </row>
    <row r="134" spans="1:6" ht="15" thickBot="1">
      <c r="A134" s="717" t="s">
        <v>70</v>
      </c>
      <c r="B134" s="711" t="s">
        <v>807</v>
      </c>
      <c r="C134" s="847">
        <v>6.8000000000000005E-2</v>
      </c>
      <c r="D134" s="847">
        <v>6.5000000000000002E-2</v>
      </c>
      <c r="E134" s="847">
        <v>6.5000000000000002E-2</v>
      </c>
      <c r="F134" s="848">
        <v>0.13</v>
      </c>
    </row>
    <row r="135" spans="1:6" ht="15" thickBot="1">
      <c r="A135" s="717" t="s">
        <v>70</v>
      </c>
      <c r="B135" s="711" t="s">
        <v>388</v>
      </c>
      <c r="C135" s="847">
        <v>0.123</v>
      </c>
      <c r="D135" s="847">
        <v>0.123</v>
      </c>
      <c r="E135" s="847">
        <v>0.11</v>
      </c>
      <c r="F135" s="852"/>
    </row>
    <row r="136" spans="1:6" ht="15" thickBot="1">
      <c r="A136" s="717" t="s">
        <v>70</v>
      </c>
      <c r="B136" s="711" t="s">
        <v>395</v>
      </c>
      <c r="C136" s="847">
        <v>0.13</v>
      </c>
      <c r="D136" s="847">
        <v>0.13</v>
      </c>
      <c r="E136" s="847">
        <v>0.125</v>
      </c>
      <c r="F136" s="852"/>
    </row>
    <row r="137" spans="1:6" ht="15" thickBot="1">
      <c r="A137" s="717" t="s">
        <v>70</v>
      </c>
      <c r="B137" s="711" t="s">
        <v>402</v>
      </c>
      <c r="C137" s="847">
        <v>0.121</v>
      </c>
      <c r="D137" s="847">
        <v>0.122</v>
      </c>
      <c r="E137" s="847">
        <v>0.115</v>
      </c>
      <c r="F137" s="852"/>
    </row>
    <row r="138" spans="1:6" ht="15" thickBot="1">
      <c r="A138" s="717" t="s">
        <v>70</v>
      </c>
      <c r="B138" s="711" t="s">
        <v>808</v>
      </c>
      <c r="C138" s="847">
        <v>0.105</v>
      </c>
      <c r="D138" s="847">
        <v>0.125</v>
      </c>
      <c r="E138" s="847">
        <v>0.112</v>
      </c>
      <c r="F138" s="852"/>
    </row>
    <row r="139" spans="1:6" ht="15" thickBot="1">
      <c r="A139" s="717" t="s">
        <v>70</v>
      </c>
      <c r="B139" s="711" t="s">
        <v>809</v>
      </c>
      <c r="C139" s="847">
        <v>0.127</v>
      </c>
      <c r="D139" s="847">
        <v>0.127</v>
      </c>
      <c r="E139" s="847">
        <v>0.122</v>
      </c>
      <c r="F139" s="848">
        <v>0.13</v>
      </c>
    </row>
    <row r="140" spans="1:6" ht="15" thickBot="1">
      <c r="A140" s="717" t="s">
        <v>70</v>
      </c>
      <c r="B140" s="711" t="s">
        <v>810</v>
      </c>
      <c r="C140" s="847">
        <v>0.125</v>
      </c>
      <c r="D140" s="847">
        <v>0.125</v>
      </c>
      <c r="E140" s="847">
        <v>0.11899999999999999</v>
      </c>
      <c r="F140" s="848">
        <v>0.13</v>
      </c>
    </row>
    <row r="141" spans="1:6" ht="15" thickBot="1">
      <c r="A141" s="717" t="s">
        <v>70</v>
      </c>
      <c r="B141" s="711" t="s">
        <v>421</v>
      </c>
      <c r="C141" s="847">
        <v>0.125</v>
      </c>
      <c r="D141" s="847">
        <v>0.125</v>
      </c>
      <c r="E141" s="847">
        <v>0.11700000000000001</v>
      </c>
      <c r="F141" s="852"/>
    </row>
    <row r="142" spans="1:6" ht="15" thickBot="1">
      <c r="A142" s="717" t="s">
        <v>70</v>
      </c>
      <c r="B142" s="711" t="s">
        <v>426</v>
      </c>
      <c r="C142" s="847">
        <v>0.125</v>
      </c>
      <c r="D142" s="847">
        <v>0.125</v>
      </c>
      <c r="E142" s="847">
        <v>0.115</v>
      </c>
      <c r="F142" s="852"/>
    </row>
    <row r="143" spans="1:6" ht="15" thickBot="1">
      <c r="A143" s="717" t="s">
        <v>70</v>
      </c>
      <c r="B143" s="711" t="s">
        <v>431</v>
      </c>
      <c r="C143" s="847">
        <v>0.121</v>
      </c>
      <c r="D143" s="847">
        <v>0.121</v>
      </c>
      <c r="E143" s="847">
        <v>0.108</v>
      </c>
      <c r="F143" s="852"/>
    </row>
    <row r="144" spans="1:6" ht="15" thickBot="1">
      <c r="A144" s="717" t="s">
        <v>70</v>
      </c>
      <c r="B144" s="855" t="s">
        <v>811</v>
      </c>
      <c r="C144" s="856">
        <v>0.126</v>
      </c>
      <c r="D144" s="856">
        <v>0.126</v>
      </c>
      <c r="E144" s="856">
        <v>0.121</v>
      </c>
      <c r="F144" s="852"/>
    </row>
    <row r="145" spans="1:6" ht="1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5" thickBot="1">
      <c r="A153" s="717" t="s">
        <v>70</v>
      </c>
      <c r="B153" s="711" t="s">
        <v>819</v>
      </c>
      <c r="C153" s="853"/>
      <c r="D153" s="853"/>
      <c r="E153" s="853"/>
      <c r="F153" s="848">
        <v>0.05</v>
      </c>
    </row>
    <row r="154" spans="1:6" ht="1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5" thickBot="1">
      <c r="A157" s="734" t="s">
        <v>70</v>
      </c>
      <c r="B157" s="727" t="s">
        <v>823</v>
      </c>
      <c r="C157" s="850"/>
      <c r="D157" s="850"/>
      <c r="E157" s="850"/>
      <c r="F157" s="854">
        <v>0.05</v>
      </c>
    </row>
    <row r="158" spans="1:6" ht="15" thickBot="1">
      <c r="A158" s="717" t="s">
        <v>483</v>
      </c>
      <c r="B158" s="718" t="s">
        <v>824</v>
      </c>
      <c r="C158" s="845">
        <v>0.13</v>
      </c>
      <c r="D158" s="845">
        <v>0.13</v>
      </c>
      <c r="E158" s="845">
        <v>0.13</v>
      </c>
      <c r="F158" s="846">
        <v>0.13</v>
      </c>
    </row>
    <row r="159" spans="1:6" ht="15" thickBot="1">
      <c r="A159" s="717" t="s">
        <v>483</v>
      </c>
      <c r="B159" s="711" t="s">
        <v>142</v>
      </c>
      <c r="C159" s="847">
        <v>0.13</v>
      </c>
      <c r="D159" s="847">
        <v>0.13</v>
      </c>
      <c r="E159" s="847">
        <v>0.13</v>
      </c>
      <c r="F159" s="848">
        <v>0.13</v>
      </c>
    </row>
    <row r="160" spans="1:6" ht="15" thickBot="1">
      <c r="A160" s="717" t="s">
        <v>483</v>
      </c>
      <c r="B160" s="711" t="s">
        <v>155</v>
      </c>
      <c r="C160" s="847">
        <v>0.13</v>
      </c>
      <c r="D160" s="847">
        <v>0.13</v>
      </c>
      <c r="E160" s="847">
        <v>0.129</v>
      </c>
      <c r="F160" s="848">
        <v>0.13</v>
      </c>
    </row>
    <row r="161" spans="1:6" ht="15" thickBot="1">
      <c r="A161" s="717" t="s">
        <v>483</v>
      </c>
      <c r="B161" s="711" t="s">
        <v>168</v>
      </c>
      <c r="C161" s="847">
        <v>0.128</v>
      </c>
      <c r="D161" s="847">
        <v>0.128</v>
      </c>
      <c r="E161" s="847">
        <v>0.125</v>
      </c>
      <c r="F161" s="848">
        <v>0.13</v>
      </c>
    </row>
    <row r="162" spans="1:6" ht="15" thickBot="1">
      <c r="A162" s="717" t="s">
        <v>483</v>
      </c>
      <c r="B162" s="711" t="s">
        <v>180</v>
      </c>
      <c r="C162" s="847">
        <v>0.122</v>
      </c>
      <c r="D162" s="847">
        <v>0.122</v>
      </c>
      <c r="E162" s="847">
        <v>0.126</v>
      </c>
      <c r="F162" s="848">
        <v>0.122</v>
      </c>
    </row>
    <row r="163" spans="1:6" ht="15" thickBot="1">
      <c r="A163" s="717" t="s">
        <v>483</v>
      </c>
      <c r="B163" s="711" t="s">
        <v>192</v>
      </c>
      <c r="C163" s="847">
        <v>0.13</v>
      </c>
      <c r="D163" s="847">
        <v>0.13</v>
      </c>
      <c r="E163" s="847">
        <v>0.125</v>
      </c>
      <c r="F163" s="848">
        <v>0.13</v>
      </c>
    </row>
    <row r="164" spans="1:6" ht="15" thickBot="1">
      <c r="A164" s="717" t="s">
        <v>483</v>
      </c>
      <c r="B164" s="711" t="s">
        <v>204</v>
      </c>
      <c r="C164" s="847">
        <v>0.13</v>
      </c>
      <c r="D164" s="847">
        <v>0.13</v>
      </c>
      <c r="E164" s="847">
        <v>0.13</v>
      </c>
      <c r="F164" s="848">
        <v>0.13</v>
      </c>
    </row>
    <row r="165" spans="1:6" ht="15" thickBot="1">
      <c r="A165" s="717" t="s">
        <v>483</v>
      </c>
      <c r="B165" s="711" t="s">
        <v>216</v>
      </c>
      <c r="C165" s="847">
        <v>0.13</v>
      </c>
      <c r="D165" s="847">
        <v>0.13</v>
      </c>
      <c r="E165" s="847">
        <v>0.124</v>
      </c>
      <c r="F165" s="848">
        <v>0.13</v>
      </c>
    </row>
    <row r="166" spans="1:6" ht="15" thickBot="1">
      <c r="A166" s="717" t="s">
        <v>483</v>
      </c>
      <c r="B166" s="711" t="s">
        <v>229</v>
      </c>
      <c r="C166" s="847">
        <v>0.13</v>
      </c>
      <c r="D166" s="847">
        <v>0.13</v>
      </c>
      <c r="E166" s="847">
        <v>0.13</v>
      </c>
      <c r="F166" s="848">
        <v>0.13</v>
      </c>
    </row>
    <row r="167" spans="1:6" ht="15" thickBot="1">
      <c r="A167" s="717" t="s">
        <v>483</v>
      </c>
      <c r="B167" s="711" t="s">
        <v>240</v>
      </c>
      <c r="C167" s="847">
        <v>0.125</v>
      </c>
      <c r="D167" s="847">
        <v>0.125</v>
      </c>
      <c r="E167" s="847">
        <v>0.121</v>
      </c>
      <c r="F167" s="852"/>
    </row>
    <row r="168" spans="1:6" ht="15" thickBot="1">
      <c r="A168" s="717" t="s">
        <v>483</v>
      </c>
      <c r="B168" s="711" t="s">
        <v>251</v>
      </c>
      <c r="C168" s="847">
        <v>0.13</v>
      </c>
      <c r="D168" s="847">
        <v>0.13</v>
      </c>
      <c r="E168" s="847">
        <v>0.126</v>
      </c>
      <c r="F168" s="852"/>
    </row>
    <row r="169" spans="1:6" ht="15" thickBot="1">
      <c r="A169" s="717" t="s">
        <v>483</v>
      </c>
      <c r="B169" s="711" t="s">
        <v>262</v>
      </c>
      <c r="C169" s="847">
        <v>0.128</v>
      </c>
      <c r="D169" s="847">
        <v>0.129</v>
      </c>
      <c r="E169" s="847">
        <v>0.13</v>
      </c>
      <c r="F169" s="852"/>
    </row>
    <row r="170" spans="1:6" ht="15" thickBot="1">
      <c r="A170" s="717" t="s">
        <v>483</v>
      </c>
      <c r="B170" s="711" t="s">
        <v>273</v>
      </c>
      <c r="C170" s="847">
        <v>0.14099999999999999</v>
      </c>
      <c r="D170" s="847">
        <v>0.13</v>
      </c>
      <c r="E170" s="847">
        <v>0.125</v>
      </c>
      <c r="F170" s="852"/>
    </row>
    <row r="171" spans="1:6" ht="15" thickBot="1">
      <c r="A171" s="717" t="s">
        <v>483</v>
      </c>
      <c r="B171" s="711" t="s">
        <v>825</v>
      </c>
      <c r="C171" s="847">
        <v>0.127</v>
      </c>
      <c r="D171" s="847">
        <v>0.126</v>
      </c>
      <c r="E171" s="847">
        <v>0.126</v>
      </c>
      <c r="F171" s="848">
        <v>0.11799999999999999</v>
      </c>
    </row>
    <row r="172" spans="1:6" ht="15" thickBot="1">
      <c r="A172" s="717" t="s">
        <v>483</v>
      </c>
      <c r="B172" s="711" t="s">
        <v>826</v>
      </c>
      <c r="C172" s="847">
        <v>0.13</v>
      </c>
      <c r="D172" s="847">
        <v>0.13</v>
      </c>
      <c r="E172" s="847">
        <v>0.13</v>
      </c>
      <c r="F172" s="852"/>
    </row>
    <row r="173" spans="1:6" ht="15" thickBot="1">
      <c r="A173" s="717" t="s">
        <v>483</v>
      </c>
      <c r="B173" s="711" t="s">
        <v>305</v>
      </c>
      <c r="C173" s="847">
        <v>0.13</v>
      </c>
      <c r="D173" s="847">
        <v>0.13</v>
      </c>
      <c r="E173" s="847">
        <v>0.13</v>
      </c>
      <c r="F173" s="852"/>
    </row>
    <row r="174" spans="1:6" ht="15" thickBot="1">
      <c r="A174" s="717" t="s">
        <v>483</v>
      </c>
      <c r="B174" s="711" t="s">
        <v>827</v>
      </c>
      <c r="C174" s="847">
        <v>0.13</v>
      </c>
      <c r="D174" s="847">
        <v>0.13</v>
      </c>
      <c r="E174" s="847">
        <v>0.13</v>
      </c>
      <c r="F174" s="848">
        <v>0.13</v>
      </c>
    </row>
    <row r="175" spans="1:6" ht="15" thickBot="1">
      <c r="A175" s="717" t="s">
        <v>483</v>
      </c>
      <c r="B175" s="711" t="s">
        <v>828</v>
      </c>
      <c r="C175" s="847">
        <v>0.13</v>
      </c>
      <c r="D175" s="847">
        <v>0.13</v>
      </c>
      <c r="E175" s="847">
        <v>0.13</v>
      </c>
      <c r="F175" s="848">
        <v>0.13</v>
      </c>
    </row>
    <row r="176" spans="1:6" ht="15" thickBot="1">
      <c r="A176" s="717" t="s">
        <v>483</v>
      </c>
      <c r="B176" s="711" t="s">
        <v>335</v>
      </c>
      <c r="C176" s="847">
        <v>0.13</v>
      </c>
      <c r="D176" s="847">
        <v>0.13</v>
      </c>
      <c r="E176" s="847">
        <v>0.13</v>
      </c>
      <c r="F176" s="848">
        <v>0.13</v>
      </c>
    </row>
    <row r="177" spans="1:6" ht="15" thickBot="1">
      <c r="A177" s="717" t="s">
        <v>483</v>
      </c>
      <c r="B177" s="711" t="s">
        <v>829</v>
      </c>
      <c r="C177" s="847">
        <v>0.13</v>
      </c>
      <c r="D177" s="847">
        <v>0.13</v>
      </c>
      <c r="E177" s="847">
        <v>0.13</v>
      </c>
      <c r="F177" s="848">
        <v>0.13</v>
      </c>
    </row>
    <row r="178" spans="1:6" ht="15" thickBot="1">
      <c r="A178" s="717" t="s">
        <v>483</v>
      </c>
      <c r="B178" s="711" t="s">
        <v>353</v>
      </c>
      <c r="C178" s="847">
        <v>0.13</v>
      </c>
      <c r="D178" s="847">
        <v>0.13</v>
      </c>
      <c r="E178" s="847">
        <v>0.13</v>
      </c>
      <c r="F178" s="848">
        <v>0.127</v>
      </c>
    </row>
    <row r="179" spans="1:6" ht="15" thickBot="1">
      <c r="A179" s="717" t="s">
        <v>483</v>
      </c>
      <c r="B179" s="711" t="s">
        <v>361</v>
      </c>
      <c r="C179" s="847">
        <v>0.13</v>
      </c>
      <c r="D179" s="847">
        <v>0.13</v>
      </c>
      <c r="E179" s="847">
        <v>0.13</v>
      </c>
      <c r="F179" s="852"/>
    </row>
    <row r="180" spans="1:6" ht="15" thickBot="1">
      <c r="A180" s="717" t="s">
        <v>483</v>
      </c>
      <c r="B180" s="711" t="s">
        <v>830</v>
      </c>
      <c r="C180" s="847">
        <v>0.13</v>
      </c>
      <c r="D180" s="847">
        <v>0.13</v>
      </c>
      <c r="E180" s="847">
        <v>0.125</v>
      </c>
      <c r="F180" s="848">
        <v>0.13</v>
      </c>
    </row>
    <row r="181" spans="1:6" ht="15" thickBot="1">
      <c r="A181" s="717" t="s">
        <v>483</v>
      </c>
      <c r="B181" s="711" t="s">
        <v>375</v>
      </c>
      <c r="C181" s="847">
        <v>0.122</v>
      </c>
      <c r="D181" s="847">
        <v>0.123</v>
      </c>
      <c r="E181" s="847">
        <v>0.126</v>
      </c>
      <c r="F181" s="848">
        <v>0.121</v>
      </c>
    </row>
    <row r="182" spans="1:6" ht="15" thickBot="1">
      <c r="A182" s="717" t="s">
        <v>483</v>
      </c>
      <c r="B182" s="711" t="s">
        <v>382</v>
      </c>
      <c r="C182" s="847">
        <v>0.125</v>
      </c>
      <c r="D182" s="847">
        <v>0.125</v>
      </c>
      <c r="E182" s="847">
        <v>0.11700000000000001</v>
      </c>
      <c r="F182" s="848">
        <v>0.13</v>
      </c>
    </row>
    <row r="183" spans="1:6" ht="15" thickBot="1">
      <c r="A183" s="717" t="s">
        <v>483</v>
      </c>
      <c r="B183" s="711" t="s">
        <v>389</v>
      </c>
      <c r="C183" s="847">
        <v>0.127</v>
      </c>
      <c r="D183" s="847">
        <v>0.127</v>
      </c>
      <c r="E183" s="847">
        <v>0.128</v>
      </c>
      <c r="F183" s="852"/>
    </row>
    <row r="184" spans="1:6" ht="15" thickBot="1">
      <c r="A184" s="717" t="s">
        <v>483</v>
      </c>
      <c r="B184" s="711" t="s">
        <v>396</v>
      </c>
      <c r="C184" s="847">
        <v>0.125</v>
      </c>
      <c r="D184" s="847">
        <v>0.125</v>
      </c>
      <c r="E184" s="847">
        <v>0.127</v>
      </c>
      <c r="F184" s="852"/>
    </row>
    <row r="185" spans="1:6" ht="1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5" thickBot="1">
      <c r="A187" s="717" t="s">
        <v>483</v>
      </c>
      <c r="B187" s="711" t="s">
        <v>833</v>
      </c>
      <c r="C187" s="853"/>
      <c r="D187" s="853"/>
      <c r="E187" s="853"/>
      <c r="F187" s="848">
        <v>0.05</v>
      </c>
    </row>
    <row r="188" spans="1:6" ht="24.7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5" thickBot="1">
      <c r="A204" s="717" t="s">
        <v>483</v>
      </c>
      <c r="B204" s="711" t="s">
        <v>850</v>
      </c>
      <c r="C204" s="853"/>
      <c r="D204" s="853"/>
      <c r="E204" s="853"/>
      <c r="F204" s="848">
        <v>0.05</v>
      </c>
    </row>
    <row r="205" spans="1:6" ht="15" thickBot="1">
      <c r="A205" s="734" t="s">
        <v>483</v>
      </c>
      <c r="B205" s="727" t="s">
        <v>851</v>
      </c>
      <c r="C205" s="850"/>
      <c r="D205" s="850"/>
      <c r="E205" s="850"/>
      <c r="F205" s="854">
        <v>0.05</v>
      </c>
    </row>
    <row r="206" spans="1:6" ht="15" thickBot="1">
      <c r="A206" s="717" t="s">
        <v>485</v>
      </c>
      <c r="B206" s="718" t="s">
        <v>852</v>
      </c>
      <c r="C206" s="845">
        <v>0.15</v>
      </c>
      <c r="D206" s="845">
        <v>0.15</v>
      </c>
      <c r="E206" s="845">
        <v>0.15</v>
      </c>
      <c r="F206" s="846">
        <v>0.15</v>
      </c>
    </row>
    <row r="207" spans="1:6" ht="15" thickBot="1">
      <c r="A207" s="717" t="s">
        <v>485</v>
      </c>
      <c r="B207" s="711" t="s">
        <v>143</v>
      </c>
      <c r="C207" s="847">
        <v>0.15</v>
      </c>
      <c r="D207" s="847">
        <v>0.15</v>
      </c>
      <c r="E207" s="847">
        <v>0.15</v>
      </c>
      <c r="F207" s="848">
        <v>0.14399999999999999</v>
      </c>
    </row>
    <row r="208" spans="1:6" ht="15" thickBot="1">
      <c r="A208" s="717" t="s">
        <v>485</v>
      </c>
      <c r="B208" s="711" t="s">
        <v>156</v>
      </c>
      <c r="C208" s="847">
        <v>0.15</v>
      </c>
      <c r="D208" s="847">
        <v>0.15</v>
      </c>
      <c r="E208" s="847">
        <v>0.15</v>
      </c>
      <c r="F208" s="848">
        <v>0.15</v>
      </c>
    </row>
    <row r="209" spans="1:6" ht="15" thickBot="1">
      <c r="A209" s="717" t="s">
        <v>485</v>
      </c>
      <c r="B209" s="711" t="s">
        <v>169</v>
      </c>
      <c r="C209" s="847">
        <v>0.13700000000000001</v>
      </c>
      <c r="D209" s="847">
        <v>0.13700000000000001</v>
      </c>
      <c r="E209" s="847">
        <v>0.14000000000000001</v>
      </c>
      <c r="F209" s="848">
        <v>0.11700000000000001</v>
      </c>
    </row>
    <row r="210" spans="1:6" ht="15" thickBot="1">
      <c r="A210" s="717" t="s">
        <v>485</v>
      </c>
      <c r="B210" s="711" t="s">
        <v>853</v>
      </c>
      <c r="C210" s="847">
        <v>0.15</v>
      </c>
      <c r="D210" s="847">
        <v>0.15</v>
      </c>
      <c r="E210" s="847">
        <v>0.15</v>
      </c>
      <c r="F210" s="848">
        <v>0.13800000000000001</v>
      </c>
    </row>
    <row r="211" spans="1:6" ht="15" thickBot="1">
      <c r="A211" s="717" t="s">
        <v>485</v>
      </c>
      <c r="B211" s="711" t="s">
        <v>854</v>
      </c>
      <c r="C211" s="847">
        <v>0.13700000000000001</v>
      </c>
      <c r="D211" s="847">
        <v>0.13500000000000001</v>
      </c>
      <c r="E211" s="847">
        <v>0.13600000000000001</v>
      </c>
      <c r="F211" s="848">
        <v>0.1</v>
      </c>
    </row>
    <row r="212" spans="1:6" ht="15" thickBot="1">
      <c r="A212" s="717" t="s">
        <v>485</v>
      </c>
      <c r="B212" s="711" t="s">
        <v>855</v>
      </c>
      <c r="C212" s="847">
        <v>0.15</v>
      </c>
      <c r="D212" s="847">
        <v>0.15</v>
      </c>
      <c r="E212" s="847">
        <v>0.14799999999999999</v>
      </c>
      <c r="F212" s="848">
        <v>0.13600000000000001</v>
      </c>
    </row>
    <row r="213" spans="1:6" ht="15" thickBot="1">
      <c r="A213" s="717" t="s">
        <v>485</v>
      </c>
      <c r="B213" s="711" t="s">
        <v>217</v>
      </c>
      <c r="C213" s="847">
        <v>0.15</v>
      </c>
      <c r="D213" s="847">
        <v>0.15</v>
      </c>
      <c r="E213" s="847">
        <v>0.15</v>
      </c>
      <c r="F213" s="848">
        <v>0.13800000000000001</v>
      </c>
    </row>
    <row r="214" spans="1:6" ht="15" thickBot="1">
      <c r="A214" s="717" t="s">
        <v>485</v>
      </c>
      <c r="B214" s="711" t="s">
        <v>230</v>
      </c>
      <c r="C214" s="847">
        <v>9.0999999999999998E-2</v>
      </c>
      <c r="D214" s="847">
        <v>0.09</v>
      </c>
      <c r="E214" s="847">
        <v>9.1999999999999998E-2</v>
      </c>
      <c r="F214" s="852"/>
    </row>
    <row r="215" spans="1:6" ht="15" thickBot="1">
      <c r="A215" s="717" t="s">
        <v>485</v>
      </c>
      <c r="B215" s="711" t="s">
        <v>856</v>
      </c>
      <c r="C215" s="847">
        <v>0.15</v>
      </c>
      <c r="D215" s="847">
        <v>0.15</v>
      </c>
      <c r="E215" s="847">
        <v>0.15</v>
      </c>
      <c r="F215" s="848">
        <v>0.15</v>
      </c>
    </row>
    <row r="216" spans="1:6" ht="15" thickBot="1">
      <c r="A216" s="717" t="s">
        <v>485</v>
      </c>
      <c r="B216" s="711" t="s">
        <v>252</v>
      </c>
      <c r="C216" s="847">
        <v>0.14699999999999999</v>
      </c>
      <c r="D216" s="847">
        <v>0.14699999999999999</v>
      </c>
      <c r="E216" s="847">
        <v>0.15</v>
      </c>
      <c r="F216" s="848">
        <v>0.14000000000000001</v>
      </c>
    </row>
    <row r="217" spans="1:6" ht="15" thickBot="1">
      <c r="A217" s="717" t="s">
        <v>485</v>
      </c>
      <c r="B217" s="711" t="s">
        <v>263</v>
      </c>
      <c r="C217" s="847">
        <v>0.15</v>
      </c>
      <c r="D217" s="847">
        <v>0.15</v>
      </c>
      <c r="E217" s="847">
        <v>0.15</v>
      </c>
      <c r="F217" s="848">
        <v>0.15</v>
      </c>
    </row>
    <row r="218" spans="1:6" ht="15" thickBot="1">
      <c r="A218" s="717" t="s">
        <v>485</v>
      </c>
      <c r="B218" s="711" t="s">
        <v>857</v>
      </c>
      <c r="C218" s="847">
        <v>0.15</v>
      </c>
      <c r="D218" s="847">
        <v>0.15</v>
      </c>
      <c r="E218" s="847">
        <v>0.15</v>
      </c>
      <c r="F218" s="848">
        <v>0.15</v>
      </c>
    </row>
    <row r="219" spans="1:6" ht="15" thickBot="1">
      <c r="A219" s="717" t="s">
        <v>485</v>
      </c>
      <c r="B219" s="711" t="s">
        <v>285</v>
      </c>
      <c r="C219" s="847">
        <v>0.15</v>
      </c>
      <c r="D219" s="847">
        <v>0.15</v>
      </c>
      <c r="E219" s="847">
        <v>0.15</v>
      </c>
      <c r="F219" s="848">
        <v>0.14799999999999999</v>
      </c>
    </row>
    <row r="220" spans="1:6" ht="15" thickBot="1">
      <c r="A220" s="717" t="s">
        <v>485</v>
      </c>
      <c r="B220" s="711" t="s">
        <v>858</v>
      </c>
      <c r="C220" s="847">
        <v>0.15</v>
      </c>
      <c r="D220" s="847">
        <v>0.15</v>
      </c>
      <c r="E220" s="847">
        <v>0.15</v>
      </c>
      <c r="F220" s="848">
        <v>0.15</v>
      </c>
    </row>
    <row r="221" spans="1:6" ht="15" thickBot="1">
      <c r="A221" s="717" t="s">
        <v>485</v>
      </c>
      <c r="B221" s="711" t="s">
        <v>306</v>
      </c>
      <c r="C221" s="847"/>
      <c r="D221" s="853"/>
      <c r="E221" s="853"/>
      <c r="F221" s="848">
        <v>0.14799999999999999</v>
      </c>
    </row>
    <row r="222" spans="1:6" ht="15" thickBot="1">
      <c r="A222" s="717" t="s">
        <v>485</v>
      </c>
      <c r="B222" s="711" t="s">
        <v>316</v>
      </c>
      <c r="C222" s="847"/>
      <c r="D222" s="853"/>
      <c r="E222" s="853"/>
      <c r="F222" s="848">
        <v>0.1</v>
      </c>
    </row>
    <row r="223" spans="1:6" ht="15" thickBot="1">
      <c r="A223" s="717" t="s">
        <v>485</v>
      </c>
      <c r="B223" s="711" t="s">
        <v>326</v>
      </c>
      <c r="C223" s="847"/>
      <c r="D223" s="853"/>
      <c r="E223" s="853"/>
      <c r="F223" s="848">
        <v>0.15</v>
      </c>
    </row>
    <row r="224" spans="1:6" ht="15" thickBot="1">
      <c r="A224" s="717" t="s">
        <v>485</v>
      </c>
      <c r="B224" s="711" t="s">
        <v>336</v>
      </c>
      <c r="C224" s="847"/>
      <c r="D224" s="853"/>
      <c r="E224" s="853"/>
      <c r="F224" s="848">
        <v>0.15</v>
      </c>
    </row>
    <row r="225" spans="1:6" ht="15" thickBot="1">
      <c r="A225" s="717" t="s">
        <v>485</v>
      </c>
      <c r="B225" s="711" t="s">
        <v>859</v>
      </c>
      <c r="C225" s="847">
        <v>0.15</v>
      </c>
      <c r="D225" s="847">
        <v>0.15</v>
      </c>
      <c r="E225" s="847">
        <v>0.15</v>
      </c>
      <c r="F225" s="848">
        <v>0.15</v>
      </c>
    </row>
    <row r="226" spans="1:6" ht="15" thickBot="1">
      <c r="A226" s="717" t="s">
        <v>485</v>
      </c>
      <c r="B226" s="711" t="s">
        <v>354</v>
      </c>
      <c r="C226" s="847">
        <v>0.15</v>
      </c>
      <c r="D226" s="847">
        <v>0.15</v>
      </c>
      <c r="E226" s="847">
        <v>0.15</v>
      </c>
      <c r="F226" s="848">
        <v>0.14799999999999999</v>
      </c>
    </row>
    <row r="227" spans="1:6" ht="15" thickBot="1">
      <c r="A227" s="717" t="s">
        <v>485</v>
      </c>
      <c r="B227" s="711" t="s">
        <v>860</v>
      </c>
      <c r="C227" s="847">
        <v>0.15</v>
      </c>
      <c r="D227" s="847">
        <v>0.15</v>
      </c>
      <c r="E227" s="847">
        <v>0.15</v>
      </c>
      <c r="F227" s="848">
        <v>0.15</v>
      </c>
    </row>
    <row r="228" spans="1:6" ht="15" thickBot="1">
      <c r="A228" s="717" t="s">
        <v>485</v>
      </c>
      <c r="B228" s="711" t="s">
        <v>369</v>
      </c>
      <c r="C228" s="847">
        <v>0.15</v>
      </c>
      <c r="D228" s="847">
        <v>0.15</v>
      </c>
      <c r="E228" s="847">
        <v>0.15</v>
      </c>
      <c r="F228" s="848">
        <v>0.15</v>
      </c>
    </row>
    <row r="229" spans="1:6" ht="15" thickBot="1">
      <c r="A229" s="717" t="s">
        <v>485</v>
      </c>
      <c r="B229" s="711" t="s">
        <v>376</v>
      </c>
      <c r="C229" s="847">
        <v>0.15</v>
      </c>
      <c r="D229" s="847">
        <v>0.15</v>
      </c>
      <c r="E229" s="847">
        <v>0.15</v>
      </c>
      <c r="F229" s="852"/>
    </row>
    <row r="230" spans="1:6" ht="15" thickBot="1">
      <c r="A230" s="717" t="s">
        <v>485</v>
      </c>
      <c r="B230" s="711" t="s">
        <v>383</v>
      </c>
      <c r="C230" s="847">
        <v>0.14499999999999999</v>
      </c>
      <c r="D230" s="847">
        <v>0.14499999999999999</v>
      </c>
      <c r="E230" s="847">
        <v>0.14399999999999999</v>
      </c>
      <c r="F230" s="852"/>
    </row>
    <row r="231" spans="1:6" ht="15" thickBot="1">
      <c r="A231" s="717" t="s">
        <v>485</v>
      </c>
      <c r="B231" s="711" t="s">
        <v>861</v>
      </c>
      <c r="C231" s="847">
        <v>0.128</v>
      </c>
      <c r="D231" s="847">
        <v>0.125</v>
      </c>
      <c r="E231" s="847">
        <v>0.13200000000000001</v>
      </c>
      <c r="F231" s="852"/>
    </row>
    <row r="232" spans="1:6" ht="15" thickBot="1">
      <c r="A232" s="717" t="s">
        <v>485</v>
      </c>
      <c r="B232" s="711" t="s">
        <v>862</v>
      </c>
      <c r="C232" s="847">
        <v>0.14499999999999999</v>
      </c>
      <c r="D232" s="847">
        <v>0.14399999999999999</v>
      </c>
      <c r="E232" s="847">
        <v>0.14599999999999999</v>
      </c>
      <c r="F232" s="848">
        <v>0.13800000000000001</v>
      </c>
    </row>
    <row r="233" spans="1:6" ht="15" thickBot="1">
      <c r="A233" s="717" t="s">
        <v>485</v>
      </c>
      <c r="B233" s="711" t="s">
        <v>863</v>
      </c>
      <c r="C233" s="847">
        <v>0.14499999999999999</v>
      </c>
      <c r="D233" s="847">
        <v>0.14299999999999999</v>
      </c>
      <c r="E233" s="847">
        <v>0.14199999999999999</v>
      </c>
      <c r="F233" s="852"/>
    </row>
    <row r="234" spans="1:6" ht="15" thickBot="1">
      <c r="A234" s="717" t="s">
        <v>485</v>
      </c>
      <c r="B234" s="711" t="s">
        <v>864</v>
      </c>
      <c r="C234" s="847">
        <v>0.14000000000000001</v>
      </c>
      <c r="D234" s="847">
        <v>0.14000000000000001</v>
      </c>
      <c r="E234" s="847">
        <v>0.14399999999999999</v>
      </c>
      <c r="F234" s="852"/>
    </row>
    <row r="235" spans="1:6" ht="15" thickBot="1">
      <c r="A235" s="717" t="s">
        <v>485</v>
      </c>
      <c r="B235" s="711" t="s">
        <v>865</v>
      </c>
      <c r="C235" s="847">
        <v>0.14099999999999999</v>
      </c>
      <c r="D235" s="847">
        <v>0.14199999999999999</v>
      </c>
      <c r="E235" s="847">
        <v>0.14499999999999999</v>
      </c>
      <c r="F235" s="848">
        <v>0.15</v>
      </c>
    </row>
    <row r="236" spans="1:6" ht="1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5" thickBot="1">
      <c r="A245" s="717" t="s">
        <v>487</v>
      </c>
      <c r="B245" s="718" t="s">
        <v>874</v>
      </c>
      <c r="C245" s="845">
        <v>0.15</v>
      </c>
      <c r="D245" s="845">
        <v>0.15</v>
      </c>
      <c r="E245" s="845">
        <v>0.15</v>
      </c>
      <c r="F245" s="846">
        <v>0.14299999999999999</v>
      </c>
    </row>
    <row r="246" spans="1:6" ht="15" thickBot="1">
      <c r="A246" s="717" t="s">
        <v>487</v>
      </c>
      <c r="B246" s="711" t="s">
        <v>144</v>
      </c>
      <c r="C246" s="847">
        <v>0.15</v>
      </c>
      <c r="D246" s="847">
        <v>0.15</v>
      </c>
      <c r="E246" s="847">
        <v>0.15</v>
      </c>
      <c r="F246" s="848">
        <v>0.114</v>
      </c>
    </row>
    <row r="247" spans="1:6" ht="15" thickBot="1">
      <c r="A247" s="717" t="s">
        <v>487</v>
      </c>
      <c r="B247" s="711" t="s">
        <v>875</v>
      </c>
      <c r="C247" s="847">
        <v>0.15</v>
      </c>
      <c r="D247" s="847">
        <v>0.15</v>
      </c>
      <c r="E247" s="847">
        <v>0.15</v>
      </c>
      <c r="F247" s="848">
        <v>0.15</v>
      </c>
    </row>
    <row r="248" spans="1:6" ht="15" thickBot="1">
      <c r="A248" s="717" t="s">
        <v>487</v>
      </c>
      <c r="B248" s="711" t="s">
        <v>876</v>
      </c>
      <c r="C248" s="847">
        <v>0.15</v>
      </c>
      <c r="D248" s="847">
        <v>0.15</v>
      </c>
      <c r="E248" s="847">
        <v>0.15</v>
      </c>
      <c r="F248" s="848">
        <v>0.14000000000000001</v>
      </c>
    </row>
    <row r="249" spans="1:6" ht="15" thickBot="1">
      <c r="A249" s="717" t="s">
        <v>487</v>
      </c>
      <c r="B249" s="711" t="s">
        <v>877</v>
      </c>
      <c r="C249" s="847">
        <v>0.15</v>
      </c>
      <c r="D249" s="847">
        <v>0.14899999999999999</v>
      </c>
      <c r="E249" s="847">
        <v>0.15</v>
      </c>
      <c r="F249" s="848">
        <v>0.1</v>
      </c>
    </row>
    <row r="250" spans="1:6" ht="15" thickBot="1">
      <c r="A250" s="717" t="s">
        <v>487</v>
      </c>
      <c r="B250" s="711" t="s">
        <v>878</v>
      </c>
      <c r="C250" s="847">
        <v>0.15</v>
      </c>
      <c r="D250" s="847">
        <v>0.15</v>
      </c>
      <c r="E250" s="847">
        <v>0.15</v>
      </c>
      <c r="F250" s="848">
        <v>0.14399999999999999</v>
      </c>
    </row>
    <row r="251" spans="1:6" ht="15" thickBot="1">
      <c r="A251" s="717" t="s">
        <v>487</v>
      </c>
      <c r="B251" s="711" t="s">
        <v>206</v>
      </c>
      <c r="C251" s="847">
        <v>0.15</v>
      </c>
      <c r="D251" s="847">
        <v>0.15</v>
      </c>
      <c r="E251" s="847">
        <v>0.15</v>
      </c>
      <c r="F251" s="848">
        <v>0.14299999999999999</v>
      </c>
    </row>
    <row r="252" spans="1:6" ht="15" thickBot="1">
      <c r="A252" s="717" t="s">
        <v>487</v>
      </c>
      <c r="B252" s="711" t="s">
        <v>218</v>
      </c>
      <c r="C252" s="847">
        <v>0.15</v>
      </c>
      <c r="D252" s="847">
        <v>0.15</v>
      </c>
      <c r="E252" s="847">
        <v>0.15</v>
      </c>
      <c r="F252" s="848">
        <v>0.1</v>
      </c>
    </row>
    <row r="253" spans="1:6" ht="15" thickBot="1">
      <c r="A253" s="717" t="s">
        <v>487</v>
      </c>
      <c r="B253" s="711" t="s">
        <v>231</v>
      </c>
      <c r="C253" s="847">
        <v>0.15</v>
      </c>
      <c r="D253" s="847">
        <v>0.15</v>
      </c>
      <c r="E253" s="847">
        <v>0.15</v>
      </c>
      <c r="F253" s="848">
        <v>0.1</v>
      </c>
    </row>
    <row r="254" spans="1:6" ht="15" thickBot="1">
      <c r="A254" s="717" t="s">
        <v>487</v>
      </c>
      <c r="B254" s="711" t="s">
        <v>242</v>
      </c>
      <c r="C254" s="853"/>
      <c r="D254" s="853"/>
      <c r="E254" s="853"/>
      <c r="F254" s="848">
        <v>0.15</v>
      </c>
    </row>
    <row r="255" spans="1:6" ht="15" thickBot="1">
      <c r="A255" s="717" t="s">
        <v>487</v>
      </c>
      <c r="B255" s="711" t="s">
        <v>253</v>
      </c>
      <c r="C255" s="853"/>
      <c r="D255" s="853"/>
      <c r="E255" s="853"/>
      <c r="F255" s="848">
        <v>0.14299999999999999</v>
      </c>
    </row>
    <row r="256" spans="1:6" ht="15" thickBot="1">
      <c r="A256" s="717" t="s">
        <v>487</v>
      </c>
      <c r="B256" s="711" t="s">
        <v>879</v>
      </c>
      <c r="C256" s="847">
        <v>0.14599999999999999</v>
      </c>
      <c r="D256" s="847">
        <v>0.14699999999999999</v>
      </c>
      <c r="E256" s="847">
        <v>0.15</v>
      </c>
      <c r="F256" s="848">
        <v>0.13200000000000001</v>
      </c>
    </row>
    <row r="257" spans="1:6" ht="15" thickBot="1">
      <c r="A257" s="717" t="s">
        <v>487</v>
      </c>
      <c r="B257" s="711" t="s">
        <v>275</v>
      </c>
      <c r="C257" s="847">
        <v>0.15</v>
      </c>
      <c r="D257" s="847">
        <v>0.15</v>
      </c>
      <c r="E257" s="847">
        <v>0.15</v>
      </c>
      <c r="F257" s="848">
        <v>0.13900000000000001</v>
      </c>
    </row>
    <row r="258" spans="1:6" ht="15" thickBot="1">
      <c r="A258" s="717" t="s">
        <v>487</v>
      </c>
      <c r="B258" s="711" t="s">
        <v>286</v>
      </c>
      <c r="C258" s="847">
        <v>0.15</v>
      </c>
      <c r="D258" s="847">
        <v>0.15</v>
      </c>
      <c r="E258" s="847">
        <v>0.15</v>
      </c>
      <c r="F258" s="848">
        <v>0.13</v>
      </c>
    </row>
    <row r="259" spans="1:6" ht="15" thickBot="1">
      <c r="A259" s="717" t="s">
        <v>487</v>
      </c>
      <c r="B259" s="711" t="s">
        <v>880</v>
      </c>
      <c r="C259" s="847">
        <v>0.14799999999999999</v>
      </c>
      <c r="D259" s="847">
        <v>0.14899999999999999</v>
      </c>
      <c r="E259" s="847">
        <v>0.15</v>
      </c>
      <c r="F259" s="848">
        <v>0.13700000000000001</v>
      </c>
    </row>
    <row r="260" spans="1:6" ht="15" thickBot="1">
      <c r="A260" s="717" t="s">
        <v>487</v>
      </c>
      <c r="B260" s="711" t="s">
        <v>307</v>
      </c>
      <c r="C260" s="847">
        <v>0.15</v>
      </c>
      <c r="D260" s="847">
        <v>0.15</v>
      </c>
      <c r="E260" s="847">
        <v>0.15</v>
      </c>
      <c r="F260" s="848">
        <v>0.14199999999999999</v>
      </c>
    </row>
    <row r="261" spans="1:6" ht="15" thickBot="1">
      <c r="A261" s="717" t="s">
        <v>487</v>
      </c>
      <c r="B261" s="711" t="s">
        <v>317</v>
      </c>
      <c r="C261" s="847">
        <v>0.15</v>
      </c>
      <c r="D261" s="847">
        <v>0.15</v>
      </c>
      <c r="E261" s="847">
        <v>0.14899999999999999</v>
      </c>
      <c r="F261" s="848">
        <v>0.14799999999999999</v>
      </c>
    </row>
    <row r="262" spans="1:6" ht="15" thickBot="1">
      <c r="A262" s="717" t="s">
        <v>487</v>
      </c>
      <c r="B262" s="711" t="s">
        <v>327</v>
      </c>
      <c r="C262" s="847">
        <v>0.15</v>
      </c>
      <c r="D262" s="847">
        <v>0.15</v>
      </c>
      <c r="E262" s="847">
        <v>0.15</v>
      </c>
      <c r="F262" s="852"/>
    </row>
    <row r="263" spans="1:6" ht="15" thickBot="1">
      <c r="A263" s="717" t="s">
        <v>487</v>
      </c>
      <c r="B263" s="711" t="s">
        <v>881</v>
      </c>
      <c r="C263" s="847">
        <v>0.14899999999999999</v>
      </c>
      <c r="D263" s="847">
        <v>0.14899999999999999</v>
      </c>
      <c r="E263" s="847">
        <v>0.15</v>
      </c>
      <c r="F263" s="848">
        <v>0.13</v>
      </c>
    </row>
    <row r="264" spans="1:6" ht="15" thickBot="1">
      <c r="A264" s="717" t="s">
        <v>487</v>
      </c>
      <c r="B264" s="711" t="s">
        <v>346</v>
      </c>
      <c r="C264" s="847">
        <v>0.14799999999999999</v>
      </c>
      <c r="D264" s="847">
        <v>0.14699999999999999</v>
      </c>
      <c r="E264" s="847">
        <v>0.15</v>
      </c>
      <c r="F264" s="848">
        <v>7.8E-2</v>
      </c>
    </row>
    <row r="265" spans="1:6" ht="15" thickBot="1">
      <c r="A265" s="717" t="s">
        <v>487</v>
      </c>
      <c r="B265" s="711" t="s">
        <v>355</v>
      </c>
      <c r="C265" s="847">
        <v>0.15</v>
      </c>
      <c r="D265" s="847">
        <v>0.15</v>
      </c>
      <c r="E265" s="847">
        <v>0.15</v>
      </c>
      <c r="F265" s="848">
        <v>7.3999999999999996E-2</v>
      </c>
    </row>
    <row r="266" spans="1:6" ht="15" thickBot="1">
      <c r="A266" s="717" t="s">
        <v>487</v>
      </c>
      <c r="B266" s="711" t="s">
        <v>363</v>
      </c>
      <c r="C266" s="847">
        <v>0.14699999999999999</v>
      </c>
      <c r="D266" s="847">
        <v>0.14699999999999999</v>
      </c>
      <c r="E266" s="847">
        <v>0.15</v>
      </c>
      <c r="F266" s="848">
        <v>0.14299999999999999</v>
      </c>
    </row>
    <row r="267" spans="1:6" ht="15" thickBot="1">
      <c r="A267" s="717" t="s">
        <v>487</v>
      </c>
      <c r="B267" s="711" t="s">
        <v>370</v>
      </c>
      <c r="C267" s="847">
        <v>0.14199999999999999</v>
      </c>
      <c r="D267" s="847">
        <v>0.14299999999999999</v>
      </c>
      <c r="E267" s="847">
        <v>0.15</v>
      </c>
      <c r="F267" s="852"/>
    </row>
    <row r="268" spans="1:6" ht="15" thickBot="1">
      <c r="A268" s="717" t="s">
        <v>487</v>
      </c>
      <c r="B268" s="711" t="s">
        <v>882</v>
      </c>
      <c r="C268" s="847">
        <v>0.15</v>
      </c>
      <c r="D268" s="847">
        <v>0.15</v>
      </c>
      <c r="E268" s="847">
        <v>0.15</v>
      </c>
      <c r="F268" s="848">
        <v>0.13</v>
      </c>
    </row>
    <row r="269" spans="1:6" ht="15" thickBot="1">
      <c r="A269" s="717" t="s">
        <v>487</v>
      </c>
      <c r="B269" s="711" t="s">
        <v>384</v>
      </c>
      <c r="C269" s="847">
        <v>0.15</v>
      </c>
      <c r="D269" s="847">
        <v>0.15</v>
      </c>
      <c r="E269" s="847">
        <v>0.15</v>
      </c>
      <c r="F269" s="848">
        <v>0.14299999999999999</v>
      </c>
    </row>
    <row r="270" spans="1:6" ht="15" thickBot="1">
      <c r="A270" s="717" t="s">
        <v>487</v>
      </c>
      <c r="B270" s="711" t="s">
        <v>391</v>
      </c>
      <c r="C270" s="847">
        <v>0.14499999999999999</v>
      </c>
      <c r="D270" s="847">
        <v>0.14499999999999999</v>
      </c>
      <c r="E270" s="847">
        <v>0.15</v>
      </c>
      <c r="F270" s="848">
        <v>0.14699999999999999</v>
      </c>
    </row>
    <row r="271" spans="1:6" ht="15" thickBot="1">
      <c r="A271" s="717" t="s">
        <v>487</v>
      </c>
      <c r="B271" s="711" t="s">
        <v>398</v>
      </c>
      <c r="C271" s="847">
        <v>0.15</v>
      </c>
      <c r="D271" s="847">
        <v>0.15</v>
      </c>
      <c r="E271" s="847">
        <v>0.15</v>
      </c>
      <c r="F271" s="848">
        <v>0.13800000000000001</v>
      </c>
    </row>
    <row r="272" spans="1:6" ht="15" thickBot="1">
      <c r="A272" s="717" t="s">
        <v>487</v>
      </c>
      <c r="B272" s="711" t="s">
        <v>405</v>
      </c>
      <c r="C272" s="853"/>
      <c r="D272" s="853"/>
      <c r="E272" s="853"/>
      <c r="F272" s="848">
        <v>0.14000000000000001</v>
      </c>
    </row>
    <row r="273" spans="1:6" ht="15" thickBot="1">
      <c r="A273" s="717" t="s">
        <v>487</v>
      </c>
      <c r="B273" s="711" t="s">
        <v>883</v>
      </c>
      <c r="C273" s="847">
        <v>0.14199999999999999</v>
      </c>
      <c r="D273" s="847">
        <v>0.14299999999999999</v>
      </c>
      <c r="E273" s="847">
        <v>0.15</v>
      </c>
      <c r="F273" s="848">
        <v>0.1</v>
      </c>
    </row>
    <row r="274" spans="1:6" ht="15" thickBot="1">
      <c r="A274" s="717" t="s">
        <v>487</v>
      </c>
      <c r="B274" s="711" t="s">
        <v>884</v>
      </c>
      <c r="C274" s="847">
        <v>0.14799999999999999</v>
      </c>
      <c r="D274" s="847">
        <v>0.14799999999999999</v>
      </c>
      <c r="E274" s="847">
        <v>0.15</v>
      </c>
      <c r="F274" s="848">
        <v>6.7000000000000004E-2</v>
      </c>
    </row>
    <row r="275" spans="1:6" ht="15" thickBot="1">
      <c r="A275" s="717" t="s">
        <v>487</v>
      </c>
      <c r="B275" s="711" t="s">
        <v>885</v>
      </c>
      <c r="C275" s="847">
        <v>0.15</v>
      </c>
      <c r="D275" s="847">
        <v>0.15</v>
      </c>
      <c r="E275" s="847">
        <v>0.15</v>
      </c>
      <c r="F275" s="848">
        <v>0.15</v>
      </c>
    </row>
    <row r="276" spans="1:6" ht="15" thickBot="1">
      <c r="A276" s="717" t="s">
        <v>487</v>
      </c>
      <c r="B276" s="711" t="s">
        <v>886</v>
      </c>
      <c r="C276" s="847">
        <v>0.14499999999999999</v>
      </c>
      <c r="D276" s="847">
        <v>0.14299999999999999</v>
      </c>
      <c r="E276" s="847">
        <v>0.15</v>
      </c>
      <c r="F276" s="848">
        <v>5.8999999999999997E-2</v>
      </c>
    </row>
    <row r="277" spans="1:6" ht="15" thickBot="1">
      <c r="A277" s="717" t="s">
        <v>487</v>
      </c>
      <c r="B277" s="711" t="s">
        <v>887</v>
      </c>
      <c r="C277" s="847">
        <v>0.15</v>
      </c>
      <c r="D277" s="847">
        <v>0.15</v>
      </c>
      <c r="E277" s="847">
        <v>0.15</v>
      </c>
      <c r="F277" s="848">
        <v>0.121</v>
      </c>
    </row>
    <row r="278" spans="1:6" ht="1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5" thickBot="1">
      <c r="A290" s="717" t="s">
        <v>491</v>
      </c>
      <c r="B290" s="718" t="s">
        <v>900</v>
      </c>
      <c r="C290" s="845">
        <v>0.15</v>
      </c>
      <c r="D290" s="845">
        <v>0.15</v>
      </c>
      <c r="E290" s="845">
        <v>0.15</v>
      </c>
      <c r="F290" s="862"/>
    </row>
    <row r="291" spans="1:6" ht="15" thickBot="1">
      <c r="A291" s="717" t="s">
        <v>491</v>
      </c>
      <c r="B291" s="711" t="s">
        <v>145</v>
      </c>
      <c r="C291" s="847">
        <v>0.15</v>
      </c>
      <c r="D291" s="847">
        <v>0.15</v>
      </c>
      <c r="E291" s="847">
        <v>0.15</v>
      </c>
      <c r="F291" s="852"/>
    </row>
    <row r="292" spans="1:6" ht="15" thickBot="1">
      <c r="A292" s="717" t="s">
        <v>491</v>
      </c>
      <c r="B292" s="711" t="s">
        <v>901</v>
      </c>
      <c r="C292" s="847">
        <v>0.15</v>
      </c>
      <c r="D292" s="847">
        <v>0.15</v>
      </c>
      <c r="E292" s="847">
        <v>0.15</v>
      </c>
      <c r="F292" s="848">
        <v>0.14699999999999999</v>
      </c>
    </row>
    <row r="293" spans="1:6" ht="15" thickBot="1">
      <c r="A293" s="717" t="s">
        <v>491</v>
      </c>
      <c r="B293" s="711" t="s">
        <v>902</v>
      </c>
      <c r="C293" s="853"/>
      <c r="D293" s="853"/>
      <c r="E293" s="853"/>
      <c r="F293" s="848">
        <v>0.1</v>
      </c>
    </row>
    <row r="294" spans="1:6" ht="15" thickBot="1">
      <c r="A294" s="717" t="s">
        <v>491</v>
      </c>
      <c r="B294" s="711" t="s">
        <v>903</v>
      </c>
      <c r="C294" s="847">
        <v>0.15</v>
      </c>
      <c r="D294" s="847">
        <v>0.15</v>
      </c>
      <c r="E294" s="847">
        <v>0.15</v>
      </c>
      <c r="F294" s="848">
        <v>0.15</v>
      </c>
    </row>
    <row r="295" spans="1:6" ht="15" thickBot="1">
      <c r="A295" s="717" t="s">
        <v>491</v>
      </c>
      <c r="B295" s="711" t="s">
        <v>183</v>
      </c>
      <c r="C295" s="847">
        <v>0.15</v>
      </c>
      <c r="D295" s="847">
        <v>0.15</v>
      </c>
      <c r="E295" s="847">
        <v>0.15</v>
      </c>
      <c r="F295" s="848">
        <v>0.15</v>
      </c>
    </row>
    <row r="296" spans="1:6" ht="15" thickBot="1">
      <c r="A296" s="717" t="s">
        <v>491</v>
      </c>
      <c r="B296" s="711" t="s">
        <v>904</v>
      </c>
      <c r="C296" s="847">
        <v>0.15</v>
      </c>
      <c r="D296" s="847">
        <v>0.15</v>
      </c>
      <c r="E296" s="847">
        <v>0.15</v>
      </c>
      <c r="F296" s="848">
        <v>0.15</v>
      </c>
    </row>
    <row r="297" spans="1:6" ht="15" thickBot="1">
      <c r="A297" s="717" t="s">
        <v>491</v>
      </c>
      <c r="B297" s="711" t="s">
        <v>905</v>
      </c>
      <c r="C297" s="847">
        <v>0.14799999999999999</v>
      </c>
      <c r="D297" s="847">
        <v>0.14899999999999999</v>
      </c>
      <c r="E297" s="847">
        <v>0.15</v>
      </c>
      <c r="F297" s="848">
        <v>0.13700000000000001</v>
      </c>
    </row>
    <row r="298" spans="1:6" ht="15" thickBot="1">
      <c r="A298" s="717" t="s">
        <v>491</v>
      </c>
      <c r="B298" s="711" t="s">
        <v>219</v>
      </c>
      <c r="C298" s="847">
        <v>0.13400000000000001</v>
      </c>
      <c r="D298" s="847">
        <v>0.13400000000000001</v>
      </c>
      <c r="E298" s="847">
        <v>0.14499999999999999</v>
      </c>
      <c r="F298" s="848">
        <v>0.14799999999999999</v>
      </c>
    </row>
    <row r="299" spans="1:6" ht="15" thickBot="1">
      <c r="A299" s="717" t="s">
        <v>491</v>
      </c>
      <c r="B299" s="711" t="s">
        <v>232</v>
      </c>
      <c r="C299" s="847">
        <v>0.15</v>
      </c>
      <c r="D299" s="847">
        <v>0.15</v>
      </c>
      <c r="E299" s="847">
        <v>0.15</v>
      </c>
      <c r="F299" s="852"/>
    </row>
    <row r="300" spans="1:6" ht="15" thickBot="1">
      <c r="A300" s="717" t="s">
        <v>491</v>
      </c>
      <c r="B300" s="711" t="s">
        <v>906</v>
      </c>
      <c r="C300" s="847">
        <v>0.15</v>
      </c>
      <c r="D300" s="847">
        <v>0.15</v>
      </c>
      <c r="E300" s="847">
        <v>0.15</v>
      </c>
      <c r="F300" s="848">
        <v>0.15</v>
      </c>
    </row>
    <row r="301" spans="1:6" ht="15" thickBot="1">
      <c r="A301" s="717" t="s">
        <v>491</v>
      </c>
      <c r="B301" s="711" t="s">
        <v>254</v>
      </c>
      <c r="C301" s="847">
        <v>0.15</v>
      </c>
      <c r="D301" s="847">
        <v>0.15</v>
      </c>
      <c r="E301" s="847">
        <v>0.15</v>
      </c>
      <c r="F301" s="852"/>
    </row>
    <row r="302" spans="1:6" ht="15" thickBot="1">
      <c r="A302" s="717" t="s">
        <v>491</v>
      </c>
      <c r="B302" s="711" t="s">
        <v>907</v>
      </c>
      <c r="C302" s="847">
        <v>0.15</v>
      </c>
      <c r="D302" s="847">
        <v>0.15</v>
      </c>
      <c r="E302" s="847">
        <v>0.15</v>
      </c>
      <c r="F302" s="848">
        <v>0.15</v>
      </c>
    </row>
    <row r="303" spans="1:6" ht="15" thickBot="1">
      <c r="A303" s="717" t="s">
        <v>491</v>
      </c>
      <c r="B303" s="711" t="s">
        <v>276</v>
      </c>
      <c r="C303" s="847">
        <v>0.15</v>
      </c>
      <c r="D303" s="847">
        <v>0.15</v>
      </c>
      <c r="E303" s="847">
        <v>0.15</v>
      </c>
      <c r="F303" s="848">
        <v>0.15</v>
      </c>
    </row>
    <row r="304" spans="1:6" ht="15" thickBot="1">
      <c r="A304" s="717" t="s">
        <v>491</v>
      </c>
      <c r="B304" s="711" t="s">
        <v>287</v>
      </c>
      <c r="C304" s="847">
        <v>0.15</v>
      </c>
      <c r="D304" s="847">
        <v>0.15</v>
      </c>
      <c r="E304" s="847">
        <v>0.15</v>
      </c>
      <c r="F304" s="852"/>
    </row>
    <row r="305" spans="1:6" ht="15" thickBot="1">
      <c r="A305" s="717" t="s">
        <v>491</v>
      </c>
      <c r="B305" s="711" t="s">
        <v>908</v>
      </c>
      <c r="C305" s="847">
        <v>0.15</v>
      </c>
      <c r="D305" s="847">
        <v>0.15</v>
      </c>
      <c r="E305" s="847">
        <v>0.15</v>
      </c>
      <c r="F305" s="848">
        <v>0.14000000000000001</v>
      </c>
    </row>
    <row r="306" spans="1:6" ht="15" thickBot="1">
      <c r="A306" s="717" t="s">
        <v>491</v>
      </c>
      <c r="B306" s="711" t="s">
        <v>308</v>
      </c>
      <c r="C306" s="847">
        <v>0.15</v>
      </c>
      <c r="D306" s="847">
        <v>0.15</v>
      </c>
      <c r="E306" s="847">
        <v>0.15</v>
      </c>
      <c r="F306" s="852"/>
    </row>
    <row r="307" spans="1:6" ht="15" thickBot="1">
      <c r="A307" s="717" t="s">
        <v>491</v>
      </c>
      <c r="B307" s="711" t="s">
        <v>909</v>
      </c>
      <c r="C307" s="847">
        <v>0.15</v>
      </c>
      <c r="D307" s="847">
        <v>0.15</v>
      </c>
      <c r="E307" s="847">
        <v>0.15</v>
      </c>
      <c r="F307" s="848">
        <v>0.14299999999999999</v>
      </c>
    </row>
    <row r="308" spans="1:6" ht="15" thickBot="1">
      <c r="A308" s="717" t="s">
        <v>491</v>
      </c>
      <c r="B308" s="711" t="s">
        <v>328</v>
      </c>
      <c r="C308" s="847">
        <v>0.15</v>
      </c>
      <c r="D308" s="847">
        <v>0.15</v>
      </c>
      <c r="E308" s="847">
        <v>0.15</v>
      </c>
      <c r="F308" s="848">
        <v>0.15</v>
      </c>
    </row>
    <row r="309" spans="1:6" ht="15" thickBot="1">
      <c r="A309" s="717" t="s">
        <v>491</v>
      </c>
      <c r="B309" s="711" t="s">
        <v>338</v>
      </c>
      <c r="C309" s="847">
        <v>0.15</v>
      </c>
      <c r="D309" s="847">
        <v>0.15</v>
      </c>
      <c r="E309" s="847">
        <v>0.15</v>
      </c>
      <c r="F309" s="852"/>
    </row>
    <row r="310" spans="1:6" ht="15" thickBot="1">
      <c r="A310" s="717" t="s">
        <v>491</v>
      </c>
      <c r="B310" s="711" t="s">
        <v>910</v>
      </c>
      <c r="C310" s="847">
        <v>0.15</v>
      </c>
      <c r="D310" s="847">
        <v>0.15</v>
      </c>
      <c r="E310" s="847">
        <v>0.15</v>
      </c>
      <c r="F310" s="848">
        <v>0.13700000000000001</v>
      </c>
    </row>
    <row r="311" spans="1:6" ht="15" thickBot="1">
      <c r="A311" s="717" t="s">
        <v>491</v>
      </c>
      <c r="B311" s="711" t="s">
        <v>911</v>
      </c>
      <c r="C311" s="847">
        <v>0.15</v>
      </c>
      <c r="D311" s="847">
        <v>0.15</v>
      </c>
      <c r="E311" s="847">
        <v>0.15</v>
      </c>
      <c r="F311" s="848">
        <v>0.15</v>
      </c>
    </row>
    <row r="312" spans="1:6" ht="15" thickBot="1">
      <c r="A312" s="717" t="s">
        <v>491</v>
      </c>
      <c r="B312" s="711" t="s">
        <v>364</v>
      </c>
      <c r="C312" s="847">
        <v>0.15</v>
      </c>
      <c r="D312" s="847">
        <v>0.15</v>
      </c>
      <c r="E312" s="847">
        <v>0.15</v>
      </c>
      <c r="F312" s="848">
        <v>0.1</v>
      </c>
    </row>
    <row r="313" spans="1:6" ht="1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5" thickBot="1">
      <c r="A317" s="717" t="s">
        <v>916</v>
      </c>
      <c r="B317" s="718" t="s">
        <v>917</v>
      </c>
      <c r="C317" s="845">
        <v>0.15</v>
      </c>
      <c r="D317" s="845">
        <v>0.15</v>
      </c>
      <c r="E317" s="845">
        <v>0.15</v>
      </c>
      <c r="F317" s="846">
        <v>0.15</v>
      </c>
    </row>
    <row r="318" spans="1:6" ht="15" thickBot="1">
      <c r="A318" s="717" t="s">
        <v>916</v>
      </c>
      <c r="B318" s="711" t="s">
        <v>918</v>
      </c>
      <c r="C318" s="847">
        <v>0.107</v>
      </c>
      <c r="D318" s="847">
        <v>0.11</v>
      </c>
      <c r="E318" s="847">
        <v>0.112</v>
      </c>
      <c r="F318" s="852"/>
    </row>
    <row r="319" spans="1:6" ht="15" thickBot="1">
      <c r="A319" s="717" t="s">
        <v>916</v>
      </c>
      <c r="B319" s="711" t="s">
        <v>919</v>
      </c>
      <c r="C319" s="847">
        <v>0.15</v>
      </c>
      <c r="D319" s="847">
        <v>0.15</v>
      </c>
      <c r="E319" s="847">
        <v>0.15</v>
      </c>
      <c r="F319" s="848">
        <v>0.15</v>
      </c>
    </row>
    <row r="320" spans="1:6" ht="15" thickBot="1">
      <c r="A320" s="717" t="s">
        <v>916</v>
      </c>
      <c r="B320" s="711" t="s">
        <v>172</v>
      </c>
      <c r="C320" s="847">
        <v>0.15</v>
      </c>
      <c r="D320" s="847">
        <v>0.15</v>
      </c>
      <c r="E320" s="847">
        <v>0.15</v>
      </c>
      <c r="F320" s="852"/>
    </row>
    <row r="321" spans="1:6" ht="15" thickBot="1">
      <c r="A321" s="717" t="s">
        <v>916</v>
      </c>
      <c r="B321" s="711" t="s">
        <v>920</v>
      </c>
      <c r="C321" s="847">
        <v>0.15</v>
      </c>
      <c r="D321" s="847">
        <v>0.15</v>
      </c>
      <c r="E321" s="847">
        <v>0.15</v>
      </c>
      <c r="F321" s="852"/>
    </row>
    <row r="322" spans="1:6" ht="15" thickBot="1">
      <c r="A322" s="717" t="s">
        <v>916</v>
      </c>
      <c r="B322" s="711" t="s">
        <v>921</v>
      </c>
      <c r="C322" s="847">
        <v>0.15</v>
      </c>
      <c r="D322" s="847">
        <v>0.15</v>
      </c>
      <c r="E322" s="847">
        <v>0.15</v>
      </c>
      <c r="F322" s="848">
        <v>0.15</v>
      </c>
    </row>
    <row r="323" spans="1:6" ht="15" thickBot="1">
      <c r="A323" s="717" t="s">
        <v>916</v>
      </c>
      <c r="B323" s="711" t="s">
        <v>922</v>
      </c>
      <c r="C323" s="847">
        <v>0.15</v>
      </c>
      <c r="D323" s="847">
        <v>0.15</v>
      </c>
      <c r="E323" s="847">
        <v>0.15</v>
      </c>
      <c r="F323" s="852"/>
    </row>
    <row r="324" spans="1:6" ht="15" thickBot="1">
      <c r="A324" s="717" t="s">
        <v>916</v>
      </c>
      <c r="B324" s="711" t="s">
        <v>923</v>
      </c>
      <c r="C324" s="847">
        <v>0.15</v>
      </c>
      <c r="D324" s="847">
        <v>0.15</v>
      </c>
      <c r="E324" s="847">
        <v>0.15</v>
      </c>
      <c r="F324" s="852"/>
    </row>
    <row r="325" spans="1:6" ht="15" thickBot="1">
      <c r="A325" s="717" t="s">
        <v>916</v>
      </c>
      <c r="B325" s="711" t="s">
        <v>924</v>
      </c>
      <c r="C325" s="847">
        <v>0.15</v>
      </c>
      <c r="D325" s="847">
        <v>0.15</v>
      </c>
      <c r="E325" s="847">
        <v>0.15</v>
      </c>
      <c r="F325" s="848">
        <v>0.14699999999999999</v>
      </c>
    </row>
    <row r="326" spans="1:6" ht="15" thickBot="1">
      <c r="A326" s="717" t="s">
        <v>916</v>
      </c>
      <c r="B326" s="711" t="s">
        <v>244</v>
      </c>
      <c r="C326" s="847">
        <v>0.15</v>
      </c>
      <c r="D326" s="847">
        <v>0.15</v>
      </c>
      <c r="E326" s="847">
        <v>0.15</v>
      </c>
      <c r="F326" s="852"/>
    </row>
    <row r="327" spans="1:6" ht="15" thickBot="1">
      <c r="A327" s="717" t="s">
        <v>916</v>
      </c>
      <c r="B327" s="711" t="s">
        <v>925</v>
      </c>
      <c r="C327" s="847">
        <v>0.15</v>
      </c>
      <c r="D327" s="847">
        <v>0.15</v>
      </c>
      <c r="E327" s="847">
        <v>0.15</v>
      </c>
      <c r="F327" s="848">
        <v>0.15</v>
      </c>
    </row>
    <row r="328" spans="1:6" ht="15" thickBot="1">
      <c r="A328" s="717" t="s">
        <v>916</v>
      </c>
      <c r="B328" s="711" t="s">
        <v>266</v>
      </c>
      <c r="C328" s="847">
        <v>0.15</v>
      </c>
      <c r="D328" s="847">
        <v>0.15</v>
      </c>
      <c r="E328" s="847">
        <v>0.15</v>
      </c>
      <c r="F328" s="848">
        <v>0.14099999999999999</v>
      </c>
    </row>
    <row r="329" spans="1:6" ht="15" thickBot="1">
      <c r="A329" s="717" t="s">
        <v>916</v>
      </c>
      <c r="B329" s="711" t="s">
        <v>277</v>
      </c>
      <c r="C329" s="847">
        <v>0.15</v>
      </c>
      <c r="D329" s="847">
        <v>0.15</v>
      </c>
      <c r="E329" s="847">
        <v>0.15</v>
      </c>
      <c r="F329" s="848">
        <v>0.15</v>
      </c>
    </row>
    <row r="330" spans="1:6" ht="15" thickBot="1">
      <c r="A330" s="717" t="s">
        <v>916</v>
      </c>
      <c r="B330" s="711" t="s">
        <v>288</v>
      </c>
      <c r="C330" s="847">
        <v>0.15</v>
      </c>
      <c r="D330" s="847">
        <v>0.15</v>
      </c>
      <c r="E330" s="847">
        <v>0.15</v>
      </c>
      <c r="F330" s="852"/>
    </row>
    <row r="331" spans="1:6" ht="15" thickBot="1">
      <c r="A331" s="717" t="s">
        <v>916</v>
      </c>
      <c r="B331" s="711" t="s">
        <v>926</v>
      </c>
      <c r="C331" s="847">
        <v>0.15</v>
      </c>
      <c r="D331" s="847">
        <v>0.15</v>
      </c>
      <c r="E331" s="847">
        <v>0.15</v>
      </c>
      <c r="F331" s="848">
        <v>0.15</v>
      </c>
    </row>
    <row r="332" spans="1:6" ht="15" thickBot="1">
      <c r="A332" s="717" t="s">
        <v>916</v>
      </c>
      <c r="B332" s="711" t="s">
        <v>309</v>
      </c>
      <c r="C332" s="847">
        <v>0.15</v>
      </c>
      <c r="D332" s="847">
        <v>0.15</v>
      </c>
      <c r="E332" s="847">
        <v>0.15</v>
      </c>
      <c r="F332" s="848">
        <v>0.15</v>
      </c>
    </row>
    <row r="333" spans="1:6" ht="15" thickBot="1">
      <c r="A333" s="717" t="s">
        <v>916</v>
      </c>
      <c r="B333" s="711" t="s">
        <v>927</v>
      </c>
      <c r="C333" s="847">
        <v>0.15</v>
      </c>
      <c r="D333" s="847">
        <v>0.15</v>
      </c>
      <c r="E333" s="847">
        <v>0.15</v>
      </c>
      <c r="F333" s="848">
        <v>0.14099999999999999</v>
      </c>
    </row>
    <row r="334" spans="1:6" ht="15" thickBot="1">
      <c r="A334" s="717" t="s">
        <v>916</v>
      </c>
      <c r="B334" s="711" t="s">
        <v>329</v>
      </c>
      <c r="C334" s="847">
        <v>0.15</v>
      </c>
      <c r="D334" s="847">
        <v>0.15</v>
      </c>
      <c r="E334" s="847">
        <v>0.15</v>
      </c>
      <c r="F334" s="848">
        <v>0.15</v>
      </c>
    </row>
    <row r="335" spans="1:6" ht="15" thickBot="1">
      <c r="A335" s="717" t="s">
        <v>916</v>
      </c>
      <c r="B335" s="711" t="s">
        <v>339</v>
      </c>
      <c r="C335" s="847">
        <v>0.15</v>
      </c>
      <c r="D335" s="847">
        <v>0.15</v>
      </c>
      <c r="E335" s="847">
        <v>0.15</v>
      </c>
      <c r="F335" s="852"/>
    </row>
    <row r="336" spans="1:6" ht="15" thickBot="1">
      <c r="A336" s="717" t="s">
        <v>916</v>
      </c>
      <c r="B336" s="711" t="s">
        <v>928</v>
      </c>
      <c r="C336" s="847">
        <v>0.15</v>
      </c>
      <c r="D336" s="847">
        <v>0.15</v>
      </c>
      <c r="E336" s="847">
        <v>0.15</v>
      </c>
      <c r="F336" s="848">
        <v>0.11799999999999999</v>
      </c>
    </row>
    <row r="337" spans="1:6" ht="15" thickBot="1">
      <c r="A337" s="734" t="s">
        <v>916</v>
      </c>
      <c r="B337" s="727" t="s">
        <v>357</v>
      </c>
      <c r="C337" s="850"/>
      <c r="D337" s="850"/>
      <c r="E337" s="850"/>
      <c r="F337" s="854">
        <v>0.14299999999999999</v>
      </c>
    </row>
    <row r="338" spans="1:6" ht="15" thickBot="1">
      <c r="A338" s="717" t="s">
        <v>929</v>
      </c>
      <c r="B338" s="718" t="s">
        <v>930</v>
      </c>
      <c r="C338" s="845">
        <v>0.15</v>
      </c>
      <c r="D338" s="845">
        <v>0.15</v>
      </c>
      <c r="E338" s="845">
        <v>0.15</v>
      </c>
      <c r="F338" s="862"/>
    </row>
    <row r="339" spans="1:6" ht="15" thickBot="1">
      <c r="A339" s="717" t="s">
        <v>929</v>
      </c>
      <c r="B339" s="711" t="s">
        <v>931</v>
      </c>
      <c r="C339" s="847">
        <v>0.15</v>
      </c>
      <c r="D339" s="847">
        <v>0.15</v>
      </c>
      <c r="E339" s="847">
        <v>0.15</v>
      </c>
      <c r="F339" s="852"/>
    </row>
    <row r="340" spans="1:6" ht="15" thickBot="1">
      <c r="A340" s="717" t="s">
        <v>929</v>
      </c>
      <c r="B340" s="711" t="s">
        <v>932</v>
      </c>
      <c r="C340" s="847">
        <v>0.15</v>
      </c>
      <c r="D340" s="847">
        <v>0.15</v>
      </c>
      <c r="E340" s="847">
        <v>0.15</v>
      </c>
      <c r="F340" s="852"/>
    </row>
    <row r="341" spans="1:6" ht="15" thickBot="1">
      <c r="A341" s="717" t="s">
        <v>929</v>
      </c>
      <c r="B341" s="711" t="s">
        <v>933</v>
      </c>
      <c r="C341" s="847">
        <v>0.15</v>
      </c>
      <c r="D341" s="847">
        <v>0.15</v>
      </c>
      <c r="E341" s="847">
        <v>0.15</v>
      </c>
      <c r="F341" s="848">
        <v>0.15</v>
      </c>
    </row>
    <row r="342" spans="1:6" ht="15" thickBot="1">
      <c r="A342" s="717" t="s">
        <v>929</v>
      </c>
      <c r="B342" s="711" t="s">
        <v>934</v>
      </c>
      <c r="C342" s="847">
        <v>0.15</v>
      </c>
      <c r="D342" s="847">
        <v>0.15</v>
      </c>
      <c r="E342" s="847">
        <v>0.15</v>
      </c>
      <c r="F342" s="848">
        <v>0.15</v>
      </c>
    </row>
    <row r="343" spans="1:6" ht="15" thickBot="1">
      <c r="A343" s="717" t="s">
        <v>929</v>
      </c>
      <c r="B343" s="711" t="s">
        <v>935</v>
      </c>
      <c r="C343" s="847">
        <v>0.15</v>
      </c>
      <c r="D343" s="847">
        <v>0.15</v>
      </c>
      <c r="E343" s="847">
        <v>0.15</v>
      </c>
      <c r="F343" s="848">
        <v>0.15</v>
      </c>
    </row>
    <row r="344" spans="1:6" ht="15" thickBot="1">
      <c r="A344" s="734" t="s">
        <v>929</v>
      </c>
      <c r="B344" s="727" t="s">
        <v>936</v>
      </c>
      <c r="C344" s="849">
        <v>0.15</v>
      </c>
      <c r="D344" s="849">
        <v>0.15</v>
      </c>
      <c r="E344" s="849">
        <v>0.15</v>
      </c>
      <c r="F344" s="854">
        <v>0.15</v>
      </c>
    </row>
  </sheetData>
  <sheetProtection password="C66D" sheet="1" objects="1" scenarios="1"/>
  <mergeCells count="1">
    <mergeCell ref="A1:B1"/>
  </mergeCells>
  <phoneticPr fontId="88"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7">
    <tabColor rgb="FF92D050"/>
    <pageSetUpPr fitToPage="1"/>
  </sheetPr>
  <dimension ref="A1:T98"/>
  <sheetViews>
    <sheetView zoomScale="90" zoomScaleNormal="90" workbookViewId="0">
      <selection activeCell="H13" sqref="H13"/>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4.2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5.5">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63.75">
      <c r="A5" s="681" t="s">
        <v>714</v>
      </c>
      <c r="B5" s="692" t="str">
        <f>估价对象房地状况!C6</f>
        <v>估价对象临近高速路-京新高速，紧邻城市主干道-信息路，距离清河火车站、地铁昌平线、13号线清河站约900米，周边有320路、365路、446路、447路、495路等公交线路通达，停车便捷程度较好，综合评价交通便捷度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5.5">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t="str">
        <f>估价对象房地状况!C10</f>
        <v>城市主干道-信息路</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53">
      <c r="A10" s="694" t="s">
        <v>719</v>
      </c>
      <c r="B10" s="921" t="str">
        <f>估价对象房地状况!C7</f>
        <v>银行：农村商业银行、北京银行（上地支行）、中国工商银行（北京中关村支行）、中国银行（北京上地信息路支行）等金融场所；
商业设施：北京华联上地购物中心、数字山谷下沉商业广场等商业设施；
教育机构：北京八维研修学院、北京市上地实验学校、中关村第一小学（西二旗分校）、北京市海淀区第二实验小学（当代校区）、美和园幼儿园（智学苑分园）等教育机构；
医疗机构：北京市上地医院、北京市海淀区清河街道西二旗社区卫生服务站等医疗机构；
估价对象所在区域公共配套设施齐备情况较好。</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39" thickBot="1">
      <c r="A12" s="696" t="s">
        <v>721</v>
      </c>
      <c r="B12" s="697" t="str">
        <f>估价对象房地状况!C9</f>
        <v>区域自然环境：上地公园、快乐成长家庭人口文化园等；人文环境；周边人文设施较少；
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38.25">
      <c r="A15" s="681" t="s">
        <v>722</v>
      </c>
      <c r="B15" s="687" t="str">
        <f>估价对象房地状况!C5</f>
        <v>估价对象位于上地商圈，周边办公楼项目有上地研华科技大厦、许继大厦、华为大厦、华环大厦、自主创新大厦等，入驻率高，办公集聚程度较好。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63.75">
      <c r="A16" s="681" t="s">
        <v>714</v>
      </c>
      <c r="B16" s="682" t="str">
        <f>估价对象房地状况!C6</f>
        <v>估价对象临近高速路-京新高速，紧邻城市主干道-信息路，距离清河火车站、地铁昌平线、13号线清河站约900米，周边有320路、365路、446路、447路、495路等公交线路通达，停车便捷程度较好，综合评价交通便捷度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5.5">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t="str">
        <f>估价对象房地状况!C10</f>
        <v>城市主干道-信息路</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53">
      <c r="A21" s="681" t="s">
        <v>719</v>
      </c>
      <c r="B21" s="921" t="str">
        <f>估价对象房地状况!C7</f>
        <v>银行：农村商业银行、北京银行（上地支行）、中国工商银行（北京中关村支行）、中国银行（北京上地信息路支行）等金融场所；
商业设施：北京华联上地购物中心、数字山谷下沉商业广场等商业设施；
教育机构：北京八维研修学院、北京市上地实验学校、中关村第一小学（西二旗分校）、北京市海淀区第二实验小学（当代校区）、美和园幼儿园（智学苑分园）等教育机构；
医疗机构：北京市上地医院、北京市海淀区清河街道西二旗社区卫生服务站等医疗机构；
估价对象所在区域公共配套设施齐备情况较好。</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39" thickBot="1">
      <c r="A23" s="696" t="s">
        <v>721</v>
      </c>
      <c r="B23" s="700" t="str">
        <f>估价对象房地状况!C9</f>
        <v>区域自然环境：上地公园、快乐成长家庭人口文化园等；人文环境；周边人文设施较少；
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4.2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5.5">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63.75">
      <c r="A27" s="681" t="s">
        <v>714</v>
      </c>
      <c r="B27" s="682" t="str">
        <f>估价对象房地状况!C6</f>
        <v>估价对象临近高速路-京新高速，紧邻城市主干道-信息路，距离清河火车站、地铁昌平线、13号线清河站约900米，周边有320路、365路、446路、447路、495路等公交线路通达，停车便捷程度较好，综合评价交通便捷度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t="str">
        <f>估价对象房地状况!C10</f>
        <v>城市主干道-信息路</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53">
      <c r="A30" s="681" t="s">
        <v>719</v>
      </c>
      <c r="B30" s="921" t="str">
        <f>估价对象房地状况!C7</f>
        <v>银行：农村商业银行、北京银行（上地支行）、中国工商银行（北京中关村支行）、中国银行（北京上地信息路支行）等金融场所；
商业设施：北京华联上地购物中心、数字山谷下沉商业广场等商业设施；
教育机构：北京八维研修学院、北京市上地实验学校、中关村第一小学（西二旗分校）、北京市海淀区第二实验小学（当代校区）、美和园幼儿园（智学苑分园）等教育机构；
医疗机构：北京市上地医院、北京市海淀区清河街道西二旗社区卫生服务站等医疗机构；
估价对象所在区域公共配套设施齐备情况较好。</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38.25">
      <c r="A33" s="681" t="s">
        <v>721</v>
      </c>
      <c r="B33" s="687" t="str">
        <f>估价对象房地状况!C9</f>
        <v>区域自然环境：上地公园、快乐成长家庭人口文化园等；人文环境；周边人文设施较少；
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4.2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5.5">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f>IF(基准地价修正!E2="工业",SUMIF(基准地价修正!L1:L12,基准地价修正!G2,基准地价修正!N1:N12),"——")</f>
        <v>0.1</v>
      </c>
      <c r="H37" s="794">
        <v>0.02</v>
      </c>
      <c r="I37" s="667">
        <f>J37+$H37</f>
        <v>0.04</v>
      </c>
      <c r="J37" s="667">
        <f>$K37+$H37</f>
        <v>0.02</v>
      </c>
      <c r="K37" s="666">
        <v>0</v>
      </c>
      <c r="L37" s="667">
        <f t="shared" ref="L37:M44" si="13">K37-$H37</f>
        <v>-0.02</v>
      </c>
      <c r="M37" s="667">
        <f t="shared" si="13"/>
        <v>-0.04</v>
      </c>
    </row>
    <row r="38" spans="1:13" ht="25.5">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6.2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5"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3000-000000000000}">
      <formula1>五等判定</formula1>
    </dataValidation>
  </dataValidations>
  <pageMargins left="0.7" right="0.7" top="0.75" bottom="0.75" header="0.3" footer="0.3"/>
  <pageSetup paperSize="9" scale="41"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8"/>
  <dimension ref="A1:T344"/>
  <sheetViews>
    <sheetView topLeftCell="A11" workbookViewId="0">
      <selection activeCell="A29" sqref="A29:D34"/>
    </sheetView>
  </sheetViews>
  <sheetFormatPr defaultColWidth="9" defaultRowHeight="14.25"/>
  <cols>
    <col min="1" max="1" width="12.625" style="741" customWidth="1"/>
    <col min="2" max="5" width="10.125" style="674" customWidth="1"/>
    <col min="6" max="6" width="9" style="674"/>
    <col min="7" max="7" width="9" style="705"/>
    <col min="8" max="8" width="9" style="674"/>
    <col min="9" max="9" width="9" style="705"/>
    <col min="10" max="16384" width="9" style="674"/>
  </cols>
  <sheetData>
    <row r="1" spans="1:20">
      <c r="A1" s="4900" t="s">
        <v>105</v>
      </c>
      <c r="B1" s="4900"/>
      <c r="C1" s="4900"/>
      <c r="D1" s="4900"/>
      <c r="E1" s="4900"/>
      <c r="F1" s="4900"/>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5" thickBot="1">
      <c r="A2" s="4901" t="s">
        <v>118</v>
      </c>
      <c r="B2" s="4901"/>
      <c r="C2" s="4901"/>
      <c r="D2" s="4901"/>
      <c r="E2" s="4901"/>
      <c r="F2" s="4901"/>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4902"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4903"/>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3060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5"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9"/>
  <dimension ref="A1:M119"/>
  <sheetViews>
    <sheetView workbookViewId="0">
      <selection activeCell="H13" sqref="H13"/>
    </sheetView>
  </sheetViews>
  <sheetFormatPr defaultColWidth="8.125" defaultRowHeight="19.5" customHeight="1"/>
  <cols>
    <col min="1" max="1" width="13.625" style="680" customWidth="1"/>
    <col min="2" max="9" width="8.125" style="764" customWidth="1"/>
    <col min="10" max="13" width="8.125" style="680"/>
    <col min="14" max="14" width="10" style="680" customWidth="1"/>
    <col min="15" max="16" width="8.125" style="680"/>
    <col min="17" max="17" width="34.125" style="680" customWidth="1"/>
    <col min="18" max="18" width="8.125" style="680" customWidth="1"/>
    <col min="19" max="19" width="8.125" style="680"/>
    <col min="20" max="20" width="11.625" style="680" customWidth="1"/>
    <col min="21" max="16384" width="8.1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2715</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4904" t="s">
        <v>132</v>
      </c>
      <c r="B18" s="768" t="s">
        <v>517</v>
      </c>
      <c r="C18" s="769" t="s">
        <v>518</v>
      </c>
      <c r="D18" s="770"/>
      <c r="E18" s="768">
        <v>1</v>
      </c>
      <c r="F18" s="771" t="s">
        <v>519</v>
      </c>
      <c r="G18" s="772"/>
      <c r="H18" s="764"/>
      <c r="I18" s="764"/>
    </row>
    <row r="19" spans="1:9" s="773" customFormat="1" ht="19.5" customHeight="1">
      <c r="A19" s="4904"/>
      <c r="B19" s="4904" t="s">
        <v>520</v>
      </c>
      <c r="C19" s="769" t="s">
        <v>521</v>
      </c>
      <c r="D19" s="770"/>
      <c r="E19" s="768">
        <v>0.9</v>
      </c>
      <c r="F19" s="771" t="s">
        <v>522</v>
      </c>
      <c r="G19" s="772"/>
      <c r="H19" s="764"/>
      <c r="I19" s="764"/>
    </row>
    <row r="20" spans="1:9" s="773" customFormat="1" ht="19.5" customHeight="1">
      <c r="A20" s="4904"/>
      <c r="B20" s="4904"/>
      <c r="C20" s="769" t="s">
        <v>523</v>
      </c>
      <c r="D20" s="770"/>
      <c r="E20" s="768">
        <v>1.1000000000000001</v>
      </c>
      <c r="F20" s="771" t="s">
        <v>524</v>
      </c>
      <c r="G20" s="772"/>
      <c r="H20" s="764"/>
      <c r="I20" s="764"/>
    </row>
    <row r="21" spans="1:9" s="773" customFormat="1" ht="19.5" customHeight="1">
      <c r="A21" s="4904"/>
      <c r="B21" s="4904"/>
      <c r="C21" s="769" t="s">
        <v>525</v>
      </c>
      <c r="D21" s="770"/>
      <c r="E21" s="768">
        <v>0.8</v>
      </c>
      <c r="F21" s="771" t="s">
        <v>526</v>
      </c>
      <c r="G21" s="772"/>
      <c r="H21" s="764"/>
      <c r="I21" s="764"/>
    </row>
    <row r="22" spans="1:9" s="773" customFormat="1" ht="19.5" customHeight="1">
      <c r="A22" s="4904"/>
      <c r="B22" s="4904"/>
      <c r="C22" s="769" t="s">
        <v>527</v>
      </c>
      <c r="D22" s="770"/>
      <c r="E22" s="768">
        <v>0.5</v>
      </c>
      <c r="F22" s="771"/>
      <c r="G22" s="772"/>
      <c r="H22" s="764"/>
      <c r="I22" s="764"/>
    </row>
    <row r="23" spans="1:9" s="773" customFormat="1" ht="19.5" customHeight="1">
      <c r="A23" s="4904" t="s">
        <v>133</v>
      </c>
      <c r="B23" s="768" t="s">
        <v>517</v>
      </c>
      <c r="C23" s="769" t="s">
        <v>528</v>
      </c>
      <c r="D23" s="770"/>
      <c r="E23" s="768">
        <v>1</v>
      </c>
      <c r="F23" s="771" t="s">
        <v>529</v>
      </c>
      <c r="G23" s="772"/>
      <c r="H23" s="764"/>
      <c r="I23" s="764"/>
    </row>
    <row r="24" spans="1:9" s="773" customFormat="1" ht="19.5" customHeight="1">
      <c r="A24" s="4904"/>
      <c r="B24" s="4904" t="s">
        <v>520</v>
      </c>
      <c r="C24" s="769" t="s">
        <v>530</v>
      </c>
      <c r="D24" s="770"/>
      <c r="E24" s="768">
        <v>0.5</v>
      </c>
      <c r="F24" s="771"/>
      <c r="G24" s="772"/>
      <c r="H24" s="764"/>
      <c r="I24" s="764"/>
    </row>
    <row r="25" spans="1:9" s="773" customFormat="1" ht="19.5" customHeight="1">
      <c r="A25" s="4904"/>
      <c r="B25" s="4904"/>
      <c r="C25" s="769" t="s">
        <v>531</v>
      </c>
      <c r="D25" s="770"/>
      <c r="E25" s="768">
        <v>1.1000000000000001</v>
      </c>
      <c r="F25" s="771"/>
      <c r="G25" s="772"/>
      <c r="H25" s="764"/>
      <c r="I25" s="764"/>
    </row>
    <row r="26" spans="1:9" s="773" customFormat="1" ht="19.5" customHeight="1">
      <c r="A26" s="4904"/>
      <c r="B26" s="4904"/>
      <c r="C26" s="769" t="s">
        <v>532</v>
      </c>
      <c r="D26" s="770"/>
      <c r="E26" s="768">
        <v>1.1000000000000001</v>
      </c>
      <c r="F26" s="771"/>
      <c r="G26" s="772"/>
      <c r="H26" s="764"/>
      <c r="I26" s="764"/>
    </row>
    <row r="27" spans="1:9" s="773" customFormat="1" ht="19.5" customHeight="1">
      <c r="A27" s="4904"/>
      <c r="B27" s="4904"/>
      <c r="C27" s="769" t="s">
        <v>533</v>
      </c>
      <c r="D27" s="770"/>
      <c r="E27" s="768">
        <v>0.9</v>
      </c>
      <c r="F27" s="771" t="s">
        <v>534</v>
      </c>
      <c r="G27" s="772"/>
      <c r="H27" s="764"/>
      <c r="I27" s="764"/>
    </row>
    <row r="28" spans="1:9" s="773" customFormat="1" ht="19.5" customHeight="1">
      <c r="A28" s="4904"/>
      <c r="B28" s="4904"/>
      <c r="C28" s="769" t="s">
        <v>535</v>
      </c>
      <c r="D28" s="770"/>
      <c r="E28" s="768">
        <v>0.9</v>
      </c>
      <c r="F28" s="771" t="s">
        <v>536</v>
      </c>
      <c r="G28" s="772"/>
      <c r="H28" s="764"/>
      <c r="I28" s="764"/>
    </row>
    <row r="29" spans="1:9" s="773" customFormat="1" ht="19.5" customHeight="1">
      <c r="A29" s="4904"/>
      <c r="B29" s="4904"/>
      <c r="C29" s="769" t="s">
        <v>537</v>
      </c>
      <c r="D29" s="770"/>
      <c r="E29" s="768">
        <v>0.9</v>
      </c>
      <c r="F29" s="771" t="s">
        <v>538</v>
      </c>
      <c r="G29" s="772"/>
      <c r="H29" s="764"/>
      <c r="I29" s="764"/>
    </row>
    <row r="30" spans="1:9" s="773" customFormat="1" ht="19.5" customHeight="1">
      <c r="A30" s="4904"/>
      <c r="B30" s="4904"/>
      <c r="C30" s="769" t="s">
        <v>539</v>
      </c>
      <c r="D30" s="770"/>
      <c r="E30" s="768">
        <v>0.9</v>
      </c>
      <c r="F30" s="771" t="s">
        <v>540</v>
      </c>
      <c r="G30" s="772"/>
      <c r="H30" s="764"/>
      <c r="I30" s="764"/>
    </row>
    <row r="31" spans="1:9" s="773" customFormat="1" ht="19.5" customHeight="1">
      <c r="A31" s="4904"/>
      <c r="B31" s="4904"/>
      <c r="C31" s="769" t="s">
        <v>541</v>
      </c>
      <c r="D31" s="770"/>
      <c r="E31" s="768">
        <v>0.8</v>
      </c>
      <c r="F31" s="771" t="s">
        <v>542</v>
      </c>
      <c r="G31" s="772"/>
      <c r="H31" s="764"/>
      <c r="I31" s="764"/>
    </row>
    <row r="32" spans="1:9" s="773" customFormat="1" ht="19.5" customHeight="1">
      <c r="A32" s="4904"/>
      <c r="B32" s="4904"/>
      <c r="C32" s="769" t="s">
        <v>543</v>
      </c>
      <c r="D32" s="770"/>
      <c r="E32" s="768">
        <v>0.8</v>
      </c>
      <c r="F32" s="771" t="s">
        <v>544</v>
      </c>
      <c r="G32" s="772"/>
      <c r="H32" s="764"/>
      <c r="I32" s="764"/>
    </row>
    <row r="33" spans="1:9" s="773" customFormat="1" ht="19.5" customHeight="1">
      <c r="A33" s="4904" t="s">
        <v>134</v>
      </c>
      <c r="B33" s="768" t="s">
        <v>517</v>
      </c>
      <c r="C33" s="769" t="s">
        <v>545</v>
      </c>
      <c r="D33" s="770"/>
      <c r="E33" s="768">
        <v>1</v>
      </c>
      <c r="F33" s="771" t="s">
        <v>546</v>
      </c>
      <c r="G33" s="772"/>
      <c r="H33" s="764"/>
      <c r="I33" s="764"/>
    </row>
    <row r="34" spans="1:9" s="773" customFormat="1" ht="19.5" customHeight="1">
      <c r="A34" s="4904"/>
      <c r="B34" s="768" t="s">
        <v>520</v>
      </c>
      <c r="C34" s="769" t="s">
        <v>547</v>
      </c>
      <c r="D34" s="770"/>
      <c r="E34" s="768">
        <v>1.5</v>
      </c>
      <c r="F34" s="771" t="s">
        <v>548</v>
      </c>
      <c r="G34" s="772"/>
      <c r="H34" s="764"/>
      <c r="I34" s="764"/>
    </row>
    <row r="35" spans="1:9" s="773" customFormat="1" ht="19.5" customHeight="1">
      <c r="A35" s="4904" t="s">
        <v>135</v>
      </c>
      <c r="B35" s="768" t="s">
        <v>517</v>
      </c>
      <c r="C35" s="769" t="s">
        <v>549</v>
      </c>
      <c r="D35" s="770"/>
      <c r="E35" s="768">
        <v>1</v>
      </c>
      <c r="F35" s="771" t="s">
        <v>550</v>
      </c>
      <c r="G35" s="772"/>
      <c r="H35" s="764"/>
      <c r="I35" s="764"/>
    </row>
    <row r="36" spans="1:9" s="773" customFormat="1" ht="19.5" customHeight="1">
      <c r="A36" s="4904"/>
      <c r="B36" s="4904" t="s">
        <v>520</v>
      </c>
      <c r="C36" s="769" t="s">
        <v>551</v>
      </c>
      <c r="D36" s="770"/>
      <c r="E36" s="768">
        <v>1</v>
      </c>
      <c r="F36" s="771" t="s">
        <v>552</v>
      </c>
      <c r="G36" s="772"/>
      <c r="H36" s="764"/>
      <c r="I36" s="764"/>
    </row>
    <row r="37" spans="1:9" s="773" customFormat="1" ht="19.5" customHeight="1">
      <c r="A37" s="4904"/>
      <c r="B37" s="4904"/>
      <c r="C37" s="769" t="s">
        <v>553</v>
      </c>
      <c r="D37" s="770"/>
      <c r="E37" s="768">
        <v>1.5</v>
      </c>
      <c r="F37" s="771" t="s">
        <v>554</v>
      </c>
      <c r="G37" s="772"/>
      <c r="H37" s="764"/>
      <c r="I37" s="764"/>
    </row>
    <row r="38" spans="1:9" s="773" customFormat="1" ht="19.5" customHeight="1">
      <c r="A38" s="4904"/>
      <c r="B38" s="4904"/>
      <c r="C38" s="769" t="s">
        <v>555</v>
      </c>
      <c r="D38" s="770"/>
      <c r="E38" s="768">
        <v>1</v>
      </c>
      <c r="F38" s="771" t="s">
        <v>556</v>
      </c>
      <c r="G38" s="772"/>
      <c r="H38" s="764"/>
      <c r="I38" s="764"/>
    </row>
    <row r="39" spans="1:9" s="773" customFormat="1" ht="19.5" customHeight="1">
      <c r="A39" s="4904"/>
      <c r="B39" s="4904"/>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4.25">
      <c r="A60" s="795"/>
      <c r="B60" s="795"/>
      <c r="C60" s="795" t="s">
        <v>702</v>
      </c>
      <c r="D60" s="795"/>
      <c r="E60" s="781" t="s">
        <v>1</v>
      </c>
      <c r="F60" s="795" t="s">
        <v>1</v>
      </c>
    </row>
    <row r="61" spans="1:8" s="764" customFormat="1" ht="25.5">
      <c r="A61" s="768">
        <v>1</v>
      </c>
      <c r="B61" s="4904" t="s">
        <v>571</v>
      </c>
      <c r="C61" s="682" t="s">
        <v>572</v>
      </c>
      <c r="D61" s="682" t="s">
        <v>573</v>
      </c>
      <c r="E61" s="781">
        <v>0.5</v>
      </c>
      <c r="F61" s="768">
        <v>80</v>
      </c>
    </row>
    <row r="62" spans="1:8" s="764" customFormat="1" ht="25.5">
      <c r="A62" s="768">
        <v>2</v>
      </c>
      <c r="B62" s="4904"/>
      <c r="C62" s="682" t="s">
        <v>574</v>
      </c>
      <c r="D62" s="682" t="s">
        <v>575</v>
      </c>
      <c r="E62" s="781">
        <v>0.5</v>
      </c>
      <c r="F62" s="768">
        <v>80</v>
      </c>
    </row>
    <row r="63" spans="1:8" s="764" customFormat="1" ht="38.25">
      <c r="A63" s="768">
        <v>3</v>
      </c>
      <c r="B63" s="4904"/>
      <c r="C63" s="682" t="s">
        <v>576</v>
      </c>
      <c r="D63" s="682" t="s">
        <v>577</v>
      </c>
      <c r="E63" s="781">
        <v>0.5</v>
      </c>
      <c r="F63" s="768">
        <v>80</v>
      </c>
    </row>
    <row r="64" spans="1:8" s="764" customFormat="1" ht="38.25">
      <c r="A64" s="768">
        <v>4</v>
      </c>
      <c r="B64" s="4904"/>
      <c r="C64" s="682" t="s">
        <v>578</v>
      </c>
      <c r="D64" s="682" t="s">
        <v>579</v>
      </c>
      <c r="E64" s="781">
        <v>0.4</v>
      </c>
      <c r="F64" s="768">
        <v>60</v>
      </c>
    </row>
    <row r="65" spans="1:6" s="764" customFormat="1" ht="38.25">
      <c r="A65" s="768">
        <v>5</v>
      </c>
      <c r="B65" s="4904"/>
      <c r="C65" s="682" t="s">
        <v>580</v>
      </c>
      <c r="D65" s="682" t="s">
        <v>581</v>
      </c>
      <c r="E65" s="781">
        <v>0.2</v>
      </c>
      <c r="F65" s="768">
        <v>30</v>
      </c>
    </row>
    <row r="66" spans="1:6" s="764" customFormat="1" ht="38.25">
      <c r="A66" s="768">
        <v>6</v>
      </c>
      <c r="B66" s="4904"/>
      <c r="C66" s="682" t="s">
        <v>582</v>
      </c>
      <c r="D66" s="682" t="s">
        <v>583</v>
      </c>
      <c r="E66" s="781">
        <v>0.3</v>
      </c>
      <c r="F66" s="768">
        <v>50</v>
      </c>
    </row>
    <row r="67" spans="1:6" s="764" customFormat="1" ht="38.25">
      <c r="A67" s="768">
        <v>7</v>
      </c>
      <c r="B67" s="4904"/>
      <c r="C67" s="682" t="s">
        <v>584</v>
      </c>
      <c r="D67" s="682" t="s">
        <v>585</v>
      </c>
      <c r="E67" s="781">
        <v>0.2</v>
      </c>
      <c r="F67" s="768">
        <v>30</v>
      </c>
    </row>
    <row r="68" spans="1:6" s="764" customFormat="1" ht="38.25">
      <c r="A68" s="768">
        <v>8</v>
      </c>
      <c r="B68" s="4904"/>
      <c r="C68" s="682" t="s">
        <v>586</v>
      </c>
      <c r="D68" s="682" t="s">
        <v>587</v>
      </c>
      <c r="E68" s="781">
        <v>0.2</v>
      </c>
      <c r="F68" s="768">
        <v>30</v>
      </c>
    </row>
    <row r="69" spans="1:6" s="764" customFormat="1" ht="38.25">
      <c r="A69" s="768">
        <v>9</v>
      </c>
      <c r="B69" s="4904"/>
      <c r="C69" s="682" t="s">
        <v>588</v>
      </c>
      <c r="D69" s="682" t="s">
        <v>589</v>
      </c>
      <c r="E69" s="781">
        <v>0.2</v>
      </c>
      <c r="F69" s="768">
        <v>30</v>
      </c>
    </row>
    <row r="70" spans="1:6" s="764" customFormat="1" ht="51">
      <c r="A70" s="768">
        <v>10</v>
      </c>
      <c r="B70" s="4904"/>
      <c r="C70" s="682" t="s">
        <v>590</v>
      </c>
      <c r="D70" s="682" t="s">
        <v>591</v>
      </c>
      <c r="E70" s="781">
        <v>0.2</v>
      </c>
      <c r="F70" s="768">
        <v>30</v>
      </c>
    </row>
    <row r="71" spans="1:6" s="764" customFormat="1" ht="51">
      <c r="A71" s="768">
        <v>11</v>
      </c>
      <c r="B71" s="4904"/>
      <c r="C71" s="682" t="s">
        <v>592</v>
      </c>
      <c r="D71" s="682" t="s">
        <v>593</v>
      </c>
      <c r="E71" s="781">
        <v>0.2</v>
      </c>
      <c r="F71" s="768">
        <v>30</v>
      </c>
    </row>
    <row r="72" spans="1:6" s="764" customFormat="1" ht="38.25">
      <c r="A72" s="768">
        <v>12</v>
      </c>
      <c r="B72" s="4904"/>
      <c r="C72" s="682" t="s">
        <v>594</v>
      </c>
      <c r="D72" s="682" t="s">
        <v>595</v>
      </c>
      <c r="E72" s="781">
        <v>0.5</v>
      </c>
      <c r="F72" s="768">
        <v>80</v>
      </c>
    </row>
    <row r="73" spans="1:6" s="764" customFormat="1" ht="25.5">
      <c r="A73" s="768">
        <v>13</v>
      </c>
      <c r="B73" s="4904"/>
      <c r="C73" s="682" t="s">
        <v>596</v>
      </c>
      <c r="D73" s="682" t="s">
        <v>597</v>
      </c>
      <c r="E73" s="781">
        <v>0.4</v>
      </c>
      <c r="F73" s="768">
        <v>60</v>
      </c>
    </row>
    <row r="74" spans="1:6" s="764" customFormat="1" ht="25.5">
      <c r="A74" s="768">
        <v>14</v>
      </c>
      <c r="B74" s="4904"/>
      <c r="C74" s="682" t="s">
        <v>598</v>
      </c>
      <c r="D74" s="682" t="s">
        <v>599</v>
      </c>
      <c r="E74" s="781">
        <v>0.2</v>
      </c>
      <c r="F74" s="768">
        <v>30</v>
      </c>
    </row>
    <row r="75" spans="1:6" s="764" customFormat="1" ht="25.5">
      <c r="A75" s="768">
        <v>15</v>
      </c>
      <c r="B75" s="4904"/>
      <c r="C75" s="682" t="s">
        <v>600</v>
      </c>
      <c r="D75" s="682" t="s">
        <v>601</v>
      </c>
      <c r="E75" s="781">
        <v>0.2</v>
      </c>
      <c r="F75" s="768">
        <v>30</v>
      </c>
    </row>
    <row r="76" spans="1:6" s="764" customFormat="1" ht="25.5">
      <c r="A76" s="768">
        <v>16</v>
      </c>
      <c r="B76" s="4904" t="s">
        <v>602</v>
      </c>
      <c r="C76" s="682" t="s">
        <v>603</v>
      </c>
      <c r="D76" s="682" t="s">
        <v>604</v>
      </c>
      <c r="E76" s="781">
        <v>0.5</v>
      </c>
      <c r="F76" s="768">
        <v>80</v>
      </c>
    </row>
    <row r="77" spans="1:6" s="764" customFormat="1" ht="25.5">
      <c r="A77" s="768">
        <v>17</v>
      </c>
      <c r="B77" s="4904"/>
      <c r="C77" s="682" t="s">
        <v>605</v>
      </c>
      <c r="D77" s="682" t="s">
        <v>606</v>
      </c>
      <c r="E77" s="781">
        <v>0.5</v>
      </c>
      <c r="F77" s="768">
        <v>80</v>
      </c>
    </row>
    <row r="78" spans="1:6" s="764" customFormat="1" ht="25.5">
      <c r="A78" s="768">
        <v>18</v>
      </c>
      <c r="B78" s="4904"/>
      <c r="C78" s="682" t="s">
        <v>607</v>
      </c>
      <c r="D78" s="682" t="s">
        <v>608</v>
      </c>
      <c r="E78" s="781">
        <v>0.2</v>
      </c>
      <c r="F78" s="768">
        <v>30</v>
      </c>
    </row>
    <row r="79" spans="1:6" s="764" customFormat="1" ht="25.5">
      <c r="A79" s="768">
        <v>19</v>
      </c>
      <c r="B79" s="4904"/>
      <c r="C79" s="682" t="s">
        <v>609</v>
      </c>
      <c r="D79" s="682" t="s">
        <v>610</v>
      </c>
      <c r="E79" s="781">
        <v>0.5</v>
      </c>
      <c r="F79" s="768">
        <v>80</v>
      </c>
    </row>
    <row r="80" spans="1:6" s="764" customFormat="1" ht="38.25">
      <c r="A80" s="768">
        <v>20</v>
      </c>
      <c r="B80" s="4904"/>
      <c r="C80" s="682" t="s">
        <v>611</v>
      </c>
      <c r="D80" s="682" t="s">
        <v>612</v>
      </c>
      <c r="E80" s="781">
        <v>0.2</v>
      </c>
      <c r="F80" s="768">
        <v>30</v>
      </c>
    </row>
    <row r="81" spans="1:6" s="764" customFormat="1" ht="38.25">
      <c r="A81" s="768">
        <v>21</v>
      </c>
      <c r="B81" s="4904"/>
      <c r="C81" s="682" t="s">
        <v>613</v>
      </c>
      <c r="D81" s="682" t="s">
        <v>614</v>
      </c>
      <c r="E81" s="781">
        <v>0.2</v>
      </c>
      <c r="F81" s="768">
        <v>30</v>
      </c>
    </row>
    <row r="82" spans="1:6" s="764" customFormat="1" ht="51">
      <c r="A82" s="768">
        <v>22</v>
      </c>
      <c r="B82" s="4904"/>
      <c r="C82" s="682" t="s">
        <v>615</v>
      </c>
      <c r="D82" s="682" t="s">
        <v>616</v>
      </c>
      <c r="E82" s="781">
        <v>0.2</v>
      </c>
      <c r="F82" s="768">
        <v>30</v>
      </c>
    </row>
    <row r="83" spans="1:6" s="764" customFormat="1" ht="51">
      <c r="A83" s="768">
        <v>23</v>
      </c>
      <c r="B83" s="4904"/>
      <c r="C83" s="682" t="s">
        <v>617</v>
      </c>
      <c r="D83" s="682" t="s">
        <v>618</v>
      </c>
      <c r="E83" s="781">
        <v>0.2</v>
      </c>
      <c r="F83" s="768">
        <v>30</v>
      </c>
    </row>
    <row r="84" spans="1:6" s="764" customFormat="1" ht="38.25">
      <c r="A84" s="768">
        <v>24</v>
      </c>
      <c r="B84" s="4904"/>
      <c r="C84" s="682" t="s">
        <v>619</v>
      </c>
      <c r="D84" s="682" t="s">
        <v>620</v>
      </c>
      <c r="E84" s="781">
        <v>0.2</v>
      </c>
      <c r="F84" s="768">
        <v>30</v>
      </c>
    </row>
    <row r="85" spans="1:6" s="764" customFormat="1" ht="38.25">
      <c r="A85" s="768">
        <v>25</v>
      </c>
      <c r="B85" s="4904"/>
      <c r="C85" s="682" t="s">
        <v>621</v>
      </c>
      <c r="D85" s="682" t="s">
        <v>622</v>
      </c>
      <c r="E85" s="781">
        <v>0.5</v>
      </c>
      <c r="F85" s="768">
        <v>80</v>
      </c>
    </row>
    <row r="86" spans="1:6" s="764" customFormat="1" ht="38.25">
      <c r="A86" s="768">
        <v>26</v>
      </c>
      <c r="B86" s="4904"/>
      <c r="C86" s="682" t="s">
        <v>623</v>
      </c>
      <c r="D86" s="682" t="s">
        <v>624</v>
      </c>
      <c r="E86" s="781">
        <v>0.2</v>
      </c>
      <c r="F86" s="768">
        <v>30</v>
      </c>
    </row>
    <row r="87" spans="1:6" s="764" customFormat="1" ht="38.25">
      <c r="A87" s="768">
        <v>27</v>
      </c>
      <c r="B87" s="4904"/>
      <c r="C87" s="682" t="s">
        <v>625</v>
      </c>
      <c r="D87" s="682" t="s">
        <v>626</v>
      </c>
      <c r="E87" s="781">
        <v>0.2</v>
      </c>
      <c r="F87" s="768">
        <v>30</v>
      </c>
    </row>
    <row r="88" spans="1:6" s="764" customFormat="1" ht="38.25">
      <c r="A88" s="768">
        <v>28</v>
      </c>
      <c r="B88" s="4904"/>
      <c r="C88" s="682" t="s">
        <v>627</v>
      </c>
      <c r="D88" s="682" t="s">
        <v>628</v>
      </c>
      <c r="E88" s="781">
        <v>0.2</v>
      </c>
      <c r="F88" s="768">
        <v>30</v>
      </c>
    </row>
    <row r="89" spans="1:6" s="764" customFormat="1" ht="25.5">
      <c r="A89" s="768">
        <v>29</v>
      </c>
      <c r="B89" s="4904"/>
      <c r="C89" s="682" t="s">
        <v>629</v>
      </c>
      <c r="D89" s="682" t="s">
        <v>630</v>
      </c>
      <c r="E89" s="781">
        <v>0.2</v>
      </c>
      <c r="F89" s="768">
        <v>30</v>
      </c>
    </row>
    <row r="90" spans="1:6" s="764" customFormat="1" ht="25.5">
      <c r="A90" s="768">
        <v>30</v>
      </c>
      <c r="B90" s="4904"/>
      <c r="C90" s="682" t="s">
        <v>631</v>
      </c>
      <c r="D90" s="682" t="s">
        <v>632</v>
      </c>
      <c r="E90" s="781">
        <v>0.2</v>
      </c>
      <c r="F90" s="768">
        <v>30</v>
      </c>
    </row>
    <row r="91" spans="1:6" s="764" customFormat="1" ht="38.25">
      <c r="A91" s="768">
        <v>31</v>
      </c>
      <c r="B91" s="4904"/>
      <c r="C91" s="682" t="s">
        <v>633</v>
      </c>
      <c r="D91" s="682" t="s">
        <v>634</v>
      </c>
      <c r="E91" s="781">
        <v>0.2</v>
      </c>
      <c r="F91" s="768">
        <v>30</v>
      </c>
    </row>
    <row r="92" spans="1:6" s="764" customFormat="1" ht="25.5">
      <c r="A92" s="768">
        <v>32</v>
      </c>
      <c r="B92" s="4904" t="s">
        <v>635</v>
      </c>
      <c r="C92" s="768" t="s">
        <v>636</v>
      </c>
      <c r="D92" s="682" t="s">
        <v>637</v>
      </c>
      <c r="E92" s="781">
        <v>0.2</v>
      </c>
      <c r="F92" s="768">
        <v>30</v>
      </c>
    </row>
    <row r="93" spans="1:6" s="764" customFormat="1" ht="38.25">
      <c r="A93" s="768">
        <v>33</v>
      </c>
      <c r="B93" s="4904"/>
      <c r="C93" s="768" t="s">
        <v>638</v>
      </c>
      <c r="D93" s="682" t="s">
        <v>639</v>
      </c>
      <c r="E93" s="781">
        <v>0.2</v>
      </c>
      <c r="F93" s="768">
        <v>30</v>
      </c>
    </row>
    <row r="94" spans="1:6" s="764" customFormat="1" ht="51">
      <c r="A94" s="768">
        <v>34</v>
      </c>
      <c r="B94" s="4904"/>
      <c r="C94" s="768" t="s">
        <v>640</v>
      </c>
      <c r="D94" s="682" t="s">
        <v>641</v>
      </c>
      <c r="E94" s="781">
        <v>0.2</v>
      </c>
      <c r="F94" s="768">
        <v>30</v>
      </c>
    </row>
    <row r="95" spans="1:6" s="764" customFormat="1" ht="38.25">
      <c r="A95" s="768">
        <v>35</v>
      </c>
      <c r="B95" s="4904"/>
      <c r="C95" s="768" t="s">
        <v>642</v>
      </c>
      <c r="D95" s="682" t="s">
        <v>643</v>
      </c>
      <c r="E95" s="781">
        <v>0.2</v>
      </c>
      <c r="F95" s="768">
        <v>30</v>
      </c>
    </row>
    <row r="96" spans="1:6" s="764" customFormat="1" ht="51">
      <c r="A96" s="768">
        <v>36</v>
      </c>
      <c r="B96" s="4904"/>
      <c r="C96" s="682" t="s">
        <v>644</v>
      </c>
      <c r="D96" s="682" t="s">
        <v>645</v>
      </c>
      <c r="E96" s="781">
        <v>0.2</v>
      </c>
      <c r="F96" s="768">
        <v>30</v>
      </c>
    </row>
    <row r="97" spans="1:6" s="764" customFormat="1" ht="38.25">
      <c r="A97" s="768">
        <v>37</v>
      </c>
      <c r="B97" s="4904"/>
      <c r="C97" s="768" t="s">
        <v>646</v>
      </c>
      <c r="D97" s="682" t="s">
        <v>647</v>
      </c>
      <c r="E97" s="781">
        <v>0.2</v>
      </c>
      <c r="F97" s="768">
        <v>30</v>
      </c>
    </row>
    <row r="98" spans="1:6" s="764" customFormat="1" ht="38.25">
      <c r="A98" s="768">
        <v>38</v>
      </c>
      <c r="B98" s="4904"/>
      <c r="C98" s="768" t="s">
        <v>648</v>
      </c>
      <c r="D98" s="682" t="s">
        <v>649</v>
      </c>
      <c r="E98" s="781">
        <v>0.2</v>
      </c>
      <c r="F98" s="768">
        <v>30</v>
      </c>
    </row>
    <row r="99" spans="1:6" s="764" customFormat="1" ht="38.25">
      <c r="A99" s="768">
        <v>39</v>
      </c>
      <c r="B99" s="4904" t="s">
        <v>650</v>
      </c>
      <c r="C99" s="768" t="s">
        <v>651</v>
      </c>
      <c r="D99" s="682" t="s">
        <v>652</v>
      </c>
      <c r="E99" s="781">
        <v>0.3</v>
      </c>
      <c r="F99" s="768">
        <v>50</v>
      </c>
    </row>
    <row r="100" spans="1:6" s="764" customFormat="1" ht="25.5">
      <c r="A100" s="768">
        <v>40</v>
      </c>
      <c r="B100" s="4904"/>
      <c r="C100" s="768" t="s">
        <v>653</v>
      </c>
      <c r="D100" s="682" t="s">
        <v>654</v>
      </c>
      <c r="E100" s="781">
        <v>0.2</v>
      </c>
      <c r="F100" s="768">
        <v>30</v>
      </c>
    </row>
    <row r="101" spans="1:6" s="764" customFormat="1" ht="38.25">
      <c r="A101" s="768">
        <v>41</v>
      </c>
      <c r="B101" s="4904"/>
      <c r="C101" s="768" t="s">
        <v>655</v>
      </c>
      <c r="D101" s="682" t="s">
        <v>652</v>
      </c>
      <c r="E101" s="781">
        <v>0.2</v>
      </c>
      <c r="F101" s="768">
        <v>30</v>
      </c>
    </row>
    <row r="102" spans="1:6" s="764" customFormat="1" ht="51">
      <c r="A102" s="768">
        <v>42</v>
      </c>
      <c r="B102" s="768" t="s">
        <v>656</v>
      </c>
      <c r="C102" s="682" t="s">
        <v>657</v>
      </c>
      <c r="D102" s="682" t="s">
        <v>658</v>
      </c>
      <c r="E102" s="781">
        <v>0.2</v>
      </c>
      <c r="F102" s="768">
        <v>30</v>
      </c>
    </row>
    <row r="103" spans="1:6" s="764" customFormat="1" ht="25.5">
      <c r="A103" s="768">
        <v>43</v>
      </c>
      <c r="B103" s="768" t="s">
        <v>659</v>
      </c>
      <c r="C103" s="768" t="s">
        <v>660</v>
      </c>
      <c r="D103" s="682" t="s">
        <v>661</v>
      </c>
      <c r="E103" s="781">
        <v>0.2</v>
      </c>
      <c r="F103" s="768">
        <v>30</v>
      </c>
    </row>
    <row r="104" spans="1:6" s="764" customFormat="1" ht="38.25">
      <c r="A104" s="768">
        <v>44</v>
      </c>
      <c r="B104" s="768" t="s">
        <v>662</v>
      </c>
      <c r="C104" s="768" t="s">
        <v>663</v>
      </c>
      <c r="D104" s="682" t="s">
        <v>664</v>
      </c>
      <c r="E104" s="781">
        <v>0.2</v>
      </c>
      <c r="F104" s="768">
        <v>30</v>
      </c>
    </row>
    <row r="105" spans="1:6" s="764" customFormat="1" ht="38.25">
      <c r="A105" s="768">
        <v>45</v>
      </c>
      <c r="B105" s="4904" t="s">
        <v>665</v>
      </c>
      <c r="C105" s="768" t="s">
        <v>666</v>
      </c>
      <c r="D105" s="682" t="s">
        <v>667</v>
      </c>
      <c r="E105" s="781">
        <v>0.2</v>
      </c>
      <c r="F105" s="768">
        <v>30</v>
      </c>
    </row>
    <row r="106" spans="1:6" s="764" customFormat="1" ht="38.25">
      <c r="A106" s="768">
        <v>46</v>
      </c>
      <c r="B106" s="4904"/>
      <c r="C106" s="768" t="s">
        <v>668</v>
      </c>
      <c r="D106" s="682" t="s">
        <v>669</v>
      </c>
      <c r="E106" s="781">
        <v>0.2</v>
      </c>
      <c r="F106" s="768">
        <v>30</v>
      </c>
    </row>
    <row r="107" spans="1:6" s="764" customFormat="1" ht="38.25">
      <c r="A107" s="768">
        <v>47</v>
      </c>
      <c r="B107" s="4904" t="s">
        <v>670</v>
      </c>
      <c r="C107" s="768" t="s">
        <v>671</v>
      </c>
      <c r="D107" s="682" t="s">
        <v>672</v>
      </c>
      <c r="E107" s="781">
        <v>0.3</v>
      </c>
      <c r="F107" s="768">
        <v>50</v>
      </c>
    </row>
    <row r="108" spans="1:6" s="764" customFormat="1" ht="38.25">
      <c r="A108" s="768">
        <v>48</v>
      </c>
      <c r="B108" s="4904"/>
      <c r="C108" s="768" t="s">
        <v>673</v>
      </c>
      <c r="D108" s="682" t="s">
        <v>674</v>
      </c>
      <c r="E108" s="781">
        <v>0.2</v>
      </c>
      <c r="F108" s="768">
        <v>30</v>
      </c>
    </row>
    <row r="109" spans="1:6" s="764" customFormat="1" ht="38.25">
      <c r="A109" s="768">
        <v>49</v>
      </c>
      <c r="B109" s="768" t="s">
        <v>675</v>
      </c>
      <c r="C109" s="768" t="s">
        <v>676</v>
      </c>
      <c r="D109" s="682" t="s">
        <v>677</v>
      </c>
      <c r="E109" s="781">
        <v>0.2</v>
      </c>
      <c r="F109" s="768">
        <v>30</v>
      </c>
    </row>
    <row r="110" spans="1:6" s="764" customFormat="1" ht="38.25">
      <c r="A110" s="768">
        <v>50</v>
      </c>
      <c r="B110" s="768" t="s">
        <v>678</v>
      </c>
      <c r="C110" s="768" t="s">
        <v>679</v>
      </c>
      <c r="D110" s="682" t="s">
        <v>680</v>
      </c>
      <c r="E110" s="781">
        <v>0.2</v>
      </c>
      <c r="F110" s="768">
        <v>30</v>
      </c>
    </row>
    <row r="111" spans="1:6" s="764" customFormat="1" ht="38.25">
      <c r="A111" s="768">
        <v>51</v>
      </c>
      <c r="B111" s="4904" t="s">
        <v>681</v>
      </c>
      <c r="C111" s="768" t="s">
        <v>682</v>
      </c>
      <c r="D111" s="682" t="s">
        <v>683</v>
      </c>
      <c r="E111" s="781">
        <v>0.2</v>
      </c>
      <c r="F111" s="768">
        <v>30</v>
      </c>
    </row>
    <row r="112" spans="1:6" s="764" customFormat="1" ht="25.5">
      <c r="A112" s="768">
        <v>52</v>
      </c>
      <c r="B112" s="4904"/>
      <c r="C112" s="768" t="s">
        <v>684</v>
      </c>
      <c r="D112" s="682" t="s">
        <v>685</v>
      </c>
      <c r="E112" s="781">
        <v>0.2</v>
      </c>
      <c r="F112" s="768">
        <v>30</v>
      </c>
    </row>
    <row r="113" spans="1:6" s="764" customFormat="1" ht="25.5">
      <c r="A113" s="768">
        <v>53</v>
      </c>
      <c r="B113" s="4904"/>
      <c r="C113" s="768" t="s">
        <v>686</v>
      </c>
      <c r="D113" s="682" t="s">
        <v>687</v>
      </c>
      <c r="E113" s="781">
        <v>0.2</v>
      </c>
      <c r="F113" s="768">
        <v>30</v>
      </c>
    </row>
    <row r="114" spans="1:6" ht="38.25">
      <c r="A114" s="768">
        <v>54</v>
      </c>
      <c r="B114" s="768" t="s">
        <v>688</v>
      </c>
      <c r="C114" s="768" t="s">
        <v>689</v>
      </c>
      <c r="D114" s="682" t="s">
        <v>690</v>
      </c>
      <c r="E114" s="781">
        <v>0.2</v>
      </c>
      <c r="F114" s="768">
        <v>30</v>
      </c>
    </row>
    <row r="115" spans="1:6" ht="25.5">
      <c r="A115" s="768">
        <v>55</v>
      </c>
      <c r="B115" s="768" t="s">
        <v>691</v>
      </c>
      <c r="C115" s="768" t="s">
        <v>692</v>
      </c>
      <c r="D115" s="682" t="s">
        <v>693</v>
      </c>
      <c r="E115" s="781">
        <v>0.2</v>
      </c>
      <c r="F115" s="768">
        <v>30</v>
      </c>
    </row>
    <row r="116" spans="1:6" ht="25.5">
      <c r="A116" s="768">
        <v>56</v>
      </c>
      <c r="B116" s="4904" t="s">
        <v>694</v>
      </c>
      <c r="C116" s="768" t="s">
        <v>695</v>
      </c>
      <c r="D116" s="682" t="s">
        <v>696</v>
      </c>
      <c r="E116" s="781">
        <v>0.2</v>
      </c>
      <c r="F116" s="768">
        <v>30</v>
      </c>
    </row>
    <row r="117" spans="1:6" ht="38.25">
      <c r="A117" s="768">
        <v>57</v>
      </c>
      <c r="B117" s="4904"/>
      <c r="C117" s="768" t="s">
        <v>697</v>
      </c>
      <c r="D117" s="682" t="s">
        <v>698</v>
      </c>
      <c r="E117" s="781">
        <v>0.2</v>
      </c>
      <c r="F117" s="768">
        <v>30</v>
      </c>
    </row>
    <row r="118" spans="1:6" ht="38.25">
      <c r="A118" s="768">
        <v>58</v>
      </c>
      <c r="B118" s="768" t="s">
        <v>699</v>
      </c>
      <c r="C118" s="768" t="s">
        <v>700</v>
      </c>
      <c r="D118" s="682" t="s">
        <v>701</v>
      </c>
      <c r="E118" s="781">
        <v>0.2</v>
      </c>
      <c r="F118" s="768">
        <v>30</v>
      </c>
    </row>
    <row r="119" spans="1:6" ht="14.2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5"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0"/>
  <dimension ref="A1:N408"/>
  <sheetViews>
    <sheetView workbookViewId="0">
      <selection activeCell="H13" sqref="H13"/>
    </sheetView>
  </sheetViews>
  <sheetFormatPr defaultColWidth="9" defaultRowHeight="14.25"/>
  <cols>
    <col min="1" max="1" width="9" style="792"/>
    <col min="2" max="16384" width="9" style="784"/>
  </cols>
  <sheetData>
    <row r="1" spans="1:14">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c r="A103" s="782" t="s">
        <v>705</v>
      </c>
      <c r="B103" s="783"/>
      <c r="C103" s="783"/>
      <c r="D103" s="783"/>
      <c r="E103" s="783"/>
      <c r="F103" s="783"/>
      <c r="G103" s="783"/>
      <c r="H103" s="783"/>
      <c r="I103" s="783"/>
      <c r="J103" s="783"/>
      <c r="K103" s="783"/>
      <c r="L103" s="783"/>
      <c r="M103" s="783"/>
      <c r="N103" s="783"/>
    </row>
    <row r="104" spans="1:14">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5"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J86"/>
  <sheetViews>
    <sheetView workbookViewId="0">
      <selection activeCell="A9" sqref="A9:XFD9"/>
    </sheetView>
  </sheetViews>
  <sheetFormatPr defaultColWidth="9" defaultRowHeight="12"/>
  <cols>
    <col min="1" max="2" width="9" style="3873"/>
    <col min="3" max="3" width="24.625" style="3873" customWidth="1"/>
    <col min="4" max="4" width="20.5" style="3873" customWidth="1"/>
    <col min="5" max="5" width="33.125" style="3873" customWidth="1"/>
    <col min="6" max="6" width="10.5" style="3873" bestFit="1" customWidth="1"/>
    <col min="7" max="7" width="9.625" style="3873" customWidth="1"/>
    <col min="8" max="8" width="15.625" style="3873" bestFit="1" customWidth="1"/>
    <col min="9" max="10" width="10.375" style="3873" customWidth="1"/>
    <col min="11" max="16384" width="9" style="3873"/>
  </cols>
  <sheetData>
    <row r="1" spans="1:10">
      <c r="A1" s="3871" t="s">
        <v>2745</v>
      </c>
      <c r="B1" s="3871" t="s">
        <v>4328</v>
      </c>
      <c r="C1" s="3871" t="s">
        <v>4329</v>
      </c>
      <c r="D1" s="3871"/>
      <c r="E1" s="3872" t="s">
        <v>4330</v>
      </c>
      <c r="F1" s="3873" t="s">
        <v>4250</v>
      </c>
      <c r="G1" s="3873" t="s">
        <v>4331</v>
      </c>
      <c r="H1" s="3873" t="s">
        <v>4332</v>
      </c>
      <c r="I1" s="3873" t="s">
        <v>4333</v>
      </c>
      <c r="J1" s="3873" t="s">
        <v>4334</v>
      </c>
    </row>
    <row r="2" spans="1:10" ht="22.5">
      <c r="A2" s="3871">
        <v>1</v>
      </c>
      <c r="B2" s="3871" t="s">
        <v>4335</v>
      </c>
      <c r="C2" s="3874">
        <v>44202</v>
      </c>
      <c r="D2" s="3874">
        <v>44566</v>
      </c>
      <c r="E2" s="3875" t="s">
        <v>4336</v>
      </c>
      <c r="F2" s="3873">
        <v>170</v>
      </c>
      <c r="G2" s="3873">
        <v>2.5</v>
      </c>
      <c r="H2" s="3873">
        <v>2</v>
      </c>
      <c r="I2" s="3873">
        <f t="shared" ref="I2:I66" si="0">(F2*G2*365)/4</f>
        <v>38781.25</v>
      </c>
      <c r="J2" s="3873">
        <f>(F2*H2*365)/4</f>
        <v>31025</v>
      </c>
    </row>
    <row r="3" spans="1:10" ht="22.5">
      <c r="A3" s="3871">
        <v>2</v>
      </c>
      <c r="B3" s="3871" t="s">
        <v>4337</v>
      </c>
      <c r="C3" s="3876">
        <v>44211</v>
      </c>
      <c r="D3" s="3876">
        <v>44575</v>
      </c>
      <c r="E3" s="3875" t="s">
        <v>4338</v>
      </c>
      <c r="F3" s="3873">
        <v>108</v>
      </c>
      <c r="G3" s="3873">
        <v>2</v>
      </c>
      <c r="H3" s="3873">
        <v>2</v>
      </c>
      <c r="I3" s="3873">
        <f t="shared" si="0"/>
        <v>19710</v>
      </c>
      <c r="J3" s="3873">
        <f t="shared" ref="J3:J66" si="1">(F3*H3*365)/4</f>
        <v>19710</v>
      </c>
    </row>
    <row r="4" spans="1:10" ht="22.5">
      <c r="A4" s="3871">
        <v>3</v>
      </c>
      <c r="B4" s="3871" t="s">
        <v>4339</v>
      </c>
      <c r="C4" s="3876">
        <v>44214</v>
      </c>
      <c r="D4" s="3876">
        <v>44578</v>
      </c>
      <c r="E4" s="3875" t="s">
        <v>4340</v>
      </c>
      <c r="F4" s="3873">
        <v>137</v>
      </c>
      <c r="G4" s="3873">
        <v>3</v>
      </c>
      <c r="H4" s="3873">
        <v>2</v>
      </c>
      <c r="I4" s="3873">
        <f t="shared" si="0"/>
        <v>37503.75</v>
      </c>
      <c r="J4" s="3873">
        <f t="shared" si="1"/>
        <v>25002.5</v>
      </c>
    </row>
    <row r="5" spans="1:10" ht="22.5">
      <c r="A5" s="3871">
        <v>4</v>
      </c>
      <c r="B5" s="3871" t="s">
        <v>4341</v>
      </c>
      <c r="C5" s="3874">
        <v>44218</v>
      </c>
      <c r="D5" s="3874">
        <v>44582</v>
      </c>
      <c r="E5" s="3877" t="s">
        <v>4342</v>
      </c>
      <c r="F5" s="3873">
        <v>142</v>
      </c>
      <c r="G5" s="3873">
        <v>4</v>
      </c>
      <c r="H5" s="3873">
        <v>1.5</v>
      </c>
      <c r="I5" s="3873">
        <f t="shared" si="0"/>
        <v>51830</v>
      </c>
      <c r="J5" s="3873">
        <f t="shared" si="1"/>
        <v>19436.25</v>
      </c>
    </row>
    <row r="6" spans="1:10" ht="22.5">
      <c r="A6" s="3871">
        <v>5</v>
      </c>
      <c r="B6" s="3871" t="s">
        <v>4343</v>
      </c>
      <c r="C6" s="3878">
        <v>44256</v>
      </c>
      <c r="D6" s="3878">
        <v>44620</v>
      </c>
      <c r="E6" s="3875" t="s">
        <v>4344</v>
      </c>
      <c r="F6" s="3873">
        <v>108</v>
      </c>
      <c r="G6" s="3873">
        <v>2.5</v>
      </c>
      <c r="H6" s="3873">
        <v>2</v>
      </c>
      <c r="I6" s="3873">
        <f t="shared" si="0"/>
        <v>24637.5</v>
      </c>
      <c r="J6" s="3873">
        <f t="shared" si="1"/>
        <v>19710</v>
      </c>
    </row>
    <row r="7" spans="1:10" ht="22.5">
      <c r="A7" s="3871">
        <v>6</v>
      </c>
      <c r="B7" s="3871" t="s">
        <v>4345</v>
      </c>
      <c r="C7" s="3874">
        <v>44207</v>
      </c>
      <c r="D7" s="3874">
        <v>44571</v>
      </c>
      <c r="E7" s="3875" t="s">
        <v>4346</v>
      </c>
      <c r="F7" s="3873">
        <v>161</v>
      </c>
      <c r="G7" s="3873">
        <v>3.5</v>
      </c>
      <c r="H7" s="3873">
        <v>1.5</v>
      </c>
      <c r="I7" s="3873">
        <f t="shared" si="0"/>
        <v>51419.375</v>
      </c>
      <c r="J7" s="3873">
        <f t="shared" si="1"/>
        <v>22036.875</v>
      </c>
    </row>
    <row r="8" spans="1:10" ht="22.5">
      <c r="A8" s="3871">
        <v>7</v>
      </c>
      <c r="B8" s="3871" t="s">
        <v>4347</v>
      </c>
      <c r="C8" s="3874">
        <v>44214</v>
      </c>
      <c r="D8" s="3874">
        <v>44394</v>
      </c>
      <c r="E8" s="3877" t="s">
        <v>4348</v>
      </c>
      <c r="F8" s="3873">
        <v>287</v>
      </c>
      <c r="G8" s="3873">
        <v>2</v>
      </c>
      <c r="H8" s="3873">
        <v>2</v>
      </c>
      <c r="I8" s="3873">
        <f t="shared" si="0"/>
        <v>52377.5</v>
      </c>
      <c r="J8" s="3873">
        <f t="shared" si="1"/>
        <v>52377.5</v>
      </c>
    </row>
    <row r="9" spans="1:10" ht="22.5">
      <c r="A9" s="3871">
        <v>8</v>
      </c>
      <c r="B9" s="3871" t="s">
        <v>4349</v>
      </c>
      <c r="C9" s="3874">
        <v>44228</v>
      </c>
      <c r="D9" s="3874">
        <v>44592</v>
      </c>
      <c r="E9" s="3877" t="s">
        <v>4350</v>
      </c>
      <c r="F9" s="3873">
        <v>103</v>
      </c>
      <c r="G9" s="3873">
        <v>2</v>
      </c>
      <c r="H9" s="3873">
        <v>2</v>
      </c>
      <c r="I9" s="3873">
        <f t="shared" si="0"/>
        <v>18797.5</v>
      </c>
      <c r="J9" s="3873">
        <f t="shared" si="1"/>
        <v>18797.5</v>
      </c>
    </row>
    <row r="10" spans="1:10" ht="22.5">
      <c r="A10" s="3871">
        <v>9</v>
      </c>
      <c r="B10" s="3871" t="s">
        <v>4351</v>
      </c>
      <c r="C10" s="3874">
        <v>44271</v>
      </c>
      <c r="D10" s="3874">
        <v>44636</v>
      </c>
      <c r="E10" s="3879" t="s">
        <v>4352</v>
      </c>
      <c r="F10" s="3873">
        <v>164</v>
      </c>
      <c r="G10" s="3873">
        <v>4</v>
      </c>
      <c r="H10" s="3873">
        <v>1.5</v>
      </c>
      <c r="I10" s="3873">
        <f t="shared" si="0"/>
        <v>59860</v>
      </c>
      <c r="J10" s="3873">
        <f t="shared" si="1"/>
        <v>22447.5</v>
      </c>
    </row>
    <row r="11" spans="1:10" ht="22.5">
      <c r="A11" s="3871">
        <v>10</v>
      </c>
      <c r="B11" s="3871" t="s">
        <v>4353</v>
      </c>
      <c r="C11" s="3876">
        <v>44276</v>
      </c>
      <c r="D11" s="3876">
        <v>44640</v>
      </c>
      <c r="E11" s="3875" t="s">
        <v>4354</v>
      </c>
      <c r="F11" s="3873">
        <v>58</v>
      </c>
      <c r="G11" s="3873">
        <v>2.5</v>
      </c>
      <c r="H11" s="3873">
        <v>2</v>
      </c>
      <c r="I11" s="3873">
        <f t="shared" si="0"/>
        <v>13231.25</v>
      </c>
      <c r="J11" s="3873">
        <f t="shared" si="1"/>
        <v>10585</v>
      </c>
    </row>
    <row r="12" spans="1:10" ht="22.5">
      <c r="A12" s="3871">
        <v>11</v>
      </c>
      <c r="B12" s="3871" t="s">
        <v>4355</v>
      </c>
      <c r="C12" s="3876">
        <v>44276</v>
      </c>
      <c r="D12" s="3876">
        <v>44640</v>
      </c>
      <c r="E12" s="3875" t="s">
        <v>4356</v>
      </c>
      <c r="F12" s="3873">
        <v>494</v>
      </c>
      <c r="G12" s="3873">
        <v>2.5</v>
      </c>
      <c r="H12" s="3873">
        <v>2</v>
      </c>
      <c r="I12" s="3873">
        <f t="shared" si="0"/>
        <v>112693.75</v>
      </c>
      <c r="J12" s="3873">
        <f t="shared" si="1"/>
        <v>90155</v>
      </c>
    </row>
    <row r="13" spans="1:10" ht="22.5">
      <c r="A13" s="3871">
        <v>12</v>
      </c>
      <c r="B13" s="3871" t="s">
        <v>4357</v>
      </c>
      <c r="C13" s="3876">
        <v>44276</v>
      </c>
      <c r="D13" s="3876">
        <v>44640</v>
      </c>
      <c r="E13" s="3875" t="s">
        <v>4358</v>
      </c>
      <c r="F13" s="3873">
        <v>381</v>
      </c>
      <c r="G13" s="3873">
        <v>4</v>
      </c>
      <c r="H13" s="3873">
        <v>1.5</v>
      </c>
      <c r="I13" s="3873">
        <f t="shared" si="0"/>
        <v>139065</v>
      </c>
      <c r="J13" s="3873">
        <f t="shared" si="1"/>
        <v>52149.375</v>
      </c>
    </row>
    <row r="14" spans="1:10" ht="22.5">
      <c r="A14" s="3871">
        <v>13</v>
      </c>
      <c r="B14" s="3871" t="s">
        <v>4359</v>
      </c>
      <c r="C14" s="3874">
        <v>44287</v>
      </c>
      <c r="D14" s="3874">
        <v>44651</v>
      </c>
      <c r="E14" s="3875" t="s">
        <v>4360</v>
      </c>
      <c r="F14" s="3873">
        <v>105</v>
      </c>
      <c r="G14" s="3873">
        <v>2.5</v>
      </c>
      <c r="H14" s="3873">
        <v>2</v>
      </c>
      <c r="I14" s="3873">
        <f t="shared" si="0"/>
        <v>23953.125</v>
      </c>
      <c r="J14" s="3873">
        <f t="shared" si="1"/>
        <v>19162.5</v>
      </c>
    </row>
    <row r="15" spans="1:10" ht="22.5">
      <c r="A15" s="3871">
        <v>14</v>
      </c>
      <c r="B15" s="3871" t="s">
        <v>4361</v>
      </c>
      <c r="C15" s="3876">
        <v>44302</v>
      </c>
      <c r="D15" s="3876">
        <v>44666</v>
      </c>
      <c r="E15" s="3875" t="s">
        <v>4362</v>
      </c>
      <c r="F15" s="3873">
        <v>58</v>
      </c>
      <c r="G15" s="3873">
        <v>3</v>
      </c>
      <c r="H15" s="3873">
        <v>2</v>
      </c>
      <c r="I15" s="3873">
        <f t="shared" si="0"/>
        <v>15877.5</v>
      </c>
      <c r="J15" s="3873">
        <f t="shared" si="1"/>
        <v>10585</v>
      </c>
    </row>
    <row r="16" spans="1:10" ht="22.5">
      <c r="A16" s="3871">
        <v>15</v>
      </c>
      <c r="B16" s="3871" t="s">
        <v>4363</v>
      </c>
      <c r="C16" s="3876">
        <v>44304</v>
      </c>
      <c r="D16" s="3876">
        <v>44668</v>
      </c>
      <c r="E16" s="3875" t="s">
        <v>4364</v>
      </c>
      <c r="F16" s="3873">
        <v>168</v>
      </c>
      <c r="G16" s="3873">
        <v>4</v>
      </c>
      <c r="H16" s="3873">
        <v>1.5</v>
      </c>
      <c r="I16" s="3873">
        <f t="shared" si="0"/>
        <v>61320</v>
      </c>
      <c r="J16" s="3873">
        <f t="shared" si="1"/>
        <v>22995</v>
      </c>
    </row>
    <row r="17" spans="1:10" ht="22.5">
      <c r="A17" s="3871">
        <v>16</v>
      </c>
      <c r="B17" s="3871" t="s">
        <v>4365</v>
      </c>
      <c r="C17" s="3876">
        <v>44296</v>
      </c>
      <c r="D17" s="3876">
        <v>44660</v>
      </c>
      <c r="E17" s="3875" t="s">
        <v>4366</v>
      </c>
      <c r="F17" s="3873">
        <v>58</v>
      </c>
      <c r="G17" s="3873">
        <v>3</v>
      </c>
      <c r="H17" s="3873">
        <v>2</v>
      </c>
      <c r="I17" s="3873">
        <f t="shared" si="0"/>
        <v>15877.5</v>
      </c>
      <c r="J17" s="3873">
        <f t="shared" si="1"/>
        <v>10585</v>
      </c>
    </row>
    <row r="18" spans="1:10" ht="22.5">
      <c r="A18" s="3871">
        <v>17</v>
      </c>
      <c r="B18" s="3871" t="s">
        <v>4367</v>
      </c>
      <c r="C18" s="3876">
        <v>44293</v>
      </c>
      <c r="D18" s="3876">
        <v>44657</v>
      </c>
      <c r="E18" s="3875" t="s">
        <v>4368</v>
      </c>
      <c r="F18" s="3873">
        <v>121</v>
      </c>
      <c r="G18" s="3873">
        <v>3.5</v>
      </c>
      <c r="H18" s="3873">
        <v>1.5</v>
      </c>
      <c r="I18" s="3873">
        <f t="shared" si="0"/>
        <v>38644.375</v>
      </c>
      <c r="J18" s="3873">
        <f t="shared" si="1"/>
        <v>16561.875</v>
      </c>
    </row>
    <row r="19" spans="1:10" ht="22.5">
      <c r="A19" s="3871">
        <v>18</v>
      </c>
      <c r="B19" s="3871" t="s">
        <v>4369</v>
      </c>
      <c r="C19" s="3876">
        <v>43948</v>
      </c>
      <c r="D19" s="3876">
        <v>44312</v>
      </c>
      <c r="E19" s="3875" t="s">
        <v>4370</v>
      </c>
      <c r="F19" s="3873">
        <v>34</v>
      </c>
      <c r="G19" s="3873">
        <v>1.5</v>
      </c>
      <c r="H19" s="3873">
        <v>2</v>
      </c>
      <c r="I19" s="3873">
        <f t="shared" si="0"/>
        <v>4653.75</v>
      </c>
      <c r="J19" s="3873">
        <f t="shared" si="1"/>
        <v>6205</v>
      </c>
    </row>
    <row r="20" spans="1:10" ht="22.5">
      <c r="A20" s="3871">
        <v>19</v>
      </c>
      <c r="B20" s="3871" t="s">
        <v>4371</v>
      </c>
      <c r="C20" s="3874">
        <v>44263</v>
      </c>
      <c r="D20" s="3874">
        <v>44627</v>
      </c>
      <c r="E20" s="3875" t="s">
        <v>4372</v>
      </c>
      <c r="F20" s="3873">
        <v>105</v>
      </c>
      <c r="G20" s="3873">
        <v>2</v>
      </c>
      <c r="H20" s="3873">
        <v>2</v>
      </c>
      <c r="I20" s="3873">
        <f t="shared" si="0"/>
        <v>19162.5</v>
      </c>
      <c r="J20" s="3873">
        <f t="shared" si="1"/>
        <v>19162.5</v>
      </c>
    </row>
    <row r="21" spans="1:10" ht="22.5">
      <c r="A21" s="3871">
        <v>20</v>
      </c>
      <c r="B21" s="3871" t="s">
        <v>4373</v>
      </c>
      <c r="C21" s="3876">
        <v>44331</v>
      </c>
      <c r="D21" s="3876">
        <v>44695</v>
      </c>
      <c r="E21" s="3875" t="s">
        <v>4374</v>
      </c>
      <c r="F21" s="3873">
        <v>142</v>
      </c>
      <c r="G21" s="3873">
        <v>3.5</v>
      </c>
      <c r="H21" s="3873">
        <v>1.5</v>
      </c>
      <c r="I21" s="3873">
        <f t="shared" si="0"/>
        <v>45351.25</v>
      </c>
      <c r="J21" s="3873">
        <f t="shared" si="1"/>
        <v>19436.25</v>
      </c>
    </row>
    <row r="22" spans="1:10" ht="22.5">
      <c r="A22" s="3871">
        <v>21</v>
      </c>
      <c r="B22" s="3871" t="s">
        <v>4375</v>
      </c>
      <c r="C22" s="3876">
        <v>44348</v>
      </c>
      <c r="D22" s="3876">
        <v>44712</v>
      </c>
      <c r="E22" s="3875" t="s">
        <v>4376</v>
      </c>
      <c r="F22" s="3873">
        <v>34</v>
      </c>
      <c r="G22" s="3873">
        <v>1.5</v>
      </c>
      <c r="H22" s="3873">
        <v>2</v>
      </c>
      <c r="I22" s="3873">
        <f t="shared" si="0"/>
        <v>4653.75</v>
      </c>
      <c r="J22" s="3873">
        <f t="shared" si="1"/>
        <v>6205</v>
      </c>
    </row>
    <row r="23" spans="1:10" ht="22.5">
      <c r="A23" s="3871">
        <v>22</v>
      </c>
      <c r="B23" s="3871" t="s">
        <v>4377</v>
      </c>
      <c r="C23" s="3874">
        <v>44307</v>
      </c>
      <c r="D23" s="3874">
        <v>44671</v>
      </c>
      <c r="E23" s="3877" t="s">
        <v>4378</v>
      </c>
      <c r="F23" s="3873">
        <v>58</v>
      </c>
      <c r="G23" s="3873">
        <v>2</v>
      </c>
      <c r="H23" s="3873">
        <v>2</v>
      </c>
      <c r="I23" s="3873">
        <f t="shared" si="0"/>
        <v>10585</v>
      </c>
      <c r="J23" s="3873">
        <f t="shared" si="1"/>
        <v>10585</v>
      </c>
    </row>
    <row r="24" spans="1:10" ht="22.5">
      <c r="A24" s="3871">
        <v>23</v>
      </c>
      <c r="B24" s="3871" t="s">
        <v>4379</v>
      </c>
      <c r="C24" s="3874">
        <v>44327</v>
      </c>
      <c r="D24" s="3874">
        <v>44691</v>
      </c>
      <c r="E24" s="3875" t="s">
        <v>4346</v>
      </c>
      <c r="F24" s="3873">
        <v>161</v>
      </c>
      <c r="G24" s="3873">
        <v>3.5</v>
      </c>
      <c r="H24" s="3873">
        <v>1.5</v>
      </c>
      <c r="I24" s="3873">
        <f t="shared" si="0"/>
        <v>51419.375</v>
      </c>
      <c r="J24" s="3873">
        <f t="shared" si="1"/>
        <v>22036.875</v>
      </c>
    </row>
    <row r="25" spans="1:10" ht="22.5">
      <c r="A25" s="3871">
        <v>24</v>
      </c>
      <c r="B25" s="3871" t="s">
        <v>4380</v>
      </c>
      <c r="C25" s="3874">
        <v>44327</v>
      </c>
      <c r="D25" s="3874">
        <v>44691</v>
      </c>
      <c r="E25" s="3875" t="s">
        <v>4381</v>
      </c>
      <c r="F25" s="3873">
        <v>294</v>
      </c>
      <c r="G25" s="3873">
        <v>3.5</v>
      </c>
      <c r="H25" s="3873">
        <v>1.5</v>
      </c>
      <c r="I25" s="3873">
        <f t="shared" si="0"/>
        <v>93896.25</v>
      </c>
      <c r="J25" s="3873">
        <f t="shared" si="1"/>
        <v>40241.25</v>
      </c>
    </row>
    <row r="26" spans="1:10" ht="22.5">
      <c r="A26" s="3871">
        <v>25</v>
      </c>
      <c r="B26" s="3871" t="s">
        <v>4382</v>
      </c>
      <c r="C26" s="3876">
        <v>44378</v>
      </c>
      <c r="D26" s="3876">
        <v>44742</v>
      </c>
      <c r="E26" s="3875" t="s">
        <v>4383</v>
      </c>
      <c r="F26" s="3873">
        <v>91</v>
      </c>
      <c r="G26" s="3873">
        <v>2</v>
      </c>
      <c r="H26" s="3873">
        <v>2</v>
      </c>
      <c r="I26" s="3873">
        <f t="shared" si="0"/>
        <v>16607.5</v>
      </c>
      <c r="J26" s="3873">
        <f t="shared" si="1"/>
        <v>16607.5</v>
      </c>
    </row>
    <row r="27" spans="1:10" ht="22.5">
      <c r="A27" s="3871">
        <v>26</v>
      </c>
      <c r="B27" s="3871" t="s">
        <v>4384</v>
      </c>
      <c r="C27" s="3876">
        <v>44378</v>
      </c>
      <c r="D27" s="3876">
        <v>44742</v>
      </c>
      <c r="E27" s="3875" t="s">
        <v>4385</v>
      </c>
      <c r="F27" s="3873">
        <v>161</v>
      </c>
      <c r="G27" s="3873">
        <v>3.5</v>
      </c>
      <c r="H27" s="3873">
        <v>1.5</v>
      </c>
      <c r="I27" s="3873">
        <f t="shared" si="0"/>
        <v>51419.375</v>
      </c>
      <c r="J27" s="3873">
        <f t="shared" si="1"/>
        <v>22036.875</v>
      </c>
    </row>
    <row r="28" spans="1:10" ht="22.5">
      <c r="A28" s="3871">
        <v>27</v>
      </c>
      <c r="B28" s="3871" t="s">
        <v>4386</v>
      </c>
      <c r="C28" s="3876">
        <v>44371</v>
      </c>
      <c r="D28" s="3876">
        <v>44735</v>
      </c>
      <c r="E28" s="3875" t="s">
        <v>4387</v>
      </c>
      <c r="F28" s="3873">
        <v>91</v>
      </c>
      <c r="G28" s="3873">
        <v>2</v>
      </c>
      <c r="H28" s="3873">
        <v>2</v>
      </c>
      <c r="I28" s="3873">
        <f t="shared" si="0"/>
        <v>16607.5</v>
      </c>
      <c r="J28" s="3873">
        <f t="shared" si="1"/>
        <v>16607.5</v>
      </c>
    </row>
    <row r="29" spans="1:10" ht="22.5">
      <c r="A29" s="3871">
        <v>28</v>
      </c>
      <c r="B29" s="3871" t="s">
        <v>4388</v>
      </c>
      <c r="C29" s="3876">
        <v>44371</v>
      </c>
      <c r="D29" s="3876">
        <v>44735</v>
      </c>
      <c r="E29" s="3875" t="s">
        <v>4389</v>
      </c>
      <c r="F29" s="3873">
        <v>140</v>
      </c>
      <c r="G29" s="3873">
        <v>3.5</v>
      </c>
      <c r="H29" s="3873">
        <v>1.5</v>
      </c>
      <c r="I29" s="3873">
        <f t="shared" si="0"/>
        <v>44712.5</v>
      </c>
      <c r="J29" s="3873">
        <f t="shared" si="1"/>
        <v>19162.5</v>
      </c>
    </row>
    <row r="30" spans="1:10" ht="22.5">
      <c r="A30" s="3871">
        <v>29</v>
      </c>
      <c r="B30" s="3871" t="s">
        <v>4390</v>
      </c>
      <c r="C30" s="3876">
        <v>44371</v>
      </c>
      <c r="D30" s="3876">
        <v>44735</v>
      </c>
      <c r="E30" s="3875" t="s">
        <v>4391</v>
      </c>
      <c r="F30" s="3873">
        <v>327</v>
      </c>
      <c r="G30" s="3873">
        <v>3.5</v>
      </c>
      <c r="H30" s="3873">
        <v>1.5</v>
      </c>
      <c r="I30" s="3873">
        <f t="shared" si="0"/>
        <v>104435.625</v>
      </c>
      <c r="J30" s="3873">
        <f t="shared" si="1"/>
        <v>44758.125</v>
      </c>
    </row>
    <row r="31" spans="1:10" ht="22.5">
      <c r="A31" s="3871">
        <v>30</v>
      </c>
      <c r="B31" s="3871" t="s">
        <v>4392</v>
      </c>
      <c r="C31" s="3876">
        <v>44371</v>
      </c>
      <c r="D31" s="3876">
        <v>44735</v>
      </c>
      <c r="E31" s="3875" t="s">
        <v>4393</v>
      </c>
      <c r="F31" s="3873">
        <v>494</v>
      </c>
      <c r="G31" s="3873">
        <v>2.5</v>
      </c>
      <c r="H31" s="3873">
        <v>2</v>
      </c>
      <c r="I31" s="3873">
        <f t="shared" si="0"/>
        <v>112693.75</v>
      </c>
      <c r="J31" s="3873">
        <f t="shared" si="1"/>
        <v>90155</v>
      </c>
    </row>
    <row r="32" spans="1:10" ht="22.5">
      <c r="A32" s="3871">
        <v>31</v>
      </c>
      <c r="B32" s="3871" t="s">
        <v>4394</v>
      </c>
      <c r="C32" s="3876">
        <v>44373</v>
      </c>
      <c r="D32" s="3876">
        <v>44737</v>
      </c>
      <c r="E32" s="3875" t="s">
        <v>4395</v>
      </c>
      <c r="F32" s="3873">
        <v>34</v>
      </c>
      <c r="G32" s="3873">
        <v>1.5</v>
      </c>
      <c r="H32" s="3873">
        <v>2</v>
      </c>
      <c r="I32" s="3873">
        <f t="shared" si="0"/>
        <v>4653.75</v>
      </c>
      <c r="J32" s="3873">
        <f t="shared" si="1"/>
        <v>6205</v>
      </c>
    </row>
    <row r="33" spans="1:10" ht="22.5">
      <c r="A33" s="3871">
        <v>32</v>
      </c>
      <c r="B33" s="3871" t="s">
        <v>4396</v>
      </c>
      <c r="C33" s="3876">
        <v>44380</v>
      </c>
      <c r="D33" s="3876">
        <v>44744</v>
      </c>
      <c r="E33" s="3875" t="s">
        <v>4397</v>
      </c>
      <c r="F33" s="3873">
        <v>170</v>
      </c>
      <c r="G33" s="3873">
        <v>3</v>
      </c>
      <c r="H33" s="3873">
        <v>2</v>
      </c>
      <c r="I33" s="3873">
        <f t="shared" si="0"/>
        <v>46537.5</v>
      </c>
      <c r="J33" s="3873">
        <f t="shared" si="1"/>
        <v>31025</v>
      </c>
    </row>
    <row r="34" spans="1:10" ht="22.5">
      <c r="A34" s="3871">
        <v>33</v>
      </c>
      <c r="B34" s="3871" t="s">
        <v>4398</v>
      </c>
      <c r="C34" s="3876">
        <v>44395</v>
      </c>
      <c r="D34" s="3876">
        <v>44759</v>
      </c>
      <c r="E34" s="3875" t="s">
        <v>4399</v>
      </c>
      <c r="F34" s="3873">
        <v>285</v>
      </c>
      <c r="G34" s="3873">
        <v>2</v>
      </c>
      <c r="H34" s="3873">
        <v>2</v>
      </c>
      <c r="I34" s="3873">
        <f t="shared" si="0"/>
        <v>52012.5</v>
      </c>
      <c r="J34" s="3873">
        <f t="shared" si="1"/>
        <v>52012.5</v>
      </c>
    </row>
    <row r="35" spans="1:10" ht="33.75">
      <c r="A35" s="3871">
        <v>34</v>
      </c>
      <c r="B35" s="3871" t="s">
        <v>4400</v>
      </c>
      <c r="C35" s="3876">
        <v>44395</v>
      </c>
      <c r="D35" s="3876">
        <v>44759</v>
      </c>
      <c r="E35" s="3875" t="s">
        <v>4401</v>
      </c>
      <c r="F35" s="3873">
        <v>287</v>
      </c>
      <c r="G35" s="3873">
        <v>2</v>
      </c>
      <c r="H35" s="3873">
        <v>2</v>
      </c>
      <c r="I35" s="3873">
        <f t="shared" si="0"/>
        <v>52377.5</v>
      </c>
      <c r="J35" s="3873">
        <f t="shared" si="1"/>
        <v>52377.5</v>
      </c>
    </row>
    <row r="36" spans="1:10" ht="22.5">
      <c r="A36" s="3871">
        <v>35</v>
      </c>
      <c r="B36" s="3871" t="s">
        <v>4402</v>
      </c>
      <c r="C36" s="3876">
        <v>44395</v>
      </c>
      <c r="D36" s="3876">
        <v>44759</v>
      </c>
      <c r="E36" s="3875" t="s">
        <v>4403</v>
      </c>
      <c r="F36" s="3873">
        <v>294</v>
      </c>
      <c r="G36" s="3873">
        <v>3.5</v>
      </c>
      <c r="H36" s="3873">
        <v>1.5</v>
      </c>
      <c r="I36" s="3873">
        <f t="shared" si="0"/>
        <v>93896.25</v>
      </c>
      <c r="J36" s="3873">
        <f t="shared" si="1"/>
        <v>40241.25</v>
      </c>
    </row>
    <row r="37" spans="1:10" ht="22.5">
      <c r="A37" s="3871">
        <v>36</v>
      </c>
      <c r="B37" s="3871" t="s">
        <v>4404</v>
      </c>
      <c r="C37" s="3876">
        <v>44406</v>
      </c>
      <c r="D37" s="3876">
        <v>44770</v>
      </c>
      <c r="E37" s="3875" t="s">
        <v>4405</v>
      </c>
      <c r="F37" s="3873">
        <v>168</v>
      </c>
      <c r="G37" s="3873">
        <v>3.5</v>
      </c>
      <c r="H37" s="3873">
        <v>1.5</v>
      </c>
      <c r="I37" s="3873">
        <f t="shared" si="0"/>
        <v>53655</v>
      </c>
      <c r="J37" s="3873">
        <f t="shared" si="1"/>
        <v>22995</v>
      </c>
    </row>
    <row r="38" spans="1:10" ht="22.5">
      <c r="A38" s="3871">
        <v>37</v>
      </c>
      <c r="B38" s="3871" t="s">
        <v>4406</v>
      </c>
      <c r="C38" s="3876">
        <v>44409</v>
      </c>
      <c r="D38" s="3876">
        <v>44773</v>
      </c>
      <c r="E38" s="3875" t="s">
        <v>4407</v>
      </c>
      <c r="F38" s="3873">
        <v>70</v>
      </c>
      <c r="G38" s="3873">
        <v>1.5</v>
      </c>
      <c r="I38" s="3873">
        <f t="shared" si="0"/>
        <v>9581.25</v>
      </c>
      <c r="J38" s="3873">
        <f t="shared" si="1"/>
        <v>0</v>
      </c>
    </row>
    <row r="39" spans="1:10" ht="22.5">
      <c r="A39" s="3871">
        <v>38</v>
      </c>
      <c r="B39" s="3871" t="s">
        <v>4408</v>
      </c>
      <c r="C39" s="3876">
        <v>44409</v>
      </c>
      <c r="D39" s="3876">
        <v>44773</v>
      </c>
      <c r="E39" s="3875" t="s">
        <v>4409</v>
      </c>
      <c r="F39" s="3873">
        <v>60</v>
      </c>
      <c r="G39" s="3873">
        <v>1.5</v>
      </c>
      <c r="I39" s="3873">
        <f t="shared" si="0"/>
        <v>8212.5</v>
      </c>
      <c r="J39" s="3873">
        <f t="shared" si="1"/>
        <v>0</v>
      </c>
    </row>
    <row r="40" spans="1:10" ht="22.5">
      <c r="A40" s="3871">
        <v>39</v>
      </c>
      <c r="B40" s="3871" t="s">
        <v>4410</v>
      </c>
      <c r="C40" s="3876">
        <v>44401</v>
      </c>
      <c r="D40" s="3876">
        <v>44765</v>
      </c>
      <c r="E40" s="3875" t="s">
        <v>4411</v>
      </c>
      <c r="F40" s="3873">
        <v>237</v>
      </c>
      <c r="G40" s="3873">
        <v>2.5</v>
      </c>
      <c r="H40" s="3873">
        <v>2</v>
      </c>
      <c r="I40" s="3873">
        <f t="shared" si="0"/>
        <v>54065.625</v>
      </c>
      <c r="J40" s="3873">
        <f t="shared" si="1"/>
        <v>43252.5</v>
      </c>
    </row>
    <row r="41" spans="1:10" ht="22.5">
      <c r="A41" s="3871">
        <v>40</v>
      </c>
      <c r="B41" s="3871" t="s">
        <v>4412</v>
      </c>
      <c r="C41" s="3874">
        <v>44362</v>
      </c>
      <c r="D41" s="3874">
        <v>44726</v>
      </c>
      <c r="E41" s="3875" t="s">
        <v>4413</v>
      </c>
      <c r="F41" s="3873">
        <v>58</v>
      </c>
      <c r="G41" s="3873">
        <v>2</v>
      </c>
      <c r="H41" s="3873">
        <v>2</v>
      </c>
      <c r="I41" s="3873">
        <f t="shared" si="0"/>
        <v>10585</v>
      </c>
      <c r="J41" s="3873">
        <f t="shared" si="1"/>
        <v>10585</v>
      </c>
    </row>
    <row r="42" spans="1:10" ht="22.5">
      <c r="A42" s="3871">
        <v>41</v>
      </c>
      <c r="B42" s="3871" t="s">
        <v>4414</v>
      </c>
      <c r="C42" s="3876">
        <v>44426</v>
      </c>
      <c r="D42" s="3876">
        <v>44790</v>
      </c>
      <c r="E42" s="3875" t="s">
        <v>4415</v>
      </c>
      <c r="F42" s="3873">
        <v>34</v>
      </c>
      <c r="G42" s="3873">
        <v>1.5</v>
      </c>
      <c r="H42" s="3873">
        <v>2</v>
      </c>
      <c r="I42" s="3873">
        <f t="shared" si="0"/>
        <v>4653.75</v>
      </c>
      <c r="J42" s="3873">
        <f t="shared" si="1"/>
        <v>6205</v>
      </c>
    </row>
    <row r="43" spans="1:10" ht="22.5">
      <c r="A43" s="3871">
        <v>42</v>
      </c>
      <c r="B43" s="3871" t="s">
        <v>4416</v>
      </c>
      <c r="C43" s="3876">
        <v>44434</v>
      </c>
      <c r="D43" s="3876">
        <v>44798</v>
      </c>
      <c r="E43" s="3875" t="s">
        <v>4417</v>
      </c>
      <c r="F43" s="3873">
        <v>303</v>
      </c>
      <c r="G43" s="3873">
        <v>4</v>
      </c>
      <c r="H43" s="3873">
        <v>1.5</v>
      </c>
      <c r="I43" s="3873">
        <f t="shared" si="0"/>
        <v>110595</v>
      </c>
      <c r="J43" s="3873">
        <f t="shared" si="1"/>
        <v>41473.125</v>
      </c>
    </row>
    <row r="44" spans="1:10" ht="22.5">
      <c r="A44" s="3871">
        <v>43</v>
      </c>
      <c r="B44" s="3871" t="s">
        <v>4418</v>
      </c>
      <c r="C44" s="3876">
        <v>44440</v>
      </c>
      <c r="D44" s="3876">
        <v>44804</v>
      </c>
      <c r="E44" s="3875" t="s">
        <v>4419</v>
      </c>
      <c r="F44" s="3873">
        <v>34</v>
      </c>
      <c r="G44" s="3873">
        <v>1.5</v>
      </c>
      <c r="H44" s="3873">
        <v>2</v>
      </c>
      <c r="I44" s="3873">
        <f t="shared" si="0"/>
        <v>4653.75</v>
      </c>
      <c r="J44" s="3873">
        <f t="shared" si="1"/>
        <v>6205</v>
      </c>
    </row>
    <row r="45" spans="1:10" ht="22.5">
      <c r="A45" s="3871">
        <v>44</v>
      </c>
      <c r="B45" s="3871" t="s">
        <v>4420</v>
      </c>
      <c r="C45" s="3876">
        <v>44427</v>
      </c>
      <c r="D45" s="3876">
        <v>44791</v>
      </c>
      <c r="E45" s="3875" t="s">
        <v>4421</v>
      </c>
      <c r="F45" s="3873">
        <v>58</v>
      </c>
      <c r="G45" s="3873">
        <v>3</v>
      </c>
      <c r="H45" s="3873">
        <v>2</v>
      </c>
      <c r="I45" s="3873">
        <f t="shared" si="0"/>
        <v>15877.5</v>
      </c>
      <c r="J45" s="3873">
        <f t="shared" si="1"/>
        <v>10585</v>
      </c>
    </row>
    <row r="46" spans="1:10" ht="22.5">
      <c r="A46" s="3871">
        <v>45</v>
      </c>
      <c r="B46" s="3871" t="s">
        <v>4422</v>
      </c>
      <c r="C46" s="3876">
        <v>44418</v>
      </c>
      <c r="D46" s="3876">
        <v>44782</v>
      </c>
      <c r="E46" s="3875" t="s">
        <v>4423</v>
      </c>
      <c r="F46" s="3873">
        <v>91</v>
      </c>
      <c r="G46" s="3873">
        <v>2</v>
      </c>
      <c r="H46" s="3873">
        <v>2</v>
      </c>
      <c r="I46" s="3873">
        <f t="shared" si="0"/>
        <v>16607.5</v>
      </c>
      <c r="J46" s="3873">
        <f t="shared" si="1"/>
        <v>16607.5</v>
      </c>
    </row>
    <row r="47" spans="1:10" ht="22.5">
      <c r="A47" s="3871">
        <v>46</v>
      </c>
      <c r="B47" s="3871" t="s">
        <v>4424</v>
      </c>
      <c r="C47" s="3874">
        <v>44398</v>
      </c>
      <c r="D47" s="3874">
        <v>44762</v>
      </c>
      <c r="E47" s="3875" t="s">
        <v>4425</v>
      </c>
      <c r="F47" s="3873">
        <v>105</v>
      </c>
      <c r="G47" s="3873">
        <v>2</v>
      </c>
      <c r="H47" s="3873">
        <v>2</v>
      </c>
      <c r="I47" s="3873">
        <f t="shared" si="0"/>
        <v>19162.5</v>
      </c>
      <c r="J47" s="3873">
        <f t="shared" si="1"/>
        <v>19162.5</v>
      </c>
    </row>
    <row r="48" spans="1:10" ht="22.5">
      <c r="A48" s="3871">
        <v>47</v>
      </c>
      <c r="B48" s="3871" t="s">
        <v>4426</v>
      </c>
      <c r="C48" s="3874">
        <v>44409</v>
      </c>
      <c r="D48" s="3874">
        <v>44773</v>
      </c>
      <c r="E48" s="3875" t="s">
        <v>4427</v>
      </c>
      <c r="F48" s="3873">
        <v>424</v>
      </c>
      <c r="G48" s="3873">
        <v>2</v>
      </c>
      <c r="H48" s="3873">
        <v>2</v>
      </c>
      <c r="I48" s="3873">
        <f t="shared" si="0"/>
        <v>77380</v>
      </c>
      <c r="J48" s="3873">
        <f t="shared" si="1"/>
        <v>77380</v>
      </c>
    </row>
    <row r="49" spans="1:10" ht="22.5">
      <c r="A49" s="3871">
        <v>48</v>
      </c>
      <c r="B49" s="3871" t="s">
        <v>4428</v>
      </c>
      <c r="C49" s="3880">
        <v>44442</v>
      </c>
      <c r="D49" s="3880">
        <v>44806</v>
      </c>
      <c r="E49" s="3875" t="s">
        <v>4429</v>
      </c>
      <c r="F49" s="3873">
        <v>170</v>
      </c>
      <c r="G49" s="3873">
        <v>2</v>
      </c>
      <c r="H49" s="3873">
        <v>2</v>
      </c>
      <c r="I49" s="3873">
        <f t="shared" si="0"/>
        <v>31025</v>
      </c>
      <c r="J49" s="3873">
        <f t="shared" si="1"/>
        <v>31025</v>
      </c>
    </row>
    <row r="50" spans="1:10" ht="22.5">
      <c r="A50" s="3871">
        <v>49</v>
      </c>
      <c r="B50" s="3871" t="s">
        <v>4430</v>
      </c>
      <c r="C50" s="3880">
        <v>44442</v>
      </c>
      <c r="D50" s="3880">
        <v>44806</v>
      </c>
      <c r="E50" s="3875" t="s">
        <v>4431</v>
      </c>
      <c r="F50" s="3873">
        <v>108</v>
      </c>
      <c r="G50" s="3873">
        <v>3.5</v>
      </c>
      <c r="H50" s="3873">
        <v>1.5</v>
      </c>
      <c r="I50" s="3873">
        <f t="shared" si="0"/>
        <v>34492.5</v>
      </c>
      <c r="J50" s="3873">
        <f t="shared" si="1"/>
        <v>14782.5</v>
      </c>
    </row>
    <row r="51" spans="1:10" ht="22.5">
      <c r="A51" s="3871">
        <v>50</v>
      </c>
      <c r="B51" s="3871" t="s">
        <v>4432</v>
      </c>
      <c r="C51" s="3880">
        <v>44445</v>
      </c>
      <c r="D51" s="3880">
        <v>44809</v>
      </c>
      <c r="E51" s="3875" t="s">
        <v>4433</v>
      </c>
      <c r="F51" s="3873">
        <v>108</v>
      </c>
      <c r="G51" s="3873">
        <v>2.5</v>
      </c>
      <c r="H51" s="3873">
        <v>2</v>
      </c>
      <c r="I51" s="3873">
        <f t="shared" si="0"/>
        <v>24637.5</v>
      </c>
      <c r="J51" s="3873">
        <f t="shared" si="1"/>
        <v>19710</v>
      </c>
    </row>
    <row r="52" spans="1:10" ht="22.5">
      <c r="A52" s="3871">
        <v>51</v>
      </c>
      <c r="B52" s="3871" t="s">
        <v>4434</v>
      </c>
      <c r="C52" s="3880">
        <v>44449</v>
      </c>
      <c r="D52" s="3880">
        <v>44813</v>
      </c>
      <c r="E52" s="3875" t="s">
        <v>4435</v>
      </c>
      <c r="F52" s="3873">
        <v>121</v>
      </c>
      <c r="G52" s="3873">
        <v>4</v>
      </c>
      <c r="H52" s="3873">
        <v>1.5</v>
      </c>
      <c r="I52" s="3873">
        <f t="shared" si="0"/>
        <v>44165</v>
      </c>
      <c r="J52" s="3873">
        <f t="shared" si="1"/>
        <v>16561.875</v>
      </c>
    </row>
    <row r="53" spans="1:10" ht="22.5">
      <c r="A53" s="3871">
        <v>52</v>
      </c>
      <c r="B53" s="3871" t="s">
        <v>4436</v>
      </c>
      <c r="C53" s="3881">
        <v>44445</v>
      </c>
      <c r="D53" s="3880">
        <v>44809</v>
      </c>
      <c r="E53" s="3875" t="s">
        <v>4437</v>
      </c>
      <c r="F53" s="3873">
        <v>105</v>
      </c>
      <c r="G53" s="3873">
        <v>2.5</v>
      </c>
      <c r="H53" s="3873">
        <v>2</v>
      </c>
      <c r="I53" s="3873">
        <f t="shared" si="0"/>
        <v>23953.125</v>
      </c>
      <c r="J53" s="3873">
        <f t="shared" si="1"/>
        <v>19162.5</v>
      </c>
    </row>
    <row r="54" spans="1:10" ht="22.5">
      <c r="A54" s="3871">
        <v>53</v>
      </c>
      <c r="B54" s="3871" t="s">
        <v>4438</v>
      </c>
      <c r="C54" s="3880">
        <v>44460</v>
      </c>
      <c r="D54" s="3880">
        <v>44824</v>
      </c>
      <c r="E54" s="3875" t="s">
        <v>4439</v>
      </c>
      <c r="F54" s="3873">
        <v>250</v>
      </c>
      <c r="G54" s="3873">
        <v>4</v>
      </c>
      <c r="H54" s="3873">
        <v>1.5</v>
      </c>
      <c r="I54" s="3873">
        <f t="shared" si="0"/>
        <v>91250</v>
      </c>
      <c r="J54" s="3873">
        <f t="shared" si="1"/>
        <v>34218.75</v>
      </c>
    </row>
    <row r="55" spans="1:10" ht="22.5">
      <c r="A55" s="3871">
        <v>54</v>
      </c>
      <c r="B55" s="3871" t="s">
        <v>4440</v>
      </c>
      <c r="C55" s="3882">
        <v>44469</v>
      </c>
      <c r="D55" s="3882">
        <v>44833</v>
      </c>
      <c r="E55" s="3877" t="s">
        <v>4441</v>
      </c>
      <c r="F55" s="3873">
        <v>108</v>
      </c>
      <c r="G55" s="3873">
        <v>2</v>
      </c>
      <c r="H55" s="3873">
        <v>2</v>
      </c>
      <c r="I55" s="3873">
        <f t="shared" si="0"/>
        <v>19710</v>
      </c>
      <c r="J55" s="3873">
        <f t="shared" si="1"/>
        <v>19710</v>
      </c>
    </row>
    <row r="56" spans="1:10" ht="22.5">
      <c r="A56" s="3871">
        <v>55</v>
      </c>
      <c r="B56" s="3871" t="s">
        <v>4442</v>
      </c>
      <c r="C56" s="3876">
        <v>44446</v>
      </c>
      <c r="D56" s="3876">
        <v>44810</v>
      </c>
      <c r="E56" s="3875" t="s">
        <v>4443</v>
      </c>
      <c r="F56" s="3873">
        <v>163</v>
      </c>
      <c r="G56" s="3873">
        <v>3.5</v>
      </c>
      <c r="H56" s="3873">
        <v>1.5</v>
      </c>
      <c r="I56" s="3873">
        <f t="shared" si="0"/>
        <v>52058.125</v>
      </c>
      <c r="J56" s="3873">
        <f t="shared" si="1"/>
        <v>22310.625</v>
      </c>
    </row>
    <row r="57" spans="1:10" ht="22.5">
      <c r="A57" s="3871">
        <v>56</v>
      </c>
      <c r="B57" s="3871" t="s">
        <v>4444</v>
      </c>
      <c r="C57" s="3876">
        <v>44449</v>
      </c>
      <c r="D57" s="3876">
        <v>44813</v>
      </c>
      <c r="E57" s="3875" t="s">
        <v>4445</v>
      </c>
      <c r="F57" s="3873">
        <v>146</v>
      </c>
      <c r="G57" s="3873">
        <v>4</v>
      </c>
      <c r="H57" s="3873">
        <v>1.5</v>
      </c>
      <c r="I57" s="3873">
        <f t="shared" si="0"/>
        <v>53290</v>
      </c>
      <c r="J57" s="3873">
        <f t="shared" si="1"/>
        <v>19983.75</v>
      </c>
    </row>
    <row r="58" spans="1:10" ht="22.5">
      <c r="A58" s="3871">
        <v>57</v>
      </c>
      <c r="B58" s="3871" t="s">
        <v>4446</v>
      </c>
      <c r="C58" s="3876">
        <v>44460</v>
      </c>
      <c r="D58" s="3876">
        <v>44824</v>
      </c>
      <c r="E58" s="3875" t="s">
        <v>4447</v>
      </c>
      <c r="F58" s="3873">
        <v>126</v>
      </c>
      <c r="G58" s="3873">
        <v>4</v>
      </c>
      <c r="H58" s="3873">
        <v>1.5</v>
      </c>
      <c r="I58" s="3873">
        <f t="shared" si="0"/>
        <v>45990</v>
      </c>
      <c r="J58" s="3873">
        <f t="shared" si="1"/>
        <v>17246.25</v>
      </c>
    </row>
    <row r="59" spans="1:10" ht="22.5">
      <c r="A59" s="3871">
        <v>58</v>
      </c>
      <c r="B59" s="3871" t="s">
        <v>4448</v>
      </c>
      <c r="C59" s="3874">
        <v>44415</v>
      </c>
      <c r="D59" s="3874">
        <v>44779</v>
      </c>
      <c r="E59" s="3875" t="s">
        <v>4449</v>
      </c>
      <c r="F59" s="3873">
        <v>121</v>
      </c>
      <c r="G59" s="3873">
        <v>3.5</v>
      </c>
      <c r="H59" s="3873">
        <v>1.5</v>
      </c>
      <c r="I59" s="3873">
        <f t="shared" si="0"/>
        <v>38644.375</v>
      </c>
      <c r="J59" s="3873">
        <f t="shared" si="1"/>
        <v>16561.875</v>
      </c>
    </row>
    <row r="60" spans="1:10" ht="22.5">
      <c r="A60" s="3871">
        <v>59</v>
      </c>
      <c r="B60" s="3871" t="s">
        <v>4450</v>
      </c>
      <c r="C60" s="3876">
        <v>44478</v>
      </c>
      <c r="D60" s="3876">
        <v>44842</v>
      </c>
      <c r="E60" s="3875" t="s">
        <v>4451</v>
      </c>
      <c r="F60" s="3873">
        <v>257</v>
      </c>
      <c r="G60" s="3873">
        <v>2</v>
      </c>
      <c r="H60" s="3873">
        <v>2</v>
      </c>
      <c r="I60" s="3873">
        <f t="shared" si="0"/>
        <v>46902.5</v>
      </c>
      <c r="J60" s="3873">
        <f t="shared" si="1"/>
        <v>46902.5</v>
      </c>
    </row>
    <row r="61" spans="1:10" ht="22.5">
      <c r="A61" s="3871">
        <v>60</v>
      </c>
      <c r="B61" s="3871" t="s">
        <v>4452</v>
      </c>
      <c r="C61" s="3876">
        <v>44478</v>
      </c>
      <c r="D61" s="3876">
        <v>44842</v>
      </c>
      <c r="E61" s="3875" t="s">
        <v>4453</v>
      </c>
      <c r="F61" s="3873">
        <v>164</v>
      </c>
      <c r="G61" s="3873">
        <v>3.5</v>
      </c>
      <c r="H61" s="3873">
        <v>1.5</v>
      </c>
      <c r="I61" s="3873">
        <f t="shared" si="0"/>
        <v>52377.5</v>
      </c>
      <c r="J61" s="3873">
        <f t="shared" si="1"/>
        <v>22447.5</v>
      </c>
    </row>
    <row r="62" spans="1:10" ht="22.5">
      <c r="A62" s="3871">
        <v>61</v>
      </c>
      <c r="B62" s="3871" t="s">
        <v>4454</v>
      </c>
      <c r="C62" s="3876">
        <v>44478</v>
      </c>
      <c r="D62" s="3876">
        <v>44842</v>
      </c>
      <c r="E62" s="3875" t="s">
        <v>4455</v>
      </c>
      <c r="F62" s="3873">
        <v>161</v>
      </c>
      <c r="G62" s="3873">
        <v>3.5</v>
      </c>
      <c r="H62" s="3873">
        <v>1.5</v>
      </c>
      <c r="I62" s="3873">
        <f t="shared" si="0"/>
        <v>51419.375</v>
      </c>
      <c r="J62" s="3873">
        <f t="shared" si="1"/>
        <v>22036.875</v>
      </c>
    </row>
    <row r="63" spans="1:10" ht="22.5">
      <c r="A63" s="3871">
        <v>62</v>
      </c>
      <c r="B63" s="3871" t="s">
        <v>4456</v>
      </c>
      <c r="C63" s="3876">
        <v>44479</v>
      </c>
      <c r="D63" s="3876">
        <v>44843</v>
      </c>
      <c r="E63" s="3875" t="s">
        <v>4457</v>
      </c>
      <c r="F63" s="3873">
        <v>108</v>
      </c>
      <c r="G63" s="3873">
        <v>4</v>
      </c>
      <c r="H63" s="3873">
        <v>1.5</v>
      </c>
      <c r="I63" s="3873">
        <f t="shared" si="0"/>
        <v>39420</v>
      </c>
      <c r="J63" s="3873">
        <f t="shared" si="1"/>
        <v>14782.5</v>
      </c>
    </row>
    <row r="64" spans="1:10" ht="22.5">
      <c r="A64" s="3871">
        <v>63</v>
      </c>
      <c r="B64" s="3871" t="s">
        <v>4458</v>
      </c>
      <c r="C64" s="3876">
        <v>44489</v>
      </c>
      <c r="D64" s="3876">
        <v>44853</v>
      </c>
      <c r="E64" s="3875" t="s">
        <v>4459</v>
      </c>
      <c r="F64" s="3873">
        <v>150</v>
      </c>
      <c r="G64" s="3873">
        <v>4</v>
      </c>
      <c r="H64" s="3873">
        <v>1.5</v>
      </c>
      <c r="I64" s="3873">
        <f t="shared" si="0"/>
        <v>54750</v>
      </c>
      <c r="J64" s="3873">
        <f t="shared" si="1"/>
        <v>20531.25</v>
      </c>
    </row>
    <row r="65" spans="1:10" ht="22.5">
      <c r="A65" s="3871">
        <v>64</v>
      </c>
      <c r="B65" s="3871" t="s">
        <v>4460</v>
      </c>
      <c r="C65" s="3876">
        <v>44489</v>
      </c>
      <c r="D65" s="3876">
        <v>44853</v>
      </c>
      <c r="E65" s="3875" t="s">
        <v>4461</v>
      </c>
      <c r="F65" s="3873">
        <v>320</v>
      </c>
      <c r="G65" s="3873">
        <v>2.5</v>
      </c>
      <c r="H65" s="3873">
        <v>2</v>
      </c>
      <c r="I65" s="3873">
        <f t="shared" si="0"/>
        <v>73000</v>
      </c>
      <c r="J65" s="3873">
        <f t="shared" si="1"/>
        <v>58400</v>
      </c>
    </row>
    <row r="66" spans="1:10" ht="22.5">
      <c r="A66" s="3871">
        <v>65</v>
      </c>
      <c r="B66" s="3871" t="s">
        <v>4462</v>
      </c>
      <c r="C66" s="3876">
        <v>44501</v>
      </c>
      <c r="D66" s="3876">
        <v>44865</v>
      </c>
      <c r="E66" s="3875" t="s">
        <v>4463</v>
      </c>
      <c r="F66" s="3873">
        <v>108</v>
      </c>
      <c r="G66" s="3873">
        <v>2.5</v>
      </c>
      <c r="H66" s="3873">
        <v>2</v>
      </c>
      <c r="I66" s="3873">
        <f t="shared" si="0"/>
        <v>24637.5</v>
      </c>
      <c r="J66" s="3873">
        <f t="shared" si="1"/>
        <v>19710</v>
      </c>
    </row>
    <row r="67" spans="1:10" ht="22.5">
      <c r="A67" s="3871">
        <v>66</v>
      </c>
      <c r="B67" s="3871" t="s">
        <v>4464</v>
      </c>
      <c r="C67" s="3876">
        <v>44484</v>
      </c>
      <c r="D67" s="3876">
        <v>44848</v>
      </c>
      <c r="E67" s="3875" t="s">
        <v>4465</v>
      </c>
      <c r="F67" s="3873">
        <v>105</v>
      </c>
      <c r="G67" s="3873">
        <v>2.5</v>
      </c>
      <c r="H67" s="3873">
        <v>2</v>
      </c>
      <c r="I67" s="3873">
        <f t="shared" ref="I67:I82" si="2">(F67*G67*365)/4</f>
        <v>23953.125</v>
      </c>
      <c r="J67" s="3873">
        <f t="shared" ref="J67:J82" si="3">(F67*H67*365)/4</f>
        <v>19162.5</v>
      </c>
    </row>
    <row r="68" spans="1:10" ht="22.5">
      <c r="A68" s="3871">
        <v>67</v>
      </c>
      <c r="B68" s="3871" t="s">
        <v>4466</v>
      </c>
      <c r="C68" s="3876">
        <v>44501</v>
      </c>
      <c r="D68" s="3876">
        <v>44865</v>
      </c>
      <c r="E68" s="3875" t="s">
        <v>4467</v>
      </c>
      <c r="F68" s="3873">
        <v>424</v>
      </c>
      <c r="G68" s="3873">
        <v>2.5</v>
      </c>
      <c r="H68" s="3873">
        <v>2</v>
      </c>
      <c r="I68" s="3873">
        <f t="shared" si="2"/>
        <v>96725</v>
      </c>
      <c r="J68" s="3873">
        <f t="shared" si="3"/>
        <v>77380</v>
      </c>
    </row>
    <row r="69" spans="1:10" ht="22.5">
      <c r="A69" s="3871">
        <v>68</v>
      </c>
      <c r="B69" s="3871" t="s">
        <v>4468</v>
      </c>
      <c r="C69" s="3876">
        <v>44501</v>
      </c>
      <c r="D69" s="3876">
        <v>44865</v>
      </c>
      <c r="E69" s="3875" t="s">
        <v>4469</v>
      </c>
      <c r="F69" s="3873">
        <v>277</v>
      </c>
      <c r="G69" s="3873">
        <v>4</v>
      </c>
      <c r="H69" s="3873">
        <v>1.5</v>
      </c>
      <c r="I69" s="3873">
        <f t="shared" si="2"/>
        <v>101105</v>
      </c>
      <c r="J69" s="3873">
        <f t="shared" si="3"/>
        <v>37914.375</v>
      </c>
    </row>
    <row r="70" spans="1:10" ht="22.5">
      <c r="A70" s="3871">
        <v>69</v>
      </c>
      <c r="B70" s="3871" t="s">
        <v>4470</v>
      </c>
      <c r="C70" s="3876">
        <v>44501</v>
      </c>
      <c r="D70" s="3876">
        <v>44865</v>
      </c>
      <c r="E70" s="3875" t="s">
        <v>4471</v>
      </c>
      <c r="F70" s="3873">
        <v>130</v>
      </c>
      <c r="G70" s="3873">
        <v>4</v>
      </c>
      <c r="H70" s="3873">
        <v>1.5</v>
      </c>
      <c r="I70" s="3873">
        <f t="shared" si="2"/>
        <v>47450</v>
      </c>
      <c r="J70" s="3873">
        <f t="shared" si="3"/>
        <v>17793.75</v>
      </c>
    </row>
    <row r="71" spans="1:10" ht="22.5">
      <c r="A71" s="3871">
        <v>48</v>
      </c>
      <c r="B71" s="3871" t="s">
        <v>4472</v>
      </c>
      <c r="C71" s="3874">
        <v>44469</v>
      </c>
      <c r="D71" s="3874">
        <v>44833</v>
      </c>
      <c r="E71" s="3875" t="s">
        <v>4473</v>
      </c>
      <c r="F71" s="3873">
        <v>34</v>
      </c>
      <c r="G71" s="3873">
        <v>1.5</v>
      </c>
      <c r="H71" s="3873">
        <v>2</v>
      </c>
      <c r="I71" s="3873">
        <f t="shared" si="2"/>
        <v>4653.75</v>
      </c>
      <c r="J71" s="3873">
        <f t="shared" si="3"/>
        <v>6205</v>
      </c>
    </row>
    <row r="72" spans="1:10" ht="22.5">
      <c r="A72" s="3871">
        <v>49</v>
      </c>
      <c r="B72" s="3871" t="s">
        <v>4474</v>
      </c>
      <c r="C72" s="3876">
        <v>44510</v>
      </c>
      <c r="D72" s="3876">
        <v>44874</v>
      </c>
      <c r="E72" s="3875" t="s">
        <v>4475</v>
      </c>
      <c r="F72" s="3873">
        <v>280</v>
      </c>
      <c r="G72" s="3873">
        <v>3.5</v>
      </c>
      <c r="H72" s="3873">
        <v>1.5</v>
      </c>
      <c r="I72" s="3873">
        <f t="shared" si="2"/>
        <v>89425</v>
      </c>
      <c r="J72" s="3873">
        <f t="shared" si="3"/>
        <v>38325</v>
      </c>
    </row>
    <row r="73" spans="1:10" ht="22.5">
      <c r="A73" s="3871">
        <v>50</v>
      </c>
      <c r="B73" s="3871" t="s">
        <v>4476</v>
      </c>
      <c r="C73" s="3876">
        <v>44516</v>
      </c>
      <c r="D73" s="3876">
        <v>44880</v>
      </c>
      <c r="E73" s="3875" t="s">
        <v>4477</v>
      </c>
      <c r="F73" s="3873">
        <v>163</v>
      </c>
      <c r="G73" s="3873">
        <v>2.5</v>
      </c>
      <c r="H73" s="3873">
        <v>2</v>
      </c>
      <c r="I73" s="3873">
        <f t="shared" si="2"/>
        <v>37184.375</v>
      </c>
      <c r="J73" s="3873">
        <f t="shared" si="3"/>
        <v>29747.5</v>
      </c>
    </row>
    <row r="74" spans="1:10" ht="22.5">
      <c r="A74" s="3871">
        <v>51</v>
      </c>
      <c r="B74" s="3871" t="s">
        <v>4478</v>
      </c>
      <c r="C74" s="3876">
        <v>44527</v>
      </c>
      <c r="D74" s="3876">
        <v>44891</v>
      </c>
      <c r="E74" s="3875" t="s">
        <v>4479</v>
      </c>
      <c r="F74" s="3873">
        <v>152</v>
      </c>
      <c r="G74" s="3873">
        <v>4</v>
      </c>
      <c r="H74" s="3873">
        <v>1.5</v>
      </c>
      <c r="I74" s="3873">
        <f t="shared" si="2"/>
        <v>55480</v>
      </c>
      <c r="J74" s="3873">
        <f t="shared" si="3"/>
        <v>20805</v>
      </c>
    </row>
    <row r="75" spans="1:10" ht="22.5">
      <c r="A75" s="3871">
        <v>52</v>
      </c>
      <c r="B75" s="3871" t="s">
        <v>4480</v>
      </c>
      <c r="C75" s="3883">
        <v>44528</v>
      </c>
      <c r="D75" s="3883">
        <v>44892</v>
      </c>
      <c r="E75" s="3875" t="s">
        <v>4481</v>
      </c>
      <c r="F75" s="3873">
        <v>151</v>
      </c>
      <c r="G75" s="3873">
        <v>4</v>
      </c>
      <c r="H75" s="3873">
        <v>1.5</v>
      </c>
      <c r="I75" s="3873">
        <f t="shared" si="2"/>
        <v>55115</v>
      </c>
      <c r="J75" s="3873">
        <f t="shared" si="3"/>
        <v>20668.125</v>
      </c>
    </row>
    <row r="76" spans="1:10" ht="22.5">
      <c r="A76" s="3871">
        <v>53</v>
      </c>
      <c r="B76" s="3871" t="s">
        <v>4482</v>
      </c>
      <c r="C76" s="3876">
        <v>44531</v>
      </c>
      <c r="D76" s="3876">
        <v>44895</v>
      </c>
      <c r="E76" s="3875" t="s">
        <v>4483</v>
      </c>
      <c r="F76" s="3873">
        <v>282</v>
      </c>
      <c r="G76" s="3873">
        <v>4</v>
      </c>
      <c r="H76" s="3873">
        <v>1.5</v>
      </c>
      <c r="I76" s="3873">
        <f t="shared" si="2"/>
        <v>102930</v>
      </c>
      <c r="J76" s="3873">
        <f t="shared" si="3"/>
        <v>38598.75</v>
      </c>
    </row>
    <row r="77" spans="1:10" ht="22.5">
      <c r="A77" s="3871">
        <v>54</v>
      </c>
      <c r="B77" s="3871" t="s">
        <v>4484</v>
      </c>
      <c r="C77" s="3880">
        <v>44518</v>
      </c>
      <c r="D77" s="3880">
        <v>44882</v>
      </c>
      <c r="E77" s="3884" t="s">
        <v>4485</v>
      </c>
      <c r="F77" s="3873">
        <v>163</v>
      </c>
      <c r="G77" s="3873">
        <v>3.5</v>
      </c>
      <c r="H77" s="3873">
        <v>1.5</v>
      </c>
      <c r="I77" s="3873">
        <f t="shared" si="2"/>
        <v>52058.125</v>
      </c>
      <c r="J77" s="3873">
        <f t="shared" si="3"/>
        <v>22310.625</v>
      </c>
    </row>
    <row r="78" spans="1:10" ht="22.5">
      <c r="A78" s="3871">
        <v>55</v>
      </c>
      <c r="B78" s="3871" t="s">
        <v>4486</v>
      </c>
      <c r="C78" s="3874">
        <v>44489</v>
      </c>
      <c r="D78" s="3874">
        <v>44853</v>
      </c>
      <c r="E78" s="3875" t="s">
        <v>4487</v>
      </c>
      <c r="F78" s="3873">
        <v>103</v>
      </c>
      <c r="G78" s="3873">
        <v>3</v>
      </c>
      <c r="H78" s="3873">
        <v>2</v>
      </c>
      <c r="I78" s="3873">
        <f t="shared" si="2"/>
        <v>28196.25</v>
      </c>
      <c r="J78" s="3873">
        <f t="shared" si="3"/>
        <v>18797.5</v>
      </c>
    </row>
    <row r="79" spans="1:10" ht="22.5">
      <c r="A79" s="3871">
        <v>56</v>
      </c>
      <c r="B79" s="3871" t="s">
        <v>4488</v>
      </c>
      <c r="C79" s="3874">
        <v>44541</v>
      </c>
      <c r="D79" s="3874">
        <v>44905</v>
      </c>
      <c r="E79" s="3875" t="s">
        <v>4489</v>
      </c>
      <c r="F79" s="3873">
        <v>130</v>
      </c>
      <c r="G79" s="3873">
        <v>3.5</v>
      </c>
      <c r="H79" s="3873">
        <v>1.5</v>
      </c>
      <c r="I79" s="3873">
        <f t="shared" si="2"/>
        <v>41518.75</v>
      </c>
      <c r="J79" s="3873">
        <f t="shared" si="3"/>
        <v>17793.75</v>
      </c>
    </row>
    <row r="80" spans="1:10" ht="22.5">
      <c r="A80" s="3871">
        <v>57</v>
      </c>
      <c r="B80" s="3871" t="s">
        <v>4490</v>
      </c>
      <c r="C80" s="3874">
        <v>44546</v>
      </c>
      <c r="D80" s="3874">
        <v>44910</v>
      </c>
      <c r="E80" s="3875" t="s">
        <v>4491</v>
      </c>
      <c r="F80" s="3873">
        <v>168</v>
      </c>
      <c r="G80" s="3873">
        <v>4</v>
      </c>
      <c r="H80" s="3873">
        <v>1.5</v>
      </c>
      <c r="I80" s="3873">
        <f t="shared" si="2"/>
        <v>61320</v>
      </c>
      <c r="J80" s="3873">
        <f t="shared" si="3"/>
        <v>22995</v>
      </c>
    </row>
    <row r="81" spans="1:10" ht="22.5">
      <c r="A81" s="3871">
        <v>58</v>
      </c>
      <c r="B81" s="3871" t="s">
        <v>4492</v>
      </c>
      <c r="C81" s="3874">
        <v>44541</v>
      </c>
      <c r="D81" s="3874">
        <v>44905</v>
      </c>
      <c r="E81" s="3875" t="s">
        <v>4493</v>
      </c>
      <c r="F81" s="3873">
        <v>153</v>
      </c>
      <c r="G81" s="3873">
        <v>3.5</v>
      </c>
      <c r="H81" s="3873">
        <v>1.5</v>
      </c>
      <c r="I81" s="3873">
        <f t="shared" si="2"/>
        <v>48864.375</v>
      </c>
      <c r="J81" s="3873">
        <f t="shared" si="3"/>
        <v>20941.875</v>
      </c>
    </row>
    <row r="82" spans="1:10" ht="22.5">
      <c r="A82" s="3871">
        <v>59</v>
      </c>
      <c r="B82" s="3871" t="s">
        <v>4494</v>
      </c>
      <c r="C82" s="3874">
        <v>44541</v>
      </c>
      <c r="D82" s="3874">
        <v>44905</v>
      </c>
      <c r="E82" s="3875" t="s">
        <v>4495</v>
      </c>
      <c r="F82" s="3873">
        <v>108</v>
      </c>
      <c r="G82" s="3873">
        <v>2</v>
      </c>
      <c r="H82" s="3873">
        <v>2</v>
      </c>
      <c r="I82" s="3873">
        <f t="shared" si="2"/>
        <v>19710</v>
      </c>
      <c r="J82" s="3873">
        <f t="shared" si="3"/>
        <v>19710</v>
      </c>
    </row>
    <row r="83" spans="1:10" ht="22.5">
      <c r="B83" s="3871" t="s">
        <v>4496</v>
      </c>
      <c r="C83" s="3885">
        <v>44510</v>
      </c>
      <c r="D83" s="3885">
        <v>44874</v>
      </c>
      <c r="E83" s="3873" t="s">
        <v>4497</v>
      </c>
      <c r="F83" s="3873">
        <v>58</v>
      </c>
      <c r="G83" s="3873">
        <v>3</v>
      </c>
      <c r="H83" s="3873">
        <v>2</v>
      </c>
      <c r="I83" s="3873">
        <f>(F83*G83*365)/4</f>
        <v>15877.5</v>
      </c>
      <c r="J83" s="3873">
        <f>(F83*H83*365)/4</f>
        <v>10585</v>
      </c>
    </row>
    <row r="84" spans="1:10" ht="42.75" customHeight="1">
      <c r="B84" s="3886" t="s">
        <v>4498</v>
      </c>
      <c r="C84" s="3885">
        <v>44531</v>
      </c>
      <c r="D84" s="3885">
        <v>44895</v>
      </c>
      <c r="E84" s="3873" t="s">
        <v>4499</v>
      </c>
      <c r="F84" s="3873">
        <v>127</v>
      </c>
      <c r="G84" s="3873">
        <v>3.5</v>
      </c>
      <c r="H84" s="3873">
        <v>1.5</v>
      </c>
      <c r="I84" s="3873">
        <f>(F84*G84*365)/4</f>
        <v>40560.625</v>
      </c>
      <c r="J84" s="3873">
        <f>(F84*H84*365)/4</f>
        <v>17383.125</v>
      </c>
    </row>
    <row r="85" spans="1:10" ht="42.75" customHeight="1">
      <c r="B85" s="3887" t="s">
        <v>4500</v>
      </c>
      <c r="C85" s="3885">
        <v>44557</v>
      </c>
      <c r="D85" s="3885">
        <v>44921</v>
      </c>
      <c r="E85" s="3873" t="s">
        <v>4501</v>
      </c>
      <c r="F85" s="3873">
        <v>58</v>
      </c>
      <c r="G85" s="3873">
        <v>3</v>
      </c>
      <c r="H85" s="3873">
        <v>2</v>
      </c>
      <c r="I85" s="3873">
        <f>(F85*G85*365)/4</f>
        <v>15877.5</v>
      </c>
      <c r="J85" s="3873">
        <f>(F85*H85*365)/4</f>
        <v>10585</v>
      </c>
    </row>
    <row r="86" spans="1:10">
      <c r="F86" s="3873">
        <f>SUM(F2:F85)</f>
        <v>13527</v>
      </c>
    </row>
  </sheetData>
  <phoneticPr fontId="147"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J41"/>
  <sheetViews>
    <sheetView workbookViewId="0">
      <selection activeCell="C18" sqref="C18:C19"/>
    </sheetView>
  </sheetViews>
  <sheetFormatPr defaultColWidth="25.625" defaultRowHeight="12.75"/>
  <cols>
    <col min="1" max="1" width="11.125" style="3889" customWidth="1"/>
    <col min="2" max="2" width="24.625" style="3889" customWidth="1"/>
    <col min="3" max="3" width="19.625" style="3889" customWidth="1"/>
    <col min="4" max="4" width="21.125" style="3889" customWidth="1"/>
    <col min="5" max="5" width="25.625" style="3889"/>
    <col min="6" max="6" width="11.625" style="3889" customWidth="1"/>
    <col min="7" max="7" width="11.5" style="3889" customWidth="1"/>
    <col min="8" max="8" width="12.125" style="3889" customWidth="1"/>
    <col min="9" max="9" width="13.625" style="3889" customWidth="1"/>
    <col min="10" max="10" width="13.875" style="3889" customWidth="1"/>
    <col min="11" max="16384" width="25.625" style="3889"/>
  </cols>
  <sheetData>
    <row r="1" spans="1:10" ht="12.75" customHeight="1">
      <c r="A1" s="3888" t="s">
        <v>2745</v>
      </c>
      <c r="B1" s="3888" t="s">
        <v>4328</v>
      </c>
      <c r="C1" s="3888" t="s">
        <v>4502</v>
      </c>
      <c r="D1" s="3888" t="s">
        <v>4503</v>
      </c>
      <c r="E1" s="3888" t="s">
        <v>4504</v>
      </c>
      <c r="F1" s="3888" t="s">
        <v>4250</v>
      </c>
      <c r="G1" s="3888" t="s">
        <v>4331</v>
      </c>
      <c r="H1" s="3888" t="s">
        <v>4332</v>
      </c>
      <c r="I1" s="3888" t="s">
        <v>4333</v>
      </c>
      <c r="J1" s="3888" t="s">
        <v>4505</v>
      </c>
    </row>
    <row r="2" spans="1:10" ht="12.75" customHeight="1">
      <c r="A2" s="3888">
        <v>1</v>
      </c>
      <c r="B2" s="3890" t="s">
        <v>4506</v>
      </c>
      <c r="C2" s="3891">
        <v>44567</v>
      </c>
      <c r="D2" s="3892">
        <v>44931</v>
      </c>
      <c r="E2" s="3890" t="s">
        <v>4336</v>
      </c>
      <c r="F2" s="3888">
        <v>170</v>
      </c>
      <c r="G2" s="3888">
        <v>2.5</v>
      </c>
      <c r="H2" s="3888">
        <v>2</v>
      </c>
      <c r="I2" s="3893">
        <f>(F2*G2*365)/4</f>
        <v>38781.25</v>
      </c>
      <c r="J2" s="3893">
        <f>(F2*H2*365)/4</f>
        <v>31025</v>
      </c>
    </row>
    <row r="3" spans="1:10" ht="12.75" customHeight="1">
      <c r="A3" s="3888">
        <v>2</v>
      </c>
      <c r="B3" s="3890" t="s">
        <v>4507</v>
      </c>
      <c r="C3" s="3894">
        <v>44576</v>
      </c>
      <c r="D3" s="3894">
        <v>44940</v>
      </c>
      <c r="E3" s="3890" t="s">
        <v>4508</v>
      </c>
      <c r="F3" s="3888">
        <v>108</v>
      </c>
      <c r="G3" s="3888">
        <v>2.5</v>
      </c>
      <c r="H3" s="3888">
        <v>2</v>
      </c>
      <c r="I3" s="3893">
        <f>(F3*G3*365)/4</f>
        <v>24637.5</v>
      </c>
      <c r="J3" s="3893">
        <f t="shared" ref="J3:J26" si="0">(F3*H3*365)/4</f>
        <v>19710</v>
      </c>
    </row>
    <row r="4" spans="1:10" ht="12.75" customHeight="1">
      <c r="A4" s="3888">
        <v>3</v>
      </c>
      <c r="B4" s="3890" t="s">
        <v>4509</v>
      </c>
      <c r="C4" s="3894">
        <v>44579</v>
      </c>
      <c r="D4" s="3894">
        <v>44943</v>
      </c>
      <c r="E4" s="3890" t="s">
        <v>4510</v>
      </c>
      <c r="F4" s="3888">
        <v>137</v>
      </c>
      <c r="G4" s="3888">
        <v>3</v>
      </c>
      <c r="H4" s="3888">
        <v>2</v>
      </c>
      <c r="I4" s="3893">
        <f t="shared" ref="I4:I26" si="1">(F4*G4*365)/4</f>
        <v>37503.75</v>
      </c>
      <c r="J4" s="3893">
        <f t="shared" si="0"/>
        <v>25002.5</v>
      </c>
    </row>
    <row r="5" spans="1:10" ht="12.75" customHeight="1">
      <c r="A5" s="3888">
        <v>4</v>
      </c>
      <c r="B5" s="3890" t="s">
        <v>4511</v>
      </c>
      <c r="C5" s="3895">
        <v>44621</v>
      </c>
      <c r="D5" s="3895">
        <v>44985</v>
      </c>
      <c r="E5" s="3890" t="s">
        <v>4512</v>
      </c>
      <c r="F5" s="3888">
        <v>108</v>
      </c>
      <c r="G5" s="3888">
        <v>2.5</v>
      </c>
      <c r="H5" s="3888">
        <v>2</v>
      </c>
      <c r="I5" s="3893">
        <f t="shared" si="1"/>
        <v>24637.5</v>
      </c>
      <c r="J5" s="3893">
        <f t="shared" si="0"/>
        <v>19710</v>
      </c>
    </row>
    <row r="6" spans="1:10" ht="12.75" customHeight="1">
      <c r="A6" s="3888">
        <v>5</v>
      </c>
      <c r="B6" s="3888" t="s">
        <v>4513</v>
      </c>
      <c r="C6" s="3896">
        <v>44578</v>
      </c>
      <c r="D6" s="3896">
        <v>44942</v>
      </c>
      <c r="E6" s="3888" t="s">
        <v>4514</v>
      </c>
      <c r="F6" s="3888">
        <v>58</v>
      </c>
      <c r="G6" s="3888">
        <v>2</v>
      </c>
      <c r="H6" s="3888">
        <v>2</v>
      </c>
      <c r="I6" s="3893">
        <f t="shared" si="1"/>
        <v>10585</v>
      </c>
      <c r="J6" s="3893">
        <f t="shared" si="0"/>
        <v>10585</v>
      </c>
    </row>
    <row r="7" spans="1:10" ht="12.75" customHeight="1">
      <c r="A7" s="3888">
        <v>6</v>
      </c>
      <c r="B7" s="3888" t="s">
        <v>4515</v>
      </c>
      <c r="C7" s="3897">
        <v>44583</v>
      </c>
      <c r="D7" s="3897">
        <v>44947</v>
      </c>
      <c r="E7" s="1079" t="s">
        <v>4516</v>
      </c>
      <c r="F7" s="3888">
        <v>142</v>
      </c>
      <c r="G7" s="3888">
        <v>4</v>
      </c>
      <c r="H7" s="3888">
        <v>1.5</v>
      </c>
      <c r="I7" s="3893">
        <f t="shared" si="1"/>
        <v>51830</v>
      </c>
      <c r="J7" s="3893">
        <f t="shared" si="0"/>
        <v>19436.25</v>
      </c>
    </row>
    <row r="8" spans="1:10" ht="12.75" customHeight="1">
      <c r="A8" s="3888">
        <v>7</v>
      </c>
      <c r="B8" s="3888" t="s">
        <v>4517</v>
      </c>
      <c r="C8" s="3896">
        <v>44636</v>
      </c>
      <c r="D8" s="3896">
        <v>45000</v>
      </c>
      <c r="E8" s="3888" t="s">
        <v>4518</v>
      </c>
      <c r="F8" s="3888">
        <v>164</v>
      </c>
      <c r="G8" s="3888">
        <v>4</v>
      </c>
      <c r="H8" s="3888">
        <v>1.5</v>
      </c>
      <c r="I8" s="3893">
        <f t="shared" si="1"/>
        <v>59860</v>
      </c>
      <c r="J8" s="3893">
        <f t="shared" si="0"/>
        <v>22447.5</v>
      </c>
    </row>
    <row r="9" spans="1:10" ht="12.75" customHeight="1">
      <c r="A9" s="3888">
        <v>8</v>
      </c>
      <c r="B9" s="3898" t="s">
        <v>4519</v>
      </c>
      <c r="C9" s="3899">
        <v>44641</v>
      </c>
      <c r="D9" s="3899">
        <v>45005</v>
      </c>
      <c r="E9" s="3898" t="s">
        <v>4520</v>
      </c>
      <c r="F9" s="3888">
        <v>58</v>
      </c>
      <c r="G9" s="3888">
        <v>2.5</v>
      </c>
      <c r="H9" s="3888">
        <v>2</v>
      </c>
      <c r="I9" s="3893">
        <f t="shared" si="1"/>
        <v>13231.25</v>
      </c>
      <c r="J9" s="3893">
        <f t="shared" si="0"/>
        <v>10585</v>
      </c>
    </row>
    <row r="10" spans="1:10" ht="12.75" customHeight="1">
      <c r="A10" s="4905">
        <v>9</v>
      </c>
      <c r="B10" s="3898" t="s">
        <v>4521</v>
      </c>
      <c r="C10" s="3899">
        <v>44641</v>
      </c>
      <c r="D10" s="3899">
        <v>45005</v>
      </c>
      <c r="E10" s="3898" t="s">
        <v>4356</v>
      </c>
      <c r="F10" s="3888">
        <v>494</v>
      </c>
      <c r="G10" s="3888">
        <v>2.5</v>
      </c>
      <c r="H10" s="3888">
        <v>2</v>
      </c>
      <c r="I10" s="3893">
        <f t="shared" si="1"/>
        <v>112693.75</v>
      </c>
      <c r="J10" s="3893">
        <f t="shared" si="0"/>
        <v>90155</v>
      </c>
    </row>
    <row r="11" spans="1:10" ht="12.75" customHeight="1">
      <c r="A11" s="4905"/>
      <c r="B11" s="3898" t="s">
        <v>4522</v>
      </c>
      <c r="C11" s="3899">
        <v>44641</v>
      </c>
      <c r="D11" s="3899">
        <v>45005</v>
      </c>
      <c r="E11" s="3898" t="s">
        <v>4523</v>
      </c>
      <c r="F11" s="3888">
        <v>381</v>
      </c>
      <c r="G11" s="3888">
        <v>4</v>
      </c>
      <c r="H11" s="3888">
        <v>1.5</v>
      </c>
      <c r="I11" s="3893">
        <f t="shared" si="1"/>
        <v>139065</v>
      </c>
      <c r="J11" s="3893">
        <f t="shared" si="0"/>
        <v>52149.375</v>
      </c>
    </row>
    <row r="12" spans="1:10" ht="12.75" customHeight="1">
      <c r="A12" s="3888">
        <v>10</v>
      </c>
      <c r="B12" s="3898" t="s">
        <v>4524</v>
      </c>
      <c r="C12" s="3900">
        <v>44652</v>
      </c>
      <c r="D12" s="3900">
        <v>45016</v>
      </c>
      <c r="E12" s="3898" t="s">
        <v>4525</v>
      </c>
      <c r="F12" s="3888">
        <v>105</v>
      </c>
      <c r="G12" s="3888">
        <v>2.5</v>
      </c>
      <c r="H12" s="3888">
        <v>2</v>
      </c>
      <c r="I12" s="3893">
        <f t="shared" si="1"/>
        <v>23953.125</v>
      </c>
      <c r="J12" s="3893">
        <f t="shared" si="0"/>
        <v>19162.5</v>
      </c>
    </row>
    <row r="13" spans="1:10" ht="12.75" customHeight="1">
      <c r="A13" s="3888">
        <v>11</v>
      </c>
      <c r="B13" s="3888" t="s">
        <v>4526</v>
      </c>
      <c r="C13" s="3896">
        <v>44621</v>
      </c>
      <c r="D13" s="3896">
        <v>44985</v>
      </c>
      <c r="E13" s="3898" t="s">
        <v>4527</v>
      </c>
      <c r="F13" s="3888">
        <v>108</v>
      </c>
      <c r="G13" s="3888">
        <v>2</v>
      </c>
      <c r="H13" s="3888">
        <v>2</v>
      </c>
      <c r="I13" s="3893">
        <f t="shared" si="1"/>
        <v>19710</v>
      </c>
      <c r="J13" s="3893">
        <f t="shared" si="0"/>
        <v>19710</v>
      </c>
    </row>
    <row r="14" spans="1:10" ht="12.75" customHeight="1">
      <c r="A14" s="4905">
        <v>12</v>
      </c>
      <c r="B14" s="4905" t="s">
        <v>4528</v>
      </c>
      <c r="C14" s="4908">
        <v>44630</v>
      </c>
      <c r="D14" s="4908">
        <v>44994</v>
      </c>
      <c r="E14" s="4909" t="s">
        <v>4529</v>
      </c>
      <c r="F14" s="4905">
        <v>170</v>
      </c>
      <c r="G14" s="4905">
        <v>2</v>
      </c>
      <c r="H14" s="4905">
        <v>2</v>
      </c>
      <c r="I14" s="4906">
        <f t="shared" si="1"/>
        <v>31025</v>
      </c>
      <c r="J14" s="4906">
        <f t="shared" si="0"/>
        <v>31025</v>
      </c>
    </row>
    <row r="15" spans="1:10" ht="12.75" customHeight="1">
      <c r="A15" s="4905"/>
      <c r="B15" s="4905"/>
      <c r="C15" s="4908"/>
      <c r="D15" s="4908"/>
      <c r="E15" s="4909"/>
      <c r="F15" s="4905"/>
      <c r="G15" s="4905"/>
      <c r="H15" s="4905"/>
      <c r="I15" s="4906"/>
      <c r="J15" s="4906"/>
    </row>
    <row r="16" spans="1:10" ht="12.75" customHeight="1">
      <c r="A16" s="4905">
        <v>13</v>
      </c>
      <c r="B16" s="4905" t="s">
        <v>4530</v>
      </c>
      <c r="C16" s="4908">
        <v>44637</v>
      </c>
      <c r="D16" s="4908">
        <v>45001</v>
      </c>
      <c r="E16" s="4905" t="s">
        <v>4531</v>
      </c>
      <c r="F16" s="4905">
        <v>108</v>
      </c>
      <c r="G16" s="4905">
        <v>3.5</v>
      </c>
      <c r="H16" s="4905">
        <v>1.5</v>
      </c>
      <c r="I16" s="4906">
        <f t="shared" si="1"/>
        <v>34492.5</v>
      </c>
      <c r="J16" s="4906">
        <f t="shared" si="0"/>
        <v>14782.5</v>
      </c>
    </row>
    <row r="17" spans="1:10" ht="12.75" customHeight="1">
      <c r="A17" s="4905"/>
      <c r="B17" s="4905"/>
      <c r="C17" s="4908"/>
      <c r="D17" s="4908"/>
      <c r="E17" s="4905"/>
      <c r="F17" s="4905"/>
      <c r="G17" s="4905"/>
      <c r="H17" s="4905"/>
      <c r="I17" s="4906"/>
      <c r="J17" s="4906"/>
    </row>
    <row r="18" spans="1:10" ht="12.75" customHeight="1">
      <c r="A18" s="4905">
        <v>14</v>
      </c>
      <c r="B18" s="4905" t="s">
        <v>4532</v>
      </c>
      <c r="C18" s="4908">
        <v>44667</v>
      </c>
      <c r="D18" s="4908">
        <v>45031</v>
      </c>
      <c r="E18" s="4905" t="s">
        <v>4533</v>
      </c>
      <c r="F18" s="4905">
        <v>58</v>
      </c>
      <c r="G18" s="4905">
        <v>3</v>
      </c>
      <c r="H18" s="4905">
        <v>2</v>
      </c>
      <c r="I18" s="4906">
        <f t="shared" si="1"/>
        <v>15877.5</v>
      </c>
      <c r="J18" s="4906">
        <f t="shared" si="0"/>
        <v>10585</v>
      </c>
    </row>
    <row r="19" spans="1:10" ht="12.75" customHeight="1">
      <c r="A19" s="4905"/>
      <c r="B19" s="4905"/>
      <c r="C19" s="4908"/>
      <c r="D19" s="4908"/>
      <c r="E19" s="4905"/>
      <c r="F19" s="4905"/>
      <c r="G19" s="4905"/>
      <c r="H19" s="4905"/>
      <c r="I19" s="4906"/>
      <c r="J19" s="4906"/>
    </row>
    <row r="20" spans="1:10" ht="12.75" customHeight="1">
      <c r="A20" s="4905">
        <v>15</v>
      </c>
      <c r="B20" s="4905" t="s">
        <v>4534</v>
      </c>
      <c r="C20" s="4907">
        <v>44669</v>
      </c>
      <c r="D20" s="4907">
        <v>44668</v>
      </c>
      <c r="E20" s="4909" t="s">
        <v>4535</v>
      </c>
      <c r="F20" s="4905">
        <v>168</v>
      </c>
      <c r="G20" s="4905">
        <v>4</v>
      </c>
      <c r="H20" s="4905">
        <v>1.5</v>
      </c>
      <c r="I20" s="4906">
        <f t="shared" si="1"/>
        <v>61320</v>
      </c>
      <c r="J20" s="4906">
        <f t="shared" si="0"/>
        <v>22995</v>
      </c>
    </row>
    <row r="21" spans="1:10" ht="12.75" customHeight="1">
      <c r="A21" s="4905"/>
      <c r="B21" s="4905"/>
      <c r="C21" s="4905"/>
      <c r="D21" s="4905"/>
      <c r="E21" s="4909"/>
      <c r="F21" s="4905"/>
      <c r="G21" s="4905"/>
      <c r="H21" s="4905"/>
      <c r="I21" s="4906"/>
      <c r="J21" s="4906"/>
    </row>
    <row r="22" spans="1:10" ht="12.75" customHeight="1">
      <c r="A22" s="4905">
        <v>16</v>
      </c>
      <c r="B22" s="4905" t="s">
        <v>4536</v>
      </c>
      <c r="C22" s="4908">
        <v>44678</v>
      </c>
      <c r="D22" s="4907">
        <v>45042</v>
      </c>
      <c r="E22" s="4905" t="s">
        <v>4537</v>
      </c>
      <c r="F22" s="4905">
        <v>34</v>
      </c>
      <c r="G22" s="4905">
        <v>1.5</v>
      </c>
      <c r="H22" s="4905">
        <v>2</v>
      </c>
      <c r="I22" s="4906">
        <f t="shared" si="1"/>
        <v>4653.75</v>
      </c>
      <c r="J22" s="4906">
        <f t="shared" si="0"/>
        <v>6205</v>
      </c>
    </row>
    <row r="23" spans="1:10" ht="12.75" customHeight="1">
      <c r="A23" s="4905"/>
      <c r="B23" s="4905"/>
      <c r="C23" s="4908"/>
      <c r="D23" s="4905"/>
      <c r="E23" s="4905"/>
      <c r="F23" s="4905"/>
      <c r="G23" s="4905"/>
      <c r="H23" s="4905"/>
      <c r="I23" s="4906"/>
      <c r="J23" s="4906"/>
    </row>
    <row r="24" spans="1:10" ht="12.75" customHeight="1">
      <c r="A24" s="4905">
        <v>17</v>
      </c>
      <c r="B24" s="4905" t="s">
        <v>4538</v>
      </c>
      <c r="C24" s="4907">
        <v>44672</v>
      </c>
      <c r="D24" s="4907">
        <v>45036</v>
      </c>
      <c r="E24" s="4905" t="s">
        <v>4539</v>
      </c>
      <c r="F24" s="4905">
        <v>58</v>
      </c>
      <c r="G24" s="4905">
        <v>2</v>
      </c>
      <c r="H24" s="4905">
        <v>2</v>
      </c>
      <c r="I24" s="4906">
        <f t="shared" si="1"/>
        <v>10585</v>
      </c>
      <c r="J24" s="4906">
        <f t="shared" si="0"/>
        <v>10585</v>
      </c>
    </row>
    <row r="25" spans="1:10" ht="12.75" customHeight="1">
      <c r="A25" s="4905"/>
      <c r="B25" s="4905"/>
      <c r="C25" s="4905"/>
      <c r="D25" s="4905"/>
      <c r="E25" s="4905"/>
      <c r="F25" s="4905"/>
      <c r="G25" s="4905"/>
      <c r="H25" s="4905"/>
      <c r="I25" s="4906"/>
      <c r="J25" s="4906"/>
    </row>
    <row r="26" spans="1:10" ht="12.75" customHeight="1">
      <c r="A26" s="4905">
        <v>18</v>
      </c>
      <c r="B26" s="4905" t="s">
        <v>4540</v>
      </c>
      <c r="C26" s="4907">
        <v>44652</v>
      </c>
      <c r="D26" s="4907">
        <v>45016</v>
      </c>
      <c r="E26" s="4905" t="s">
        <v>4541</v>
      </c>
      <c r="F26" s="4905">
        <v>91</v>
      </c>
      <c r="G26" s="4905">
        <v>2</v>
      </c>
      <c r="H26" s="4905">
        <v>2</v>
      </c>
      <c r="I26" s="4906">
        <f t="shared" si="1"/>
        <v>16607.5</v>
      </c>
      <c r="J26" s="4906">
        <f t="shared" si="0"/>
        <v>16607.5</v>
      </c>
    </row>
    <row r="27" spans="1:10" ht="12.75" customHeight="1">
      <c r="A27" s="4905"/>
      <c r="B27" s="4905"/>
      <c r="C27" s="4905"/>
      <c r="D27" s="4905"/>
      <c r="E27" s="4905"/>
      <c r="F27" s="4905"/>
      <c r="G27" s="4905"/>
      <c r="H27" s="4905"/>
      <c r="I27" s="4906"/>
      <c r="J27" s="4906"/>
    </row>
    <row r="28" spans="1:10" ht="12.75" customHeight="1">
      <c r="A28" s="3888">
        <v>19</v>
      </c>
      <c r="B28" s="3888" t="s">
        <v>4542</v>
      </c>
      <c r="C28" s="3901">
        <v>44713</v>
      </c>
      <c r="D28" s="3901">
        <v>45077</v>
      </c>
      <c r="E28" s="3902" t="s">
        <v>4543</v>
      </c>
      <c r="F28" s="3902">
        <v>34</v>
      </c>
      <c r="G28" s="3902">
        <v>1.5</v>
      </c>
      <c r="H28" s="3902">
        <v>2</v>
      </c>
      <c r="I28" s="3902">
        <f>(F28*G28*365)/4</f>
        <v>4653.75</v>
      </c>
      <c r="J28" s="3902">
        <f>(F28*H28*365)/4</f>
        <v>6205</v>
      </c>
    </row>
    <row r="29" spans="1:10" ht="12.75" customHeight="1">
      <c r="A29" s="3888">
        <v>20</v>
      </c>
      <c r="B29" s="3888" t="s">
        <v>4544</v>
      </c>
      <c r="C29" s="3901">
        <v>44692</v>
      </c>
      <c r="D29" s="3901">
        <v>45056</v>
      </c>
      <c r="E29" s="3903" t="s">
        <v>4545</v>
      </c>
      <c r="F29" s="3902">
        <v>294</v>
      </c>
      <c r="G29" s="3902">
        <v>3.5</v>
      </c>
      <c r="H29" s="3902">
        <v>1.5</v>
      </c>
      <c r="I29" s="3902">
        <f>(F29*G29*365)/4</f>
        <v>93896.25</v>
      </c>
      <c r="J29" s="3902">
        <f>(F29*H29*365)/4</f>
        <v>40241.25</v>
      </c>
    </row>
    <row r="30" spans="1:10" ht="12.75" customHeight="1">
      <c r="A30" s="3888">
        <v>21</v>
      </c>
      <c r="B30" s="3888" t="s">
        <v>4546</v>
      </c>
      <c r="C30" s="3901">
        <v>44696</v>
      </c>
      <c r="D30" s="3901">
        <v>45060</v>
      </c>
      <c r="E30" s="3888" t="s">
        <v>4374</v>
      </c>
      <c r="F30" s="3902">
        <v>142</v>
      </c>
      <c r="G30" s="3902">
        <v>3.5</v>
      </c>
      <c r="H30" s="3902">
        <v>1.5</v>
      </c>
      <c r="I30" s="3902">
        <f>(F30*G30*365)/4</f>
        <v>45351.25</v>
      </c>
      <c r="J30" s="3902">
        <f>(F30*H30*365)/4</f>
        <v>19436.25</v>
      </c>
    </row>
    <row r="31" spans="1:10" ht="12.75" customHeight="1">
      <c r="A31" s="3888">
        <v>22</v>
      </c>
      <c r="B31" s="3888" t="s">
        <v>4547</v>
      </c>
      <c r="C31" s="3901">
        <v>44743</v>
      </c>
      <c r="D31" s="3901">
        <v>45107</v>
      </c>
      <c r="E31" s="3888" t="s">
        <v>4548</v>
      </c>
      <c r="F31" s="3888">
        <v>161</v>
      </c>
      <c r="G31" s="3888">
        <v>3.5</v>
      </c>
      <c r="H31" s="3888">
        <v>1.5</v>
      </c>
      <c r="I31" s="3888">
        <v>51419.38</v>
      </c>
      <c r="J31" s="3888">
        <v>22036.880000000001</v>
      </c>
    </row>
    <row r="32" spans="1:10" ht="12.75" customHeight="1">
      <c r="A32" s="3888">
        <v>25</v>
      </c>
      <c r="B32" s="3888" t="s">
        <v>4549</v>
      </c>
      <c r="C32" s="3901">
        <v>44736</v>
      </c>
      <c r="D32" s="3901">
        <v>45100</v>
      </c>
      <c r="E32" s="3903" t="s">
        <v>4550</v>
      </c>
      <c r="F32" s="3888">
        <v>327</v>
      </c>
      <c r="G32" s="3888">
        <v>4</v>
      </c>
      <c r="H32" s="3888">
        <v>1.5</v>
      </c>
      <c r="I32" s="3904">
        <v>119355</v>
      </c>
      <c r="J32" s="3888">
        <v>44758.13</v>
      </c>
    </row>
    <row r="33" spans="1:10" ht="12.75" customHeight="1">
      <c r="A33" s="3888">
        <v>26</v>
      </c>
      <c r="B33" s="3888" t="s">
        <v>4551</v>
      </c>
      <c r="C33" s="3901">
        <v>44736</v>
      </c>
      <c r="D33" s="3901">
        <v>45100</v>
      </c>
      <c r="E33" s="3903" t="s">
        <v>4552</v>
      </c>
      <c r="F33" s="3888">
        <v>494</v>
      </c>
      <c r="G33" s="3888">
        <v>2.5</v>
      </c>
      <c r="H33" s="3888">
        <v>2</v>
      </c>
      <c r="I33" s="3888">
        <v>112693.75</v>
      </c>
      <c r="J33" s="3904">
        <v>90155</v>
      </c>
    </row>
    <row r="34" spans="1:10" ht="12.75" customHeight="1">
      <c r="A34" s="3888">
        <v>28</v>
      </c>
      <c r="B34" s="3888" t="s">
        <v>4553</v>
      </c>
      <c r="C34" s="3901">
        <v>44726</v>
      </c>
      <c r="D34" s="3901">
        <v>45090</v>
      </c>
      <c r="E34" s="3888" t="s">
        <v>4554</v>
      </c>
      <c r="F34" s="3888">
        <v>58</v>
      </c>
      <c r="G34" s="3888">
        <v>2</v>
      </c>
      <c r="H34" s="3888">
        <v>2</v>
      </c>
      <c r="I34" s="3904">
        <v>10585</v>
      </c>
      <c r="J34" s="3904">
        <v>10585</v>
      </c>
    </row>
    <row r="35" spans="1:10" ht="12.75" customHeight="1">
      <c r="A35" s="3888">
        <v>29</v>
      </c>
      <c r="B35" s="3888" t="s">
        <v>4555</v>
      </c>
      <c r="C35" s="3901">
        <v>44697</v>
      </c>
      <c r="D35" s="3901">
        <v>45061</v>
      </c>
      <c r="E35" s="3888" t="s">
        <v>4556</v>
      </c>
      <c r="F35" s="3888">
        <v>151</v>
      </c>
      <c r="G35" s="3888">
        <v>3.5</v>
      </c>
      <c r="H35" s="3888">
        <v>1.5</v>
      </c>
      <c r="I35" s="3888">
        <v>48225.63</v>
      </c>
      <c r="J35" s="3888">
        <v>20668.13</v>
      </c>
    </row>
    <row r="36" spans="1:10" ht="12.75" customHeight="1">
      <c r="A36" s="3888">
        <v>30</v>
      </c>
      <c r="B36" s="3888" t="s">
        <v>4557</v>
      </c>
      <c r="C36" s="3901">
        <v>44692</v>
      </c>
      <c r="D36" s="3901">
        <v>45056</v>
      </c>
      <c r="E36" s="3888" t="s">
        <v>4558</v>
      </c>
      <c r="F36" s="3888">
        <v>108</v>
      </c>
      <c r="G36" s="3888">
        <v>2</v>
      </c>
      <c r="H36" s="3888">
        <v>2</v>
      </c>
      <c r="I36" s="3904">
        <v>19710</v>
      </c>
      <c r="J36" s="3904">
        <v>19710</v>
      </c>
    </row>
    <row r="37" spans="1:10" ht="12.75" customHeight="1">
      <c r="A37" s="3888">
        <v>31</v>
      </c>
      <c r="B37" s="3888" t="s">
        <v>4559</v>
      </c>
      <c r="C37" s="3901">
        <v>44704</v>
      </c>
      <c r="D37" s="3901">
        <v>45068</v>
      </c>
      <c r="E37" s="3888" t="s">
        <v>4560</v>
      </c>
      <c r="F37" s="3888">
        <v>142</v>
      </c>
      <c r="G37" s="3888">
        <v>3.5</v>
      </c>
      <c r="H37" s="3888">
        <v>1.5</v>
      </c>
      <c r="I37" s="3888">
        <v>45351.25</v>
      </c>
      <c r="J37" s="3888">
        <v>19436.25</v>
      </c>
    </row>
    <row r="38" spans="1:10" ht="12.75" customHeight="1">
      <c r="A38" s="3888">
        <v>33</v>
      </c>
      <c r="B38" s="3888" t="s">
        <v>4561</v>
      </c>
      <c r="C38" s="3901">
        <v>44693</v>
      </c>
      <c r="D38" s="3901">
        <v>44692</v>
      </c>
      <c r="E38" s="3888" t="s">
        <v>4562</v>
      </c>
      <c r="F38" s="3888">
        <v>105</v>
      </c>
      <c r="G38" s="3888">
        <v>3</v>
      </c>
      <c r="H38" s="3888">
        <v>2</v>
      </c>
      <c r="I38" s="3888">
        <f>(F38*G38*365)/4</f>
        <v>28743.75</v>
      </c>
      <c r="J38" s="3888">
        <f>(F38*H38*365)/4</f>
        <v>19162.5</v>
      </c>
    </row>
    <row r="39" spans="1:10" ht="12.75" customHeight="1">
      <c r="A39" s="3888">
        <v>34</v>
      </c>
      <c r="B39" s="3888" t="s">
        <v>4563</v>
      </c>
      <c r="C39" s="3901">
        <v>44708</v>
      </c>
      <c r="D39" s="3901">
        <v>45072</v>
      </c>
      <c r="E39" s="3888" t="s">
        <v>4564</v>
      </c>
      <c r="F39" s="3888">
        <v>161</v>
      </c>
      <c r="G39" s="3888">
        <v>4.5</v>
      </c>
      <c r="H39" s="3888">
        <v>1.5</v>
      </c>
      <c r="I39" s="3888">
        <v>66110.63</v>
      </c>
      <c r="J39" s="3888">
        <v>22036.880000000001</v>
      </c>
    </row>
    <row r="40" spans="1:10" ht="12.75" customHeight="1">
      <c r="F40" s="3889">
        <f>SUM(F2:F39)</f>
        <v>4897</v>
      </c>
    </row>
    <row r="41" spans="1:10" ht="12.75" customHeight="1">
      <c r="F41" s="3889">
        <f>F40+'[9]2021年'!$F$86</f>
        <v>18424</v>
      </c>
    </row>
  </sheetData>
  <mergeCells count="71">
    <mergeCell ref="E14:E15"/>
    <mergeCell ref="A10:A11"/>
    <mergeCell ref="A14:A15"/>
    <mergeCell ref="B14:B15"/>
    <mergeCell ref="C14:C15"/>
    <mergeCell ref="D14:D15"/>
    <mergeCell ref="A16:A17"/>
    <mergeCell ref="B16:B17"/>
    <mergeCell ref="C16:C17"/>
    <mergeCell ref="D16:D17"/>
    <mergeCell ref="E16:E17"/>
    <mergeCell ref="F14:F15"/>
    <mergeCell ref="G14:G15"/>
    <mergeCell ref="H14:H15"/>
    <mergeCell ref="I14:I15"/>
    <mergeCell ref="J14:J15"/>
    <mergeCell ref="A18:A19"/>
    <mergeCell ref="B18:B19"/>
    <mergeCell ref="C18:C19"/>
    <mergeCell ref="D18:D19"/>
    <mergeCell ref="E18:E19"/>
    <mergeCell ref="F16:F17"/>
    <mergeCell ref="G16:G17"/>
    <mergeCell ref="H16:H17"/>
    <mergeCell ref="I16:I17"/>
    <mergeCell ref="J16:J17"/>
    <mergeCell ref="A20:A21"/>
    <mergeCell ref="B20:B21"/>
    <mergeCell ref="C20:C21"/>
    <mergeCell ref="D20:D21"/>
    <mergeCell ref="E20:E21"/>
    <mergeCell ref="F18:F19"/>
    <mergeCell ref="G18:G19"/>
    <mergeCell ref="H18:H19"/>
    <mergeCell ref="I18:I19"/>
    <mergeCell ref="J18:J19"/>
    <mergeCell ref="A22:A23"/>
    <mergeCell ref="B22:B23"/>
    <mergeCell ref="C22:C23"/>
    <mergeCell ref="D22:D23"/>
    <mergeCell ref="E22:E23"/>
    <mergeCell ref="F20:F21"/>
    <mergeCell ref="G20:G21"/>
    <mergeCell ref="H20:H21"/>
    <mergeCell ref="I20:I21"/>
    <mergeCell ref="J20:J21"/>
    <mergeCell ref="A24:A25"/>
    <mergeCell ref="B24:B25"/>
    <mergeCell ref="C24:C25"/>
    <mergeCell ref="D24:D25"/>
    <mergeCell ref="E24:E25"/>
    <mergeCell ref="F22:F23"/>
    <mergeCell ref="G22:G23"/>
    <mergeCell ref="H22:H23"/>
    <mergeCell ref="I22:I23"/>
    <mergeCell ref="J22:J23"/>
    <mergeCell ref="A26:A27"/>
    <mergeCell ref="B26:B27"/>
    <mergeCell ref="C26:C27"/>
    <mergeCell ref="D26:D27"/>
    <mergeCell ref="E26:E27"/>
    <mergeCell ref="F24:F25"/>
    <mergeCell ref="G24:G25"/>
    <mergeCell ref="H24:H25"/>
    <mergeCell ref="I24:I25"/>
    <mergeCell ref="J24:J25"/>
    <mergeCell ref="F26:F27"/>
    <mergeCell ref="G26:G27"/>
    <mergeCell ref="H26:H27"/>
    <mergeCell ref="I26:I27"/>
    <mergeCell ref="J26:J27"/>
  </mergeCells>
  <phoneticPr fontId="147"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N39"/>
  <sheetViews>
    <sheetView workbookViewId="0">
      <selection activeCell="E9" sqref="E9"/>
    </sheetView>
  </sheetViews>
  <sheetFormatPr defaultColWidth="9.375" defaultRowHeight="12"/>
  <cols>
    <col min="1" max="11" width="9.375" style="3905"/>
    <col min="12" max="12" width="14.625" style="3905" customWidth="1"/>
    <col min="13" max="13" width="13.875" style="3905" customWidth="1"/>
    <col min="14" max="14" width="14.5" style="3905" customWidth="1"/>
    <col min="15" max="16384" width="9.375" style="3905"/>
  </cols>
  <sheetData>
    <row r="1" spans="1:14">
      <c r="A1" s="4916" t="s">
        <v>4565</v>
      </c>
      <c r="B1" s="4916"/>
      <c r="C1" s="4916"/>
      <c r="D1" s="4916"/>
      <c r="E1" s="4916"/>
      <c r="F1" s="4916"/>
      <c r="G1" s="4916"/>
      <c r="H1" s="4916"/>
      <c r="I1" s="4916"/>
      <c r="J1" s="4916"/>
      <c r="K1" s="4916"/>
      <c r="L1" s="4916"/>
      <c r="M1" s="4916"/>
      <c r="N1" s="4916"/>
    </row>
    <row r="2" spans="1:14">
      <c r="A2" s="4917" t="s">
        <v>2745</v>
      </c>
      <c r="B2" s="4917" t="s">
        <v>4566</v>
      </c>
      <c r="C2" s="4917" t="s">
        <v>4567</v>
      </c>
      <c r="D2" s="4917" t="s">
        <v>4568</v>
      </c>
      <c r="E2" s="4917" t="s">
        <v>4569</v>
      </c>
      <c r="F2" s="3906" t="s">
        <v>4570</v>
      </c>
      <c r="G2" s="4918" t="s">
        <v>4571</v>
      </c>
      <c r="H2" s="4918"/>
      <c r="I2" s="4919" t="s">
        <v>4572</v>
      </c>
      <c r="J2" s="4920"/>
      <c r="K2" s="4921"/>
      <c r="L2" s="4922" t="s">
        <v>4573</v>
      </c>
      <c r="M2" s="4922"/>
      <c r="N2" s="4922"/>
    </row>
    <row r="3" spans="1:14" ht="36">
      <c r="A3" s="4917"/>
      <c r="B3" s="4917"/>
      <c r="C3" s="4917"/>
      <c r="D3" s="4917"/>
      <c r="E3" s="4917"/>
      <c r="F3" s="3906" t="s">
        <v>4574</v>
      </c>
      <c r="G3" s="3906" t="s">
        <v>4575</v>
      </c>
      <c r="H3" s="3906" t="s">
        <v>4576</v>
      </c>
      <c r="I3" s="3907" t="s">
        <v>4577</v>
      </c>
      <c r="J3" s="3907" t="s">
        <v>4578</v>
      </c>
      <c r="K3" s="3907" t="s">
        <v>4579</v>
      </c>
      <c r="L3" s="3908" t="s">
        <v>1224</v>
      </c>
      <c r="M3" s="3908" t="s">
        <v>4580</v>
      </c>
      <c r="N3" s="3908" t="s">
        <v>4581</v>
      </c>
    </row>
    <row r="4" spans="1:14" ht="36">
      <c r="A4" s="3909">
        <v>1</v>
      </c>
      <c r="B4" s="3906">
        <v>34</v>
      </c>
      <c r="C4" s="3906">
        <v>34</v>
      </c>
      <c r="D4" s="3906" t="s">
        <v>4582</v>
      </c>
      <c r="E4" s="3910" t="s">
        <v>4583</v>
      </c>
      <c r="F4" s="3911">
        <v>11211.23</v>
      </c>
      <c r="G4" s="3912" t="s">
        <v>4584</v>
      </c>
      <c r="H4" s="3912" t="s">
        <v>4585</v>
      </c>
      <c r="I4" s="3913">
        <v>6.04</v>
      </c>
      <c r="J4" s="3913"/>
      <c r="K4" s="3913">
        <v>25</v>
      </c>
      <c r="L4" s="3914">
        <v>26189433.239999998</v>
      </c>
      <c r="M4" s="3914">
        <v>0</v>
      </c>
      <c r="N4" s="3914">
        <v>3363369</v>
      </c>
    </row>
    <row r="5" spans="1:14" ht="36">
      <c r="A5" s="3909">
        <v>2</v>
      </c>
      <c r="B5" s="3906">
        <v>35</v>
      </c>
      <c r="C5" s="3906" t="s">
        <v>4586</v>
      </c>
      <c r="D5" s="3906" t="s">
        <v>4582</v>
      </c>
      <c r="E5" s="3910" t="s">
        <v>4583</v>
      </c>
      <c r="F5" s="3911">
        <v>10482.049999999999</v>
      </c>
      <c r="G5" s="3912" t="s">
        <v>4587</v>
      </c>
      <c r="H5" s="3912" t="s">
        <v>4588</v>
      </c>
      <c r="I5" s="3915">
        <v>6.04</v>
      </c>
      <c r="J5" s="3913"/>
      <c r="K5" s="3913">
        <v>25</v>
      </c>
      <c r="L5" s="3914">
        <v>24141733.440000001</v>
      </c>
      <c r="M5" s="3914">
        <v>0</v>
      </c>
      <c r="N5" s="3914">
        <v>3144615</v>
      </c>
    </row>
    <row r="6" spans="1:14" ht="36">
      <c r="A6" s="3909">
        <v>3</v>
      </c>
      <c r="B6" s="3906">
        <v>35</v>
      </c>
      <c r="C6" s="3906" t="s">
        <v>4589</v>
      </c>
      <c r="D6" s="3906" t="s">
        <v>2930</v>
      </c>
      <c r="E6" s="3910" t="s">
        <v>4590</v>
      </c>
      <c r="F6" s="3906">
        <v>853.39</v>
      </c>
      <c r="G6" s="3916" t="s">
        <v>4591</v>
      </c>
      <c r="H6" s="3916" t="s">
        <v>4592</v>
      </c>
      <c r="I6" s="3915">
        <v>5.25</v>
      </c>
      <c r="J6" s="3913"/>
      <c r="K6" s="3913">
        <v>38</v>
      </c>
      <c r="L6" s="3914">
        <v>1499032.92</v>
      </c>
      <c r="M6" s="3914">
        <v>0</v>
      </c>
      <c r="N6" s="3914">
        <v>356717.02</v>
      </c>
    </row>
    <row r="7" spans="1:14" ht="36">
      <c r="A7" s="3909">
        <v>4</v>
      </c>
      <c r="B7" s="3906">
        <v>37</v>
      </c>
      <c r="C7" s="3906" t="s">
        <v>4593</v>
      </c>
      <c r="D7" s="3906" t="s">
        <v>4582</v>
      </c>
      <c r="E7" s="3910" t="s">
        <v>4594</v>
      </c>
      <c r="F7" s="3906">
        <v>5751.21</v>
      </c>
      <c r="G7" s="3916" t="s">
        <v>4595</v>
      </c>
      <c r="H7" s="3916" t="s">
        <v>4596</v>
      </c>
      <c r="I7" s="3915">
        <v>1.5</v>
      </c>
      <c r="J7" s="3913">
        <v>2</v>
      </c>
      <c r="K7" s="3913"/>
      <c r="L7" s="3914">
        <v>3148787.4</v>
      </c>
      <c r="M7" s="3914">
        <v>0</v>
      </c>
      <c r="N7" s="3914">
        <v>4198383.3600000003</v>
      </c>
    </row>
    <row r="8" spans="1:14" ht="36">
      <c r="A8" s="3909">
        <v>5</v>
      </c>
      <c r="B8" s="3906">
        <v>37</v>
      </c>
      <c r="C8" s="3906" t="s">
        <v>4597</v>
      </c>
      <c r="D8" s="3906" t="s">
        <v>4582</v>
      </c>
      <c r="E8" s="3910" t="s">
        <v>4598</v>
      </c>
      <c r="F8" s="3906">
        <v>1643.47</v>
      </c>
      <c r="G8" s="3916" t="s">
        <v>4599</v>
      </c>
      <c r="H8" s="3916" t="s">
        <v>4600</v>
      </c>
      <c r="I8" s="3915">
        <v>4</v>
      </c>
      <c r="J8" s="3913">
        <v>2.6</v>
      </c>
      <c r="K8" s="3913">
        <v>30</v>
      </c>
      <c r="L8" s="3914">
        <v>2399466.2400000002</v>
      </c>
      <c r="M8" s="3914">
        <v>1559652.36</v>
      </c>
      <c r="N8" s="3914">
        <v>591649.19999999995</v>
      </c>
    </row>
    <row r="9" spans="1:14" ht="36">
      <c r="A9" s="3909">
        <v>6</v>
      </c>
      <c r="B9" s="3906">
        <v>37</v>
      </c>
      <c r="C9" s="3906" t="s">
        <v>4601</v>
      </c>
      <c r="D9" s="3906" t="s">
        <v>4582</v>
      </c>
      <c r="E9" s="3910" t="s">
        <v>4583</v>
      </c>
      <c r="F9" s="3906">
        <v>663.69</v>
      </c>
      <c r="G9" s="3916" t="s">
        <v>4602</v>
      </c>
      <c r="H9" s="3916" t="s">
        <v>4603</v>
      </c>
      <c r="I9" s="3915">
        <v>4</v>
      </c>
      <c r="J9" s="3913">
        <v>2.78</v>
      </c>
      <c r="K9" s="3913">
        <v>25</v>
      </c>
      <c r="L9" s="3914">
        <v>645991.6</v>
      </c>
      <c r="M9" s="3914">
        <v>448964.16</v>
      </c>
      <c r="N9" s="3914">
        <v>132738</v>
      </c>
    </row>
    <row r="10" spans="1:14" ht="48">
      <c r="A10" s="3909">
        <v>7</v>
      </c>
      <c r="B10" s="3906">
        <v>37</v>
      </c>
      <c r="C10" s="3906" t="s">
        <v>4604</v>
      </c>
      <c r="D10" s="3906" t="s">
        <v>4582</v>
      </c>
      <c r="E10" s="3910" t="s">
        <v>4605</v>
      </c>
      <c r="F10" s="3906">
        <v>989.94</v>
      </c>
      <c r="G10" s="3912" t="s">
        <v>4606</v>
      </c>
      <c r="H10" s="3912" t="s">
        <v>4607</v>
      </c>
      <c r="I10" s="3915">
        <v>5.98</v>
      </c>
      <c r="J10" s="3913"/>
      <c r="K10" s="3913">
        <v>25</v>
      </c>
      <c r="L10" s="3914">
        <v>360123.68</v>
      </c>
      <c r="M10" s="3914">
        <v>0</v>
      </c>
      <c r="N10" s="3914">
        <v>49497</v>
      </c>
    </row>
    <row r="11" spans="1:14" ht="24">
      <c r="A11" s="3909">
        <v>8</v>
      </c>
      <c r="B11" s="3906">
        <v>37</v>
      </c>
      <c r="C11" s="3906" t="s">
        <v>4608</v>
      </c>
      <c r="D11" s="3906" t="s">
        <v>4582</v>
      </c>
      <c r="E11" s="3910" t="s">
        <v>4609</v>
      </c>
      <c r="F11" s="3906">
        <v>1399.79</v>
      </c>
      <c r="G11" s="3916" t="s">
        <v>4610</v>
      </c>
      <c r="H11" s="3916" t="s">
        <v>4611</v>
      </c>
      <c r="I11" s="3915">
        <v>4</v>
      </c>
      <c r="J11" s="3913">
        <v>1.01</v>
      </c>
      <c r="K11" s="3913">
        <v>30</v>
      </c>
      <c r="L11" s="3914">
        <v>1021846.68</v>
      </c>
      <c r="M11" s="3914">
        <v>255461.7</v>
      </c>
      <c r="N11" s="3914">
        <v>255951.6</v>
      </c>
    </row>
    <row r="12" spans="1:14" ht="36">
      <c r="A12" s="3909">
        <v>9</v>
      </c>
      <c r="B12" s="3906">
        <v>37</v>
      </c>
      <c r="C12" s="3906" t="s">
        <v>4612</v>
      </c>
      <c r="D12" s="3906" t="s">
        <v>4582</v>
      </c>
      <c r="E12" s="3910" t="s">
        <v>4613</v>
      </c>
      <c r="F12" s="3906">
        <v>255</v>
      </c>
      <c r="G12" s="3916" t="s">
        <v>4610</v>
      </c>
      <c r="H12" s="3916" t="s">
        <v>4611</v>
      </c>
      <c r="I12" s="3915">
        <v>4</v>
      </c>
      <c r="J12" s="3913">
        <v>1.01</v>
      </c>
      <c r="K12" s="3913">
        <v>30</v>
      </c>
      <c r="L12" s="3914">
        <v>186150</v>
      </c>
      <c r="M12" s="3914">
        <v>46537.5</v>
      </c>
      <c r="N12" s="3914">
        <v>46626.78</v>
      </c>
    </row>
    <row r="13" spans="1:14">
      <c r="A13" s="4910"/>
      <c r="B13" s="4911"/>
      <c r="C13" s="4911"/>
      <c r="D13" s="4911"/>
      <c r="E13" s="4912"/>
      <c r="F13" s="3917">
        <f>SUM(F4:F12)</f>
        <v>33249.769999999997</v>
      </c>
      <c r="G13" s="3916"/>
      <c r="H13" s="3916"/>
      <c r="I13" s="3915"/>
      <c r="J13" s="3913"/>
      <c r="K13" s="3913"/>
      <c r="L13" s="3914"/>
      <c r="M13" s="3914"/>
      <c r="N13" s="3914"/>
    </row>
    <row r="14" spans="1:14">
      <c r="A14" s="3909">
        <v>1</v>
      </c>
      <c r="B14" s="3906">
        <v>35</v>
      </c>
      <c r="C14" s="3906">
        <v>101</v>
      </c>
      <c r="D14" s="3906" t="s">
        <v>2930</v>
      </c>
      <c r="E14" s="3918" t="s">
        <v>4614</v>
      </c>
      <c r="F14" s="3906">
        <v>120.46</v>
      </c>
      <c r="G14" s="3916" t="s">
        <v>4615</v>
      </c>
      <c r="H14" s="3916" t="s">
        <v>4616</v>
      </c>
      <c r="I14" s="3915">
        <v>9.26</v>
      </c>
      <c r="J14" s="3913"/>
      <c r="K14" s="3913">
        <v>38</v>
      </c>
      <c r="L14" s="3914">
        <v>407142.72</v>
      </c>
      <c r="M14" s="3914">
        <v>0</v>
      </c>
      <c r="N14" s="3914">
        <v>54929.760000000002</v>
      </c>
    </row>
    <row r="15" spans="1:14">
      <c r="A15" s="3909">
        <v>2</v>
      </c>
      <c r="B15" s="3906">
        <v>35</v>
      </c>
      <c r="C15" s="3906">
        <v>102</v>
      </c>
      <c r="D15" s="3906" t="s">
        <v>2930</v>
      </c>
      <c r="E15" s="3918" t="s">
        <v>4617</v>
      </c>
      <c r="F15" s="3906">
        <v>80</v>
      </c>
      <c r="G15" s="3916" t="s">
        <v>4615</v>
      </c>
      <c r="H15" s="3916" t="s">
        <v>4616</v>
      </c>
      <c r="I15" s="3915">
        <v>9.26</v>
      </c>
      <c r="J15" s="3913"/>
      <c r="K15" s="3913">
        <v>38</v>
      </c>
      <c r="L15" s="3914">
        <v>270392.03999999998</v>
      </c>
      <c r="M15" s="3914">
        <v>0</v>
      </c>
      <c r="N15" s="3914">
        <v>36480</v>
      </c>
    </row>
    <row r="16" spans="1:14" ht="36">
      <c r="A16" s="3909">
        <v>3</v>
      </c>
      <c r="B16" s="3906">
        <v>35</v>
      </c>
      <c r="C16" s="3906">
        <v>103</v>
      </c>
      <c r="D16" s="3906" t="s">
        <v>2930</v>
      </c>
      <c r="E16" s="3910" t="s">
        <v>4618</v>
      </c>
      <c r="F16" s="3906">
        <v>424.31</v>
      </c>
      <c r="G16" s="3916" t="s">
        <v>4619</v>
      </c>
      <c r="H16" s="3916" t="s">
        <v>4620</v>
      </c>
      <c r="I16" s="3915">
        <v>11.61</v>
      </c>
      <c r="J16" s="3913"/>
      <c r="K16" s="3913">
        <v>38</v>
      </c>
      <c r="L16" s="3914">
        <v>1672242.81</v>
      </c>
      <c r="M16" s="3914">
        <v>0</v>
      </c>
      <c r="N16" s="3914">
        <v>177361.58</v>
      </c>
    </row>
    <row r="17" spans="1:14" ht="36">
      <c r="A17" s="3909">
        <v>4</v>
      </c>
      <c r="B17" s="3906">
        <v>35</v>
      </c>
      <c r="C17" s="3906">
        <v>104</v>
      </c>
      <c r="D17" s="3906" t="s">
        <v>2930</v>
      </c>
      <c r="E17" s="3910" t="s">
        <v>4590</v>
      </c>
      <c r="F17" s="3906">
        <v>282.62</v>
      </c>
      <c r="G17" s="3916" t="s">
        <v>4591</v>
      </c>
      <c r="H17" s="3916" t="s">
        <v>4592</v>
      </c>
      <c r="I17" s="3915">
        <v>6.75</v>
      </c>
      <c r="J17" s="3913"/>
      <c r="K17" s="3913">
        <v>38</v>
      </c>
      <c r="L17" s="3914">
        <v>732839.58</v>
      </c>
      <c r="M17" s="3914">
        <v>0</v>
      </c>
      <c r="N17" s="3914">
        <v>118135.16</v>
      </c>
    </row>
    <row r="18" spans="1:14" ht="36">
      <c r="A18" s="3909">
        <v>5</v>
      </c>
      <c r="B18" s="3906">
        <v>35</v>
      </c>
      <c r="C18" s="3906">
        <v>108</v>
      </c>
      <c r="D18" s="3906" t="s">
        <v>2930</v>
      </c>
      <c r="E18" s="3910" t="s">
        <v>4583</v>
      </c>
      <c r="F18" s="3906">
        <v>156.6</v>
      </c>
      <c r="G18" s="3916" t="s">
        <v>4621</v>
      </c>
      <c r="H18" s="3916" t="s">
        <v>4622</v>
      </c>
      <c r="I18" s="3915">
        <v>4</v>
      </c>
      <c r="J18" s="3913">
        <v>4.75</v>
      </c>
      <c r="K18" s="3913">
        <v>38</v>
      </c>
      <c r="L18" s="3914">
        <v>95265</v>
      </c>
      <c r="M18" s="3914">
        <v>113127.2</v>
      </c>
      <c r="N18" s="3914">
        <v>29754</v>
      </c>
    </row>
    <row r="19" spans="1:14" ht="36">
      <c r="A19" s="3909">
        <v>6</v>
      </c>
      <c r="B19" s="3906">
        <v>35</v>
      </c>
      <c r="C19" s="3906">
        <v>117</v>
      </c>
      <c r="D19" s="3906" t="s">
        <v>2930</v>
      </c>
      <c r="E19" s="3910" t="s">
        <v>4623</v>
      </c>
      <c r="F19" s="3906">
        <v>113.69</v>
      </c>
      <c r="G19" s="3916" t="s">
        <v>4624</v>
      </c>
      <c r="H19" s="3916" t="s">
        <v>4625</v>
      </c>
      <c r="I19" s="3915">
        <v>11.75</v>
      </c>
      <c r="J19" s="3913"/>
      <c r="K19" s="3913">
        <v>38</v>
      </c>
      <c r="L19" s="3914">
        <v>526595.04</v>
      </c>
      <c r="M19" s="3914">
        <v>0</v>
      </c>
      <c r="N19" s="3914">
        <v>51842.64</v>
      </c>
    </row>
    <row r="20" spans="1:14" ht="24">
      <c r="A20" s="3909">
        <v>7</v>
      </c>
      <c r="B20" s="3906">
        <v>35</v>
      </c>
      <c r="C20" s="3906">
        <v>116</v>
      </c>
      <c r="D20" s="3906" t="s">
        <v>2930</v>
      </c>
      <c r="E20" s="3910" t="s">
        <v>4626</v>
      </c>
      <c r="F20" s="3906">
        <v>322.19</v>
      </c>
      <c r="G20" s="3916" t="s">
        <v>4627</v>
      </c>
      <c r="H20" s="3916" t="s">
        <v>4628</v>
      </c>
      <c r="I20" s="3915">
        <v>5.75</v>
      </c>
      <c r="J20" s="3913"/>
      <c r="K20" s="3913">
        <v>38</v>
      </c>
      <c r="L20" s="3914">
        <v>730378.96</v>
      </c>
      <c r="M20" s="3914">
        <v>0</v>
      </c>
      <c r="N20" s="3914">
        <v>146918.64000000001</v>
      </c>
    </row>
    <row r="21" spans="1:14" ht="36">
      <c r="A21" s="3909">
        <v>8</v>
      </c>
      <c r="B21" s="3906">
        <v>37</v>
      </c>
      <c r="C21" s="3906">
        <v>102</v>
      </c>
      <c r="D21" s="3906" t="s">
        <v>2930</v>
      </c>
      <c r="E21" s="3910" t="s">
        <v>4590</v>
      </c>
      <c r="F21" s="3906">
        <v>222.12</v>
      </c>
      <c r="G21" s="3916" t="s">
        <v>4629</v>
      </c>
      <c r="H21" s="3916" t="s">
        <v>4630</v>
      </c>
      <c r="I21" s="3915">
        <v>4</v>
      </c>
      <c r="J21" s="3913">
        <v>3.52</v>
      </c>
      <c r="K21" s="3913">
        <v>45</v>
      </c>
      <c r="L21" s="3914">
        <v>324295.2</v>
      </c>
      <c r="M21" s="3914">
        <v>336459.89</v>
      </c>
      <c r="N21" s="3914">
        <v>119944.8</v>
      </c>
    </row>
    <row r="22" spans="1:14" ht="36">
      <c r="A22" s="3909">
        <v>9</v>
      </c>
      <c r="B22" s="3906">
        <v>37</v>
      </c>
      <c r="C22" s="3906">
        <v>104</v>
      </c>
      <c r="D22" s="3906" t="s">
        <v>2930</v>
      </c>
      <c r="E22" s="3910" t="s">
        <v>4631</v>
      </c>
      <c r="F22" s="3906">
        <v>124.72</v>
      </c>
      <c r="G22" s="3916" t="s">
        <v>4629</v>
      </c>
      <c r="H22" s="3916" t="s">
        <v>4630</v>
      </c>
      <c r="I22" s="3915">
        <v>4</v>
      </c>
      <c r="J22" s="3913">
        <v>1.02</v>
      </c>
      <c r="K22" s="3913">
        <v>45</v>
      </c>
      <c r="L22" s="3914">
        <v>182091.24</v>
      </c>
      <c r="M22" s="3914">
        <v>46431.6</v>
      </c>
      <c r="N22" s="3914">
        <v>67348.800000000003</v>
      </c>
    </row>
    <row r="23" spans="1:14" ht="48">
      <c r="A23" s="3909">
        <v>10</v>
      </c>
      <c r="B23" s="3906">
        <v>37</v>
      </c>
      <c r="C23" s="3906" t="s">
        <v>4632</v>
      </c>
      <c r="D23" s="3906" t="s">
        <v>2930</v>
      </c>
      <c r="E23" s="3910" t="s">
        <v>4633</v>
      </c>
      <c r="F23" s="3906">
        <v>155.6</v>
      </c>
      <c r="G23" s="3916" t="s">
        <v>4634</v>
      </c>
      <c r="H23" s="3916" t="s">
        <v>4635</v>
      </c>
      <c r="I23" s="3913"/>
      <c r="J23" s="3913"/>
      <c r="K23" s="3913">
        <v>38</v>
      </c>
      <c r="L23" s="3914"/>
      <c r="M23" s="3914"/>
      <c r="N23" s="3914"/>
    </row>
    <row r="24" spans="1:14" ht="36">
      <c r="A24" s="3919">
        <v>11</v>
      </c>
      <c r="B24" s="3920">
        <v>37</v>
      </c>
      <c r="C24" s="3920">
        <v>103</v>
      </c>
      <c r="D24" s="3920" t="s">
        <v>2930</v>
      </c>
      <c r="E24" s="3921" t="s">
        <v>4636</v>
      </c>
      <c r="F24" s="3920">
        <v>187.3</v>
      </c>
      <c r="G24" s="3922" t="s">
        <v>4637</v>
      </c>
      <c r="H24" s="3922" t="s">
        <v>4638</v>
      </c>
      <c r="I24" s="3923">
        <v>4</v>
      </c>
      <c r="J24" s="3924">
        <v>6.2</v>
      </c>
      <c r="K24" s="3924">
        <v>45</v>
      </c>
      <c r="L24" s="3925">
        <v>273458.03999999998</v>
      </c>
      <c r="M24" s="3925">
        <v>423859.92</v>
      </c>
      <c r="N24" s="3925">
        <v>101142</v>
      </c>
    </row>
    <row r="25" spans="1:14" ht="36">
      <c r="A25" s="3909">
        <v>12</v>
      </c>
      <c r="B25" s="3906">
        <v>38</v>
      </c>
      <c r="C25" s="3906">
        <v>104</v>
      </c>
      <c r="D25" s="3906" t="s">
        <v>2930</v>
      </c>
      <c r="E25" s="3910" t="s">
        <v>4639</v>
      </c>
      <c r="F25" s="3906">
        <v>113.23</v>
      </c>
      <c r="G25" s="3926" t="s">
        <v>4640</v>
      </c>
      <c r="H25" s="3926" t="s">
        <v>4641</v>
      </c>
      <c r="I25" s="3915">
        <v>4</v>
      </c>
      <c r="J25" s="3913">
        <v>1.02</v>
      </c>
      <c r="K25" s="3913">
        <v>45</v>
      </c>
      <c r="L25" s="3914">
        <v>165315.84</v>
      </c>
      <c r="M25" s="3914">
        <v>42153.84</v>
      </c>
      <c r="N25" s="3914">
        <v>61144.2</v>
      </c>
    </row>
    <row r="26" spans="1:14" ht="36">
      <c r="A26" s="3909">
        <v>13</v>
      </c>
      <c r="B26" s="3906">
        <v>38</v>
      </c>
      <c r="C26" s="3906" t="s">
        <v>4642</v>
      </c>
      <c r="D26" s="3906" t="s">
        <v>2930</v>
      </c>
      <c r="E26" s="3910" t="s">
        <v>4583</v>
      </c>
      <c r="F26" s="3906">
        <v>2901.62</v>
      </c>
      <c r="G26" s="3926" t="s">
        <v>4643</v>
      </c>
      <c r="H26" s="3926" t="s">
        <v>4588</v>
      </c>
      <c r="I26" s="3915">
        <v>6.33</v>
      </c>
      <c r="J26" s="3913"/>
      <c r="K26" s="3913">
        <v>38</v>
      </c>
      <c r="L26" s="3914">
        <v>7821389.2400000002</v>
      </c>
      <c r="M26" s="3914">
        <v>0</v>
      </c>
      <c r="N26" s="3914">
        <v>1543661.84</v>
      </c>
    </row>
    <row r="27" spans="1:14" ht="48">
      <c r="A27" s="3909">
        <v>14</v>
      </c>
      <c r="B27" s="3906">
        <v>38</v>
      </c>
      <c r="C27" s="3906">
        <v>106</v>
      </c>
      <c r="D27" s="3906" t="s">
        <v>2930</v>
      </c>
      <c r="E27" s="3910" t="s">
        <v>4644</v>
      </c>
      <c r="F27" s="3906">
        <v>258.14999999999998</v>
      </c>
      <c r="G27" s="3926" t="s">
        <v>4645</v>
      </c>
      <c r="H27" s="3926" t="s">
        <v>4646</v>
      </c>
      <c r="I27" s="3915">
        <v>4</v>
      </c>
      <c r="J27" s="3913">
        <v>5.74</v>
      </c>
      <c r="K27" s="3913">
        <v>58.46</v>
      </c>
      <c r="L27" s="3914">
        <v>310848.59999999998</v>
      </c>
      <c r="M27" s="3914">
        <v>446067.72</v>
      </c>
      <c r="N27" s="3914">
        <v>149360.64000000001</v>
      </c>
    </row>
    <row r="28" spans="1:14" ht="36">
      <c r="A28" s="3909">
        <v>15</v>
      </c>
      <c r="B28" s="3906">
        <v>38</v>
      </c>
      <c r="C28" s="3906">
        <v>107</v>
      </c>
      <c r="D28" s="3906" t="s">
        <v>2930</v>
      </c>
      <c r="E28" s="3910" t="s">
        <v>4647</v>
      </c>
      <c r="F28" s="3906">
        <v>308.31</v>
      </c>
      <c r="G28" s="3926" t="s">
        <v>4648</v>
      </c>
      <c r="H28" s="3926" t="s">
        <v>4649</v>
      </c>
      <c r="I28" s="3915">
        <v>7.44</v>
      </c>
      <c r="J28" s="3913"/>
      <c r="K28" s="3913">
        <v>38</v>
      </c>
      <c r="L28" s="3914">
        <v>209311.65</v>
      </c>
      <c r="M28" s="3914">
        <v>0</v>
      </c>
      <c r="N28" s="3914">
        <v>35147.339999999997</v>
      </c>
    </row>
    <row r="29" spans="1:14" ht="36">
      <c r="A29" s="3909">
        <v>16</v>
      </c>
      <c r="B29" s="3906">
        <v>38</v>
      </c>
      <c r="C29" s="3906">
        <v>110</v>
      </c>
      <c r="D29" s="3906" t="s">
        <v>2930</v>
      </c>
      <c r="E29" s="3910" t="s">
        <v>4650</v>
      </c>
      <c r="F29" s="3906">
        <v>267.98</v>
      </c>
      <c r="G29" s="3926" t="s">
        <v>4651</v>
      </c>
      <c r="H29" s="3926" t="s">
        <v>4652</v>
      </c>
      <c r="I29" s="3915">
        <v>4</v>
      </c>
      <c r="J29" s="3913">
        <v>2.52</v>
      </c>
      <c r="K29" s="3913">
        <v>45</v>
      </c>
      <c r="L29" s="3914">
        <v>390804.43</v>
      </c>
      <c r="M29" s="3914">
        <v>265251.27</v>
      </c>
      <c r="N29" s="3914">
        <v>144709.20000000001</v>
      </c>
    </row>
    <row r="30" spans="1:14" ht="48">
      <c r="A30" s="3909">
        <v>17</v>
      </c>
      <c r="B30" s="3906">
        <v>38</v>
      </c>
      <c r="C30" s="3906">
        <v>120</v>
      </c>
      <c r="D30" s="3906" t="s">
        <v>2930</v>
      </c>
      <c r="E30" s="3910" t="s">
        <v>4653</v>
      </c>
      <c r="F30" s="3906">
        <v>20.5</v>
      </c>
      <c r="G30" s="3927" t="s">
        <v>4654</v>
      </c>
      <c r="H30" s="3927" t="s">
        <v>4655</v>
      </c>
      <c r="I30" s="3913"/>
      <c r="J30" s="3913"/>
      <c r="K30" s="3913">
        <v>38</v>
      </c>
      <c r="L30" s="3914"/>
      <c r="M30" s="3914"/>
      <c r="N30" s="3914"/>
    </row>
    <row r="31" spans="1:14">
      <c r="A31" s="4910"/>
      <c r="B31" s="4911"/>
      <c r="C31" s="4911"/>
      <c r="D31" s="4911"/>
      <c r="E31" s="4912"/>
      <c r="F31" s="3917">
        <f>SUM(F14:F30)</f>
        <v>6059.4</v>
      </c>
      <c r="G31" s="3927"/>
      <c r="H31" s="3927"/>
      <c r="I31" s="3913"/>
      <c r="J31" s="3913"/>
      <c r="K31" s="3913"/>
      <c r="L31" s="3914">
        <f>SUM(L4:L30)</f>
        <v>73704935.590000018</v>
      </c>
      <c r="M31" s="3914">
        <f>SUM(M4:M30)</f>
        <v>3983967.1600000006</v>
      </c>
      <c r="N31" s="3914">
        <f>SUM(N4:N30)</f>
        <v>14977427.559999999</v>
      </c>
    </row>
    <row r="32" spans="1:14" ht="36">
      <c r="A32" s="3909">
        <v>1</v>
      </c>
      <c r="B32" s="3906">
        <v>38</v>
      </c>
      <c r="C32" s="3906" t="s">
        <v>4656</v>
      </c>
      <c r="D32" s="3906" t="s">
        <v>4657</v>
      </c>
      <c r="E32" s="3910" t="s">
        <v>4590</v>
      </c>
      <c r="F32" s="3906">
        <v>27.69</v>
      </c>
      <c r="G32" s="3927" t="s">
        <v>4658</v>
      </c>
      <c r="H32" s="3927" t="s">
        <v>4592</v>
      </c>
      <c r="I32" s="3915">
        <v>4.5</v>
      </c>
      <c r="J32" s="3913"/>
      <c r="K32" s="3913"/>
      <c r="L32" s="3914">
        <v>30320.560000000001</v>
      </c>
      <c r="M32" s="3914">
        <v>0</v>
      </c>
      <c r="N32" s="3914">
        <v>0</v>
      </c>
    </row>
    <row r="33" spans="1:14" ht="36">
      <c r="A33" s="3909">
        <v>2</v>
      </c>
      <c r="B33" s="3906">
        <v>38</v>
      </c>
      <c r="C33" s="3906" t="s">
        <v>4659</v>
      </c>
      <c r="D33" s="3906" t="s">
        <v>4657</v>
      </c>
      <c r="E33" s="3910" t="s">
        <v>4583</v>
      </c>
      <c r="F33" s="3906">
        <v>1400.38</v>
      </c>
      <c r="G33" s="3927" t="s">
        <v>4660</v>
      </c>
      <c r="H33" s="3927" t="s">
        <v>4585</v>
      </c>
      <c r="I33" s="3915">
        <v>4.5</v>
      </c>
      <c r="J33" s="3913"/>
      <c r="K33" s="3913"/>
      <c r="L33" s="3914">
        <v>0</v>
      </c>
      <c r="M33" s="3914">
        <v>0</v>
      </c>
      <c r="N33" s="3914">
        <v>2300124.15</v>
      </c>
    </row>
    <row r="34" spans="1:14" ht="36">
      <c r="A34" s="3909">
        <v>3</v>
      </c>
      <c r="B34" s="3906">
        <v>38</v>
      </c>
      <c r="C34" s="3906" t="s">
        <v>4661</v>
      </c>
      <c r="D34" s="3906" t="s">
        <v>4657</v>
      </c>
      <c r="E34" s="3910" t="s">
        <v>4590</v>
      </c>
      <c r="F34" s="3906">
        <v>18.46</v>
      </c>
      <c r="G34" s="3927" t="s">
        <v>4591</v>
      </c>
      <c r="H34" s="3927" t="s">
        <v>4592</v>
      </c>
      <c r="I34" s="3915">
        <v>4.5</v>
      </c>
      <c r="J34" s="3913"/>
      <c r="K34" s="3913"/>
      <c r="L34" s="3914">
        <v>20213.68</v>
      </c>
      <c r="M34" s="3914">
        <v>0</v>
      </c>
      <c r="N34" s="3914">
        <v>0</v>
      </c>
    </row>
    <row r="35" spans="1:14" ht="36">
      <c r="A35" s="3909">
        <v>4</v>
      </c>
      <c r="B35" s="3906">
        <v>38</v>
      </c>
      <c r="C35" s="3906" t="s">
        <v>4662</v>
      </c>
      <c r="D35" s="3906" t="s">
        <v>4657</v>
      </c>
      <c r="E35" s="3910" t="s">
        <v>4663</v>
      </c>
      <c r="F35" s="3906">
        <v>38.46</v>
      </c>
      <c r="G35" s="3927" t="s">
        <v>4664</v>
      </c>
      <c r="H35" s="3927" t="s">
        <v>4665</v>
      </c>
      <c r="I35" s="3915">
        <v>4.5</v>
      </c>
      <c r="J35" s="3915"/>
      <c r="K35" s="3915"/>
      <c r="L35" s="3914"/>
      <c r="M35" s="3914"/>
      <c r="N35" s="3914"/>
    </row>
    <row r="36" spans="1:14">
      <c r="A36" s="4910"/>
      <c r="B36" s="4911"/>
      <c r="C36" s="4911"/>
      <c r="D36" s="4911"/>
      <c r="E36" s="4911"/>
      <c r="F36" s="3928">
        <f>SUM(F32:F35)</f>
        <v>1484.9900000000002</v>
      </c>
      <c r="G36" s="3929"/>
      <c r="H36" s="3929"/>
      <c r="I36" s="3930"/>
      <c r="J36" s="3930"/>
      <c r="K36" s="3930"/>
      <c r="L36" s="3914"/>
      <c r="M36" s="3914"/>
      <c r="N36" s="3914"/>
    </row>
    <row r="37" spans="1:14">
      <c r="A37" s="4913" t="s">
        <v>51</v>
      </c>
      <c r="B37" s="4914"/>
      <c r="C37" s="4914"/>
      <c r="D37" s="4914"/>
      <c r="E37" s="4914"/>
      <c r="F37" s="4914"/>
      <c r="G37" s="4914"/>
      <c r="H37" s="4914"/>
      <c r="I37" s="4915"/>
      <c r="J37" s="3931"/>
      <c r="K37" s="3931"/>
      <c r="L37" s="3932">
        <f>SUM(L4:L35)-L31</f>
        <v>73755469.830000028</v>
      </c>
      <c r="M37" s="3932">
        <f>SUM(M4:M35)-M31</f>
        <v>3983967.1600000006</v>
      </c>
      <c r="N37" s="3932">
        <f>SUM(N4:N35)-N31</f>
        <v>17277551.709999997</v>
      </c>
    </row>
    <row r="38" spans="1:14">
      <c r="A38" s="3933"/>
      <c r="B38" s="3933"/>
      <c r="C38" s="3933"/>
      <c r="D38" s="3933"/>
      <c r="E38" s="3933"/>
      <c r="F38" s="3933"/>
      <c r="G38" s="3933"/>
      <c r="H38" s="3933"/>
      <c r="I38" s="3934"/>
      <c r="J38" s="3934"/>
      <c r="K38" s="3934"/>
      <c r="L38" s="3933"/>
      <c r="M38" s="3933"/>
      <c r="N38" s="3935">
        <f>L37+M37+N37</f>
        <v>95016988.700000018</v>
      </c>
    </row>
    <row r="39" spans="1:14">
      <c r="A39" s="3933"/>
      <c r="B39" s="3933"/>
      <c r="C39" s="3933"/>
      <c r="D39" s="3933"/>
      <c r="E39" s="3933"/>
      <c r="F39" s="3933"/>
      <c r="G39" s="3933"/>
      <c r="H39" s="3933"/>
      <c r="I39" s="3934"/>
      <c r="J39" s="3934"/>
      <c r="K39" s="3934"/>
      <c r="L39" s="3935"/>
      <c r="M39" s="3933"/>
      <c r="N39" s="3933">
        <f>N38/365/[10]系统读取表!B1</f>
        <v>6.3040821705232784</v>
      </c>
    </row>
  </sheetData>
  <mergeCells count="13">
    <mergeCell ref="A13:E13"/>
    <mergeCell ref="A31:E31"/>
    <mergeCell ref="A36:E36"/>
    <mergeCell ref="A37:I37"/>
    <mergeCell ref="A1:N1"/>
    <mergeCell ref="A2:A3"/>
    <mergeCell ref="B2:B3"/>
    <mergeCell ref="C2:C3"/>
    <mergeCell ref="D2:D3"/>
    <mergeCell ref="E2:E3"/>
    <mergeCell ref="G2:H2"/>
    <mergeCell ref="I2:K2"/>
    <mergeCell ref="L2:N2"/>
  </mergeCells>
  <phoneticPr fontId="147"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I11"/>
  <sheetViews>
    <sheetView workbookViewId="0">
      <selection activeCell="C5" sqref="C5"/>
    </sheetView>
  </sheetViews>
  <sheetFormatPr defaultColWidth="8.875" defaultRowHeight="14.25"/>
  <cols>
    <col min="2" max="2" width="16.125" customWidth="1"/>
    <col min="5" max="5" width="17.125" customWidth="1"/>
    <col min="6" max="6" width="16.625" customWidth="1"/>
    <col min="9" max="9" width="9.625" customWidth="1"/>
  </cols>
  <sheetData>
    <row r="1" spans="1:9" ht="15" thickBot="1">
      <c r="A1" s="3936" t="s">
        <v>2745</v>
      </c>
      <c r="B1" s="3937" t="s">
        <v>3244</v>
      </c>
      <c r="C1" s="3937" t="s">
        <v>4666</v>
      </c>
      <c r="D1" s="3937" t="s">
        <v>4667</v>
      </c>
      <c r="E1" s="3937" t="s">
        <v>4668</v>
      </c>
      <c r="F1" s="3937" t="s">
        <v>4669</v>
      </c>
      <c r="G1" s="3938" t="s">
        <v>4670</v>
      </c>
      <c r="H1" s="3937" t="s">
        <v>3106</v>
      </c>
      <c r="I1" s="3939" t="s">
        <v>4671</v>
      </c>
    </row>
    <row r="2" spans="1:9" ht="15" thickBot="1">
      <c r="A2" s="3940">
        <v>1</v>
      </c>
      <c r="B2" s="3941" t="s">
        <v>4672</v>
      </c>
      <c r="C2" s="3942" t="s">
        <v>4673</v>
      </c>
      <c r="D2" s="3942">
        <v>45</v>
      </c>
      <c r="E2" s="3943" t="s">
        <v>4674</v>
      </c>
      <c r="F2" s="3942" t="s">
        <v>4675</v>
      </c>
      <c r="G2" s="3944" t="s">
        <v>2938</v>
      </c>
      <c r="H2" s="3945" t="s">
        <v>4676</v>
      </c>
      <c r="I2">
        <f>5000/30/45</f>
        <v>3.7037037037037033</v>
      </c>
    </row>
    <row r="3" spans="1:9" ht="39" thickBot="1">
      <c r="A3" s="3946">
        <v>2</v>
      </c>
      <c r="B3" s="3947" t="s">
        <v>4677</v>
      </c>
      <c r="C3" s="3948" t="s">
        <v>4678</v>
      </c>
      <c r="D3" s="3948">
        <v>3276.13</v>
      </c>
      <c r="E3" s="3949" t="s">
        <v>4679</v>
      </c>
      <c r="F3" s="3948">
        <v>6.7</v>
      </c>
      <c r="G3" s="3950" t="s">
        <v>4680</v>
      </c>
      <c r="H3" s="3951" t="s">
        <v>4676</v>
      </c>
    </row>
    <row r="4" spans="1:9" ht="15" thickBot="1">
      <c r="A4" s="3940">
        <v>3</v>
      </c>
      <c r="B4" s="3941" t="s">
        <v>4681</v>
      </c>
      <c r="C4" s="3942" t="s">
        <v>4682</v>
      </c>
      <c r="D4" s="3942">
        <v>352.37</v>
      </c>
      <c r="E4" s="3943" t="s">
        <v>4683</v>
      </c>
      <c r="F4" s="3942">
        <v>7.5</v>
      </c>
      <c r="G4" s="3944" t="s">
        <v>4684</v>
      </c>
      <c r="H4" s="3945" t="s">
        <v>4676</v>
      </c>
    </row>
    <row r="5" spans="1:9" ht="39" thickBot="1">
      <c r="A5" s="3946">
        <v>4</v>
      </c>
      <c r="B5" s="3947" t="s">
        <v>4681</v>
      </c>
      <c r="C5" s="3948" t="s">
        <v>4678</v>
      </c>
      <c r="D5" s="3948">
        <v>769.41</v>
      </c>
      <c r="E5" s="3949" t="s">
        <v>4685</v>
      </c>
      <c r="F5" s="3948">
        <v>6.5</v>
      </c>
      <c r="G5" s="3950" t="s">
        <v>4686</v>
      </c>
      <c r="H5" s="3951" t="s">
        <v>4676</v>
      </c>
    </row>
    <row r="6" spans="1:9" ht="39" thickBot="1">
      <c r="A6" s="3940">
        <v>5</v>
      </c>
      <c r="B6" s="3945" t="s">
        <v>4687</v>
      </c>
      <c r="C6" s="3942" t="s">
        <v>4688</v>
      </c>
      <c r="D6" s="3942">
        <v>1866.41</v>
      </c>
      <c r="E6" s="3942" t="s">
        <v>4689</v>
      </c>
      <c r="F6" s="3942">
        <v>6.9</v>
      </c>
      <c r="G6" s="3944" t="s">
        <v>4690</v>
      </c>
      <c r="H6" s="3945" t="s">
        <v>4676</v>
      </c>
    </row>
    <row r="7" spans="1:9" ht="15" thickBot="1">
      <c r="A7" s="3940">
        <v>6</v>
      </c>
      <c r="B7" s="3941" t="s">
        <v>4691</v>
      </c>
      <c r="C7" s="3942" t="s">
        <v>4688</v>
      </c>
      <c r="D7" s="3942">
        <v>2593.17</v>
      </c>
      <c r="E7" s="3943" t="s">
        <v>4692</v>
      </c>
      <c r="F7" s="3942">
        <v>7.5</v>
      </c>
      <c r="G7" s="3944" t="s">
        <v>4684</v>
      </c>
      <c r="H7" s="3945" t="s">
        <v>4676</v>
      </c>
    </row>
    <row r="8" spans="1:9" ht="15" thickBot="1">
      <c r="A8" s="3940">
        <v>7</v>
      </c>
      <c r="B8" s="3941" t="s">
        <v>4693</v>
      </c>
      <c r="C8" s="3942" t="s">
        <v>4682</v>
      </c>
      <c r="D8" s="3942">
        <v>26.44</v>
      </c>
      <c r="E8" s="3943" t="s">
        <v>4694</v>
      </c>
      <c r="F8" s="3942">
        <v>7.49</v>
      </c>
      <c r="G8" s="3944" t="s">
        <v>4684</v>
      </c>
      <c r="H8" s="3945" t="s">
        <v>4676</v>
      </c>
    </row>
    <row r="9" spans="1:9" ht="15" thickBot="1">
      <c r="A9" s="3946">
        <v>8</v>
      </c>
      <c r="B9" s="3947" t="s">
        <v>4695</v>
      </c>
      <c r="C9" s="3948" t="s">
        <v>4673</v>
      </c>
      <c r="D9" s="3948">
        <v>28.54</v>
      </c>
      <c r="E9" s="3949" t="s">
        <v>4694</v>
      </c>
      <c r="F9" s="3948">
        <v>7.49</v>
      </c>
      <c r="G9" s="3950" t="s">
        <v>4684</v>
      </c>
      <c r="H9" s="3951" t="s">
        <v>4676</v>
      </c>
    </row>
    <row r="10" spans="1:9" ht="15" thickBot="1">
      <c r="A10" s="3940">
        <v>9</v>
      </c>
      <c r="B10" s="3941" t="s">
        <v>4696</v>
      </c>
      <c r="C10" s="3942" t="s">
        <v>4682</v>
      </c>
      <c r="D10" s="3942">
        <v>215.8</v>
      </c>
      <c r="E10" s="3943" t="s">
        <v>4694</v>
      </c>
      <c r="F10" s="3942">
        <v>7</v>
      </c>
      <c r="G10" s="3944" t="s">
        <v>4684</v>
      </c>
      <c r="H10" s="3945" t="s">
        <v>4676</v>
      </c>
    </row>
    <row r="11" spans="1:9" ht="15" thickBot="1">
      <c r="A11" s="3940">
        <v>10</v>
      </c>
      <c r="B11" s="3941" t="s">
        <v>4697</v>
      </c>
      <c r="C11" s="3942" t="s">
        <v>4682</v>
      </c>
      <c r="D11" s="3942">
        <v>2457.8200000000002</v>
      </c>
      <c r="E11" s="3943" t="s">
        <v>4698</v>
      </c>
      <c r="F11" s="3942">
        <v>7</v>
      </c>
      <c r="G11" s="3944" t="s">
        <v>4684</v>
      </c>
      <c r="H11" s="3945" t="s">
        <v>4676</v>
      </c>
    </row>
  </sheetData>
  <phoneticPr fontId="147"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K11"/>
  <sheetViews>
    <sheetView workbookViewId="0">
      <selection activeCell="B22" sqref="B22"/>
    </sheetView>
  </sheetViews>
  <sheetFormatPr defaultColWidth="8.875" defaultRowHeight="14.25"/>
  <cols>
    <col min="2" max="2" width="27.625" customWidth="1"/>
    <col min="5" max="5" width="33.125" customWidth="1"/>
  </cols>
  <sheetData>
    <row r="1" spans="1:11">
      <c r="A1" s="3954" t="s">
        <v>4707</v>
      </c>
      <c r="B1" s="3954" t="s">
        <v>4708</v>
      </c>
      <c r="C1" s="3954" t="s">
        <v>4709</v>
      </c>
      <c r="D1" s="3954" t="s">
        <v>4710</v>
      </c>
      <c r="E1" s="3954" t="s">
        <v>4711</v>
      </c>
      <c r="F1" s="3954" t="s">
        <v>3437</v>
      </c>
      <c r="G1" s="3954" t="s">
        <v>3371</v>
      </c>
      <c r="H1" s="3954" t="s">
        <v>4712</v>
      </c>
      <c r="I1" s="3954"/>
      <c r="J1" s="3954"/>
      <c r="K1" s="3954"/>
    </row>
    <row r="2" spans="1:11">
      <c r="A2" s="3954">
        <v>1</v>
      </c>
      <c r="B2" s="3954" t="s">
        <v>4713</v>
      </c>
      <c r="C2" s="3954" t="s">
        <v>4194</v>
      </c>
      <c r="D2" s="3954">
        <v>120</v>
      </c>
      <c r="E2" s="3954" t="s">
        <v>4714</v>
      </c>
      <c r="F2" s="3954">
        <v>6.3</v>
      </c>
      <c r="G2" s="3955">
        <v>0.06</v>
      </c>
      <c r="H2" s="3954"/>
      <c r="I2" s="3954"/>
      <c r="J2" s="3954">
        <f>2021-2018</f>
        <v>3</v>
      </c>
      <c r="K2" s="3954"/>
    </row>
    <row r="3" spans="1:11">
      <c r="A3" s="3954">
        <v>2</v>
      </c>
      <c r="B3" s="3954" t="s">
        <v>4715</v>
      </c>
      <c r="C3" s="3954" t="s">
        <v>4716</v>
      </c>
      <c r="D3" s="3954">
        <v>4045.54</v>
      </c>
      <c r="E3" s="3954" t="s">
        <v>4717</v>
      </c>
      <c r="F3" s="3954">
        <v>5.7</v>
      </c>
      <c r="G3" s="3954" t="s">
        <v>4718</v>
      </c>
      <c r="H3" s="3954"/>
      <c r="I3" s="3954"/>
      <c r="J3" s="3954">
        <f>2024-2019</f>
        <v>5</v>
      </c>
      <c r="K3" s="3954">
        <f>F3*1.06</f>
        <v>6.0420000000000007</v>
      </c>
    </row>
    <row r="4" spans="1:11">
      <c r="A4" s="3954">
        <v>3</v>
      </c>
      <c r="B4" s="3954" t="s">
        <v>4719</v>
      </c>
      <c r="C4" s="3954" t="s">
        <v>4720</v>
      </c>
      <c r="D4" s="3954">
        <v>749.41</v>
      </c>
      <c r="E4" s="3954" t="s">
        <v>4721</v>
      </c>
      <c r="F4" s="3954">
        <v>6.5</v>
      </c>
      <c r="G4" s="3954" t="s">
        <v>4722</v>
      </c>
      <c r="H4" s="3954" t="s">
        <v>4723</v>
      </c>
      <c r="I4" s="3954"/>
      <c r="J4" s="3954">
        <f>2023-2020</f>
        <v>3</v>
      </c>
      <c r="K4" s="3954"/>
    </row>
    <row r="5" spans="1:11">
      <c r="A5" s="3954">
        <v>4</v>
      </c>
      <c r="B5" s="3954" t="s">
        <v>4724</v>
      </c>
      <c r="C5" s="3954" t="s">
        <v>4725</v>
      </c>
      <c r="D5" s="3954">
        <v>348.08</v>
      </c>
      <c r="E5" s="3954" t="s">
        <v>4726</v>
      </c>
      <c r="F5" s="3954">
        <v>6.49</v>
      </c>
      <c r="G5" s="3955">
        <v>0.05</v>
      </c>
      <c r="H5" s="3954"/>
      <c r="I5" s="3954"/>
      <c r="J5" s="3954">
        <v>1</v>
      </c>
      <c r="K5" s="3954"/>
    </row>
    <row r="6" spans="1:11">
      <c r="A6" s="3954">
        <v>5</v>
      </c>
      <c r="B6" s="3954" t="s">
        <v>4727</v>
      </c>
      <c r="C6" s="3954" t="s">
        <v>4728</v>
      </c>
      <c r="D6" s="3954">
        <v>138.13999999999999</v>
      </c>
      <c r="E6" s="3954" t="s">
        <v>4729</v>
      </c>
      <c r="F6" s="3954">
        <v>7.49</v>
      </c>
      <c r="G6" s="3955">
        <v>0.05</v>
      </c>
      <c r="H6" s="3954" t="s">
        <v>4723</v>
      </c>
      <c r="I6" s="3954"/>
      <c r="J6" s="3954">
        <v>2</v>
      </c>
      <c r="K6" s="3954"/>
    </row>
    <row r="7" spans="1:11">
      <c r="A7" s="3954">
        <v>6</v>
      </c>
      <c r="B7" s="3954" t="s">
        <v>4730</v>
      </c>
      <c r="C7" s="3954" t="s">
        <v>4728</v>
      </c>
      <c r="D7" s="3954">
        <v>276.27</v>
      </c>
      <c r="E7" s="3954" t="s">
        <v>4729</v>
      </c>
      <c r="F7" s="3954">
        <v>7.49</v>
      </c>
      <c r="G7" s="3955">
        <v>0.05</v>
      </c>
      <c r="H7" s="3954" t="s">
        <v>4723</v>
      </c>
      <c r="I7" s="3954"/>
      <c r="J7" s="3954">
        <v>2</v>
      </c>
      <c r="K7" s="3954"/>
    </row>
    <row r="8" spans="1:11">
      <c r="A8" s="3954">
        <v>7</v>
      </c>
      <c r="B8" s="3954" t="s">
        <v>4731</v>
      </c>
      <c r="C8" s="3954" t="s">
        <v>4732</v>
      </c>
      <c r="D8" s="3954">
        <v>244.23</v>
      </c>
      <c r="E8" s="3954" t="s">
        <v>4726</v>
      </c>
      <c r="F8" s="3954">
        <v>6.49</v>
      </c>
      <c r="G8" s="3955">
        <v>0.05</v>
      </c>
      <c r="H8" s="3954"/>
      <c r="I8" s="3954"/>
      <c r="J8" s="3954">
        <v>1</v>
      </c>
      <c r="K8" s="3954"/>
    </row>
    <row r="9" spans="1:11">
      <c r="A9" s="3954">
        <v>8</v>
      </c>
      <c r="B9" s="3954" t="s">
        <v>4733</v>
      </c>
      <c r="C9" s="3954" t="s">
        <v>4732</v>
      </c>
      <c r="D9" s="3954">
        <f>330.91+969.61</f>
        <v>1300.52</v>
      </c>
      <c r="E9" s="3954" t="s">
        <v>4734</v>
      </c>
      <c r="F9" s="3954">
        <v>5.9</v>
      </c>
      <c r="G9" s="3954" t="s">
        <v>4735</v>
      </c>
      <c r="H9" s="3954"/>
      <c r="I9" s="3954"/>
      <c r="J9" s="3954">
        <f>2025-2020</f>
        <v>5</v>
      </c>
      <c r="K9" s="3954">
        <f>F9*1.06</f>
        <v>6.2540000000000004</v>
      </c>
    </row>
    <row r="10" spans="1:11">
      <c r="A10" s="3954">
        <v>9</v>
      </c>
      <c r="B10" s="3954" t="s">
        <v>4736</v>
      </c>
      <c r="C10" s="3954" t="s">
        <v>4732</v>
      </c>
      <c r="D10" s="3954">
        <v>269.79000000000002</v>
      </c>
      <c r="E10" s="3954" t="s">
        <v>4737</v>
      </c>
      <c r="F10" s="3954">
        <v>6.49</v>
      </c>
      <c r="G10" s="3955">
        <v>0.05</v>
      </c>
      <c r="H10" s="3954"/>
      <c r="I10" s="3954"/>
      <c r="J10" s="3954">
        <v>1</v>
      </c>
      <c r="K10" s="3954"/>
    </row>
    <row r="11" spans="1:11">
      <c r="A11" s="3954">
        <v>10</v>
      </c>
      <c r="B11" s="3954" t="s">
        <v>4738</v>
      </c>
      <c r="C11" s="3954" t="s">
        <v>4739</v>
      </c>
      <c r="D11" s="3954">
        <v>4021.32</v>
      </c>
      <c r="E11" s="3954" t="s">
        <v>4726</v>
      </c>
      <c r="F11" s="3954">
        <v>7</v>
      </c>
      <c r="G11" s="3955">
        <v>0.05</v>
      </c>
      <c r="H11" s="3954" t="s">
        <v>4723</v>
      </c>
      <c r="I11" s="3954"/>
      <c r="J11" s="3954">
        <v>1</v>
      </c>
      <c r="K11" s="3954"/>
    </row>
  </sheetData>
  <phoneticPr fontId="147" type="noConversion"/>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5"/>
  <sheetViews>
    <sheetView workbookViewId="0">
      <selection activeCell="C11" sqref="C11"/>
    </sheetView>
  </sheetViews>
  <sheetFormatPr defaultColWidth="8.875" defaultRowHeight="14.25"/>
  <cols>
    <col min="2" max="3" width="15.625" customWidth="1"/>
  </cols>
  <sheetData>
    <row r="1" spans="1:8">
      <c r="A1" s="3952"/>
      <c r="B1" s="3952"/>
      <c r="C1" s="3952"/>
      <c r="D1" s="3952" t="s">
        <v>4699</v>
      </c>
      <c r="E1" s="3952" t="s">
        <v>4700</v>
      </c>
      <c r="F1" s="3952" t="s">
        <v>4701</v>
      </c>
      <c r="G1" s="3952" t="s">
        <v>4702</v>
      </c>
      <c r="H1" s="3952" t="s">
        <v>4703</v>
      </c>
    </row>
    <row r="2" spans="1:8">
      <c r="A2" s="3952" t="s">
        <v>4704</v>
      </c>
      <c r="B2" s="3953">
        <v>43070</v>
      </c>
      <c r="C2" s="3953">
        <v>43296</v>
      </c>
      <c r="D2" s="3952">
        <f>E2*12</f>
        <v>13018875.720000001</v>
      </c>
      <c r="E2" s="3952">
        <v>1084906.31</v>
      </c>
      <c r="F2" s="3952">
        <v>170.1</v>
      </c>
      <c r="G2" s="3952">
        <f>F2/30</f>
        <v>5.67</v>
      </c>
      <c r="H2" s="3952"/>
    </row>
    <row r="3" spans="1:8">
      <c r="A3" s="3952"/>
      <c r="B3" s="3953">
        <v>43297</v>
      </c>
      <c r="C3" s="3953">
        <v>44392</v>
      </c>
      <c r="D3" s="3952">
        <f t="shared" ref="D3:D5" si="0">E3*12</f>
        <v>15383856.600000001</v>
      </c>
      <c r="E3" s="3952">
        <v>1281988.05</v>
      </c>
      <c r="F3" s="3952">
        <v>201</v>
      </c>
      <c r="G3" s="3952">
        <f>F3/30</f>
        <v>6.7</v>
      </c>
      <c r="H3" s="3952">
        <v>1.72</v>
      </c>
    </row>
    <row r="4" spans="1:8">
      <c r="A4" s="3952" t="s">
        <v>4705</v>
      </c>
      <c r="B4" s="3953">
        <v>43297</v>
      </c>
      <c r="C4" s="3953">
        <v>44392</v>
      </c>
      <c r="D4" s="3952">
        <f t="shared" si="0"/>
        <v>15351945.84</v>
      </c>
      <c r="E4" s="3952">
        <v>1279328.82</v>
      </c>
      <c r="F4" s="3952">
        <v>201</v>
      </c>
      <c r="G4" s="3952">
        <f t="shared" ref="G4:G5" si="1">F4/30</f>
        <v>6.7</v>
      </c>
      <c r="H4" s="3952">
        <v>1.72</v>
      </c>
    </row>
    <row r="5" spans="1:8">
      <c r="A5" s="3952" t="s">
        <v>4706</v>
      </c>
      <c r="B5" s="3953">
        <v>43297</v>
      </c>
      <c r="C5" s="3953">
        <v>44392</v>
      </c>
      <c r="D5" s="3952">
        <f t="shared" si="0"/>
        <v>12809022.48</v>
      </c>
      <c r="E5" s="3952">
        <v>1067418.54</v>
      </c>
      <c r="F5" s="3952">
        <v>201</v>
      </c>
      <c r="G5" s="3952">
        <f t="shared" si="1"/>
        <v>6.7</v>
      </c>
      <c r="H5" s="3952">
        <v>1.72</v>
      </c>
    </row>
  </sheetData>
  <phoneticPr fontId="147" type="noConversion"/>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41">
    <tabColor rgb="FF92D050"/>
  </sheetPr>
  <dimension ref="A1:AH117"/>
  <sheetViews>
    <sheetView topLeftCell="F1" zoomScale="80" zoomScaleNormal="80" workbookViewId="0">
      <selection activeCell="Z33" sqref="H24:Z33"/>
    </sheetView>
  </sheetViews>
  <sheetFormatPr defaultColWidth="9" defaultRowHeight="12.75"/>
  <cols>
    <col min="1" max="1" width="9" style="2353"/>
    <col min="2" max="6" width="9" style="2353" customWidth="1"/>
    <col min="7" max="7" width="9" style="2396"/>
    <col min="8" max="8" width="9" style="2353"/>
    <col min="9" max="12" width="9" style="2353" customWidth="1"/>
    <col min="13" max="13" width="2.125" style="2353" customWidth="1"/>
    <col min="14" max="14" width="9" style="2396" customWidth="1"/>
    <col min="15" max="17" width="9" style="2353" customWidth="1"/>
    <col min="18" max="18" width="2.375" style="2353" customWidth="1"/>
    <col min="19" max="19" width="7.125" style="2396" customWidth="1"/>
    <col min="20" max="22" width="7.125" style="2353" customWidth="1"/>
    <col min="23" max="23" width="23.875" style="2353" customWidth="1"/>
    <col min="24" max="25" width="9" style="2353"/>
    <col min="26" max="27" width="11.625" style="2353" customWidth="1"/>
    <col min="28" max="28" width="9" style="2353"/>
    <col min="29" max="29" width="2" style="2353" customWidth="1"/>
    <col min="30" max="16384" width="9" style="2353"/>
  </cols>
  <sheetData>
    <row r="1" spans="1:34" s="2331" customFormat="1">
      <c r="B1" s="4928" t="s">
        <v>1020</v>
      </c>
      <c r="C1" s="4928"/>
      <c r="D1" s="4928"/>
      <c r="E1" s="4928"/>
      <c r="F1" s="4928"/>
      <c r="G1" s="4924" t="s">
        <v>1021</v>
      </c>
      <c r="H1" s="4924"/>
      <c r="I1" s="4924"/>
      <c r="J1" s="4924"/>
      <c r="K1" s="4924"/>
      <c r="L1" s="4924"/>
      <c r="N1" s="4924" t="s">
        <v>1022</v>
      </c>
      <c r="O1" s="4924"/>
      <c r="P1" s="4924"/>
      <c r="Q1" s="4924"/>
      <c r="S1" s="4924" t="s">
        <v>1023</v>
      </c>
      <c r="T1" s="4924"/>
      <c r="U1" s="4924"/>
      <c r="V1" s="4924"/>
      <c r="X1" s="4923" t="s">
        <v>1024</v>
      </c>
      <c r="Y1" s="4924"/>
      <c r="Z1" s="4924"/>
      <c r="AA1" s="4924"/>
      <c r="AB1" s="4924"/>
      <c r="AD1" s="4923" t="s">
        <v>1025</v>
      </c>
      <c r="AE1" s="4924"/>
      <c r="AF1" s="4924"/>
      <c r="AG1" s="4924"/>
      <c r="AH1" s="4924"/>
    </row>
    <row r="2" spans="1:34" s="2332" customFormat="1" ht="14.25" thickBot="1">
      <c r="B2" s="2333" t="s">
        <v>1026</v>
      </c>
      <c r="C2" s="2333" t="s">
        <v>1027</v>
      </c>
      <c r="D2" s="2334" t="s">
        <v>1028</v>
      </c>
      <c r="E2" s="2334" t="s">
        <v>1029</v>
      </c>
      <c r="F2" s="2333" t="s">
        <v>1030</v>
      </c>
      <c r="G2" s="2335"/>
      <c r="I2" s="2333" t="s">
        <v>1246</v>
      </c>
      <c r="J2" s="2334" t="s">
        <v>1247</v>
      </c>
      <c r="K2" s="2334" t="s">
        <v>1248</v>
      </c>
      <c r="L2" s="2333" t="s">
        <v>1249</v>
      </c>
      <c r="N2" s="2333" t="s">
        <v>1026</v>
      </c>
      <c r="O2" s="2334" t="s">
        <v>1250</v>
      </c>
      <c r="P2" s="2334" t="s">
        <v>728</v>
      </c>
      <c r="Q2" s="2333" t="s">
        <v>1030</v>
      </c>
      <c r="S2" s="2333" t="s">
        <v>1026</v>
      </c>
      <c r="T2" s="2334" t="s">
        <v>1250</v>
      </c>
      <c r="U2" s="2334" t="s">
        <v>728</v>
      </c>
      <c r="V2" s="2333" t="s">
        <v>1030</v>
      </c>
      <c r="X2" s="2333" t="s">
        <v>1031</v>
      </c>
      <c r="Y2" s="2333" t="s">
        <v>1032</v>
      </c>
      <c r="Z2" s="2334" t="s">
        <v>1033</v>
      </c>
      <c r="AA2" s="2334" t="s">
        <v>1034</v>
      </c>
      <c r="AB2" s="2333" t="s">
        <v>1035</v>
      </c>
      <c r="AD2" s="2333" t="s">
        <v>1031</v>
      </c>
      <c r="AE2" s="2333" t="s">
        <v>1032</v>
      </c>
      <c r="AF2" s="2334" t="s">
        <v>1033</v>
      </c>
      <c r="AG2" s="2334" t="s">
        <v>1034</v>
      </c>
      <c r="AH2" s="2333" t="s">
        <v>1035</v>
      </c>
    </row>
    <row r="3" spans="1:34" s="2343" customFormat="1" ht="14.25">
      <c r="A3" s="2336" t="s">
        <v>2701</v>
      </c>
      <c r="B3" s="2337"/>
      <c r="C3" s="2337"/>
      <c r="D3" s="2338"/>
      <c r="E3" s="2338"/>
      <c r="F3" s="2337"/>
      <c r="G3" s="2339"/>
      <c r="H3" s="2340"/>
      <c r="I3" s="2341">
        <f>ROUND(AVERAGE(I4:I34),2)</f>
        <v>1.73</v>
      </c>
      <c r="J3" s="2341">
        <f>ROUND(AVERAGE(J4:J34),2)</f>
        <v>1.0900000000000001</v>
      </c>
      <c r="K3" s="2341">
        <f>ROUND(AVERAGE(K4:K34),2)</f>
        <v>1.9</v>
      </c>
      <c r="L3" s="2342">
        <f>ROUND(AVERAGE(L4:L34),2)</f>
        <v>1.25</v>
      </c>
      <c r="N3" s="2339"/>
      <c r="S3" s="2339"/>
      <c r="W3" s="2344"/>
      <c r="X3" s="2345">
        <f>ROUND(SUMPRODUCT(PRODUCT(1+N3:N$33)),4)</f>
        <v>1.619</v>
      </c>
      <c r="Y3" s="2345">
        <f>ROUND(SUMPRODUCT(PRODUCT(1+O3:O$33)),4)</f>
        <v>1.3491</v>
      </c>
      <c r="Z3" s="2345">
        <f t="shared" ref="Z3:Z31" si="0">Y3</f>
        <v>1.3491</v>
      </c>
      <c r="AA3" s="2345">
        <f>ROUND(SUMPRODUCT(PRODUCT(1+P3:P$33)),4)</f>
        <v>1.6988000000000001</v>
      </c>
      <c r="AB3" s="2345">
        <f>ROUND(SUMPRODUCT(PRODUCT(1+Q3:Q$33)),4)</f>
        <v>1.4315</v>
      </c>
      <c r="AD3" s="2346">
        <f>ROUND(AVERAGE(I3:I$34)/100,4)</f>
        <v>1.7299999999999999E-2</v>
      </c>
      <c r="AE3" s="2346">
        <f>ROUND(AVERAGE(J3:J$34)/100,4)</f>
        <v>1.09E-2</v>
      </c>
      <c r="AF3" s="2346">
        <f t="shared" ref="AF3:AF22" si="1">AE3</f>
        <v>1.09E-2</v>
      </c>
      <c r="AG3" s="2346">
        <f>ROUND(AVERAGE(K3:K$34)/100,4)</f>
        <v>1.9E-2</v>
      </c>
      <c r="AH3" s="2346">
        <f>ROUND(AVERAGE(L3:L$34)/100,4)</f>
        <v>1.2500000000000001E-2</v>
      </c>
    </row>
    <row r="4" spans="1:34" s="2347" customFormat="1" ht="14.25">
      <c r="B4" s="2348"/>
      <c r="C4" s="2348"/>
      <c r="D4" s="2349"/>
      <c r="E4" s="2349"/>
      <c r="F4" s="2348"/>
      <c r="G4" s="2350"/>
      <c r="H4" s="2351"/>
      <c r="I4" s="2352"/>
      <c r="J4" s="2352"/>
      <c r="K4" s="2352"/>
      <c r="L4" s="2352"/>
      <c r="N4" s="2350"/>
      <c r="S4" s="2350"/>
      <c r="X4" s="2353"/>
      <c r="Y4" s="2353"/>
      <c r="Z4" s="2353"/>
      <c r="AA4" s="2353"/>
      <c r="AB4" s="2353"/>
      <c r="AD4" s="2354"/>
      <c r="AE4" s="2354"/>
      <c r="AF4" s="2354"/>
      <c r="AG4" s="2354"/>
      <c r="AH4" s="2354"/>
    </row>
    <row r="5" spans="1:34" s="2362" customFormat="1">
      <c r="A5" s="2355" t="s">
        <v>2880</v>
      </c>
      <c r="B5" s="2356">
        <f t="shared" ref="B5" si="2">B6*(1+N5)</f>
        <v>497.92799851020823</v>
      </c>
      <c r="C5" s="2356">
        <f t="shared" ref="C5" si="3">C6*(1+O5)</f>
        <v>347.77173663537445</v>
      </c>
      <c r="D5" s="2357">
        <f t="shared" ref="D5" si="4">C5</f>
        <v>347.77173663537445</v>
      </c>
      <c r="E5" s="2356">
        <f t="shared" ref="E5" si="5">E6*(1+P5)</f>
        <v>718.44695593258189</v>
      </c>
      <c r="F5" s="2356">
        <f t="shared" ref="F5" si="6">F6*(1+Q5)</f>
        <v>329.12600580153247</v>
      </c>
      <c r="G5" s="3154">
        <v>2021</v>
      </c>
      <c r="H5" s="2359">
        <v>2</v>
      </c>
      <c r="I5" s="2360">
        <v>0</v>
      </c>
      <c r="J5" s="2360">
        <v>0</v>
      </c>
      <c r="K5" s="2360">
        <v>0</v>
      </c>
      <c r="L5" s="2361">
        <v>0</v>
      </c>
      <c r="N5" s="2363">
        <f t="shared" ref="N5" si="7">I5/100</f>
        <v>0</v>
      </c>
      <c r="O5" s="2363">
        <f t="shared" ref="O5" si="8">J5/100</f>
        <v>0</v>
      </c>
      <c r="P5" s="2363">
        <f t="shared" ref="P5" si="9">K5/100</f>
        <v>0</v>
      </c>
      <c r="Q5" s="2363">
        <f t="shared" ref="Q5" si="10">L5/100</f>
        <v>0</v>
      </c>
      <c r="S5" s="2372"/>
      <c r="T5" s="2373"/>
      <c r="U5" s="2373"/>
      <c r="V5" s="2373"/>
      <c r="W5" s="2364" t="s">
        <v>2700</v>
      </c>
      <c r="X5" s="2365">
        <f>ROUND(SUMPRODUCT(PRODUCT(1+N5:N$33)),4)</f>
        <v>1.619</v>
      </c>
      <c r="Y5" s="2365">
        <f>ROUND(SUMPRODUCT(PRODUCT(1+O5:O$33)),4)</f>
        <v>1.3491</v>
      </c>
      <c r="Z5" s="2365">
        <f t="shared" ref="Z5" si="11">Y5</f>
        <v>1.3491</v>
      </c>
      <c r="AA5" s="2365">
        <f>ROUND(SUMPRODUCT(PRODUCT(1+P5:P$33)),4)</f>
        <v>1.6988000000000001</v>
      </c>
      <c r="AB5" s="2365">
        <f>ROUND(SUMPRODUCT(PRODUCT(1+Q5:Q$33)),4)</f>
        <v>1.4315</v>
      </c>
      <c r="AD5" s="2366">
        <f>ROUND(AVERAGE(I5:I$34)/100,4)</f>
        <v>1.7299999999999999E-2</v>
      </c>
      <c r="AE5" s="2366">
        <f>ROUND(AVERAGE(J5:J$34)/100,4)</f>
        <v>1.09E-2</v>
      </c>
      <c r="AF5" s="2366">
        <f t="shared" ref="AF5" si="12">AE5</f>
        <v>1.09E-2</v>
      </c>
      <c r="AG5" s="2366">
        <f>ROUND(AVERAGE(K5:K$34)/100,4)</f>
        <v>1.9E-2</v>
      </c>
      <c r="AH5" s="2366">
        <f>ROUND(AVERAGE(L5:L$34)/100,4)</f>
        <v>1.2500000000000001E-2</v>
      </c>
    </row>
    <row r="6" spans="1:34" s="2374" customFormat="1" ht="14.45" customHeight="1">
      <c r="A6" s="2367" t="s">
        <v>2879</v>
      </c>
      <c r="B6" s="2368">
        <f t="shared" ref="B6" si="13">B7*(1+N6)</f>
        <v>497.92799851020823</v>
      </c>
      <c r="C6" s="2368">
        <f t="shared" ref="C6" si="14">C7*(1+O6)</f>
        <v>347.77173663537445</v>
      </c>
      <c r="D6" s="2368">
        <f t="shared" ref="D6" si="15">C6</f>
        <v>347.77173663537445</v>
      </c>
      <c r="E6" s="2368">
        <f t="shared" ref="E6" si="16">E7*(1+P6)</f>
        <v>718.44695593258189</v>
      </c>
      <c r="F6" s="2368">
        <f t="shared" ref="F6" si="17">F7*(1+Q6)</f>
        <v>329.12600580153247</v>
      </c>
      <c r="G6" s="3154">
        <v>2021</v>
      </c>
      <c r="H6" s="2369">
        <v>1</v>
      </c>
      <c r="I6" s="3155">
        <v>0.97</v>
      </c>
      <c r="J6" s="3155">
        <v>0.16</v>
      </c>
      <c r="K6" s="3155">
        <v>1.1100000000000001</v>
      </c>
      <c r="L6" s="3156">
        <v>0.36</v>
      </c>
      <c r="M6" s="2371"/>
      <c r="N6" s="2372">
        <f t="shared" ref="N6" si="18">I6/100</f>
        <v>9.7000000000000003E-3</v>
      </c>
      <c r="O6" s="2373">
        <f t="shared" ref="O6" si="19">J6/100</f>
        <v>1.6000000000000001E-3</v>
      </c>
      <c r="P6" s="2373">
        <f t="shared" ref="P6" si="20">K6/100</f>
        <v>1.11E-2</v>
      </c>
      <c r="Q6" s="2373">
        <f t="shared" ref="Q6" si="21">L6/100</f>
        <v>3.5999999999999999E-3</v>
      </c>
      <c r="R6" s="2371"/>
      <c r="S6" s="2372">
        <f>B6/B7-1</f>
        <v>9.7000000000000419E-3</v>
      </c>
      <c r="T6" s="2373">
        <f>C6/C7-1</f>
        <v>1.6000000000000458E-3</v>
      </c>
      <c r="U6" s="2373">
        <f>E6/E7-1</f>
        <v>1.110000000000011E-2</v>
      </c>
      <c r="V6" s="2373">
        <f>F6/F7-1</f>
        <v>3.6000000000000476E-3</v>
      </c>
      <c r="W6" s="2371"/>
      <c r="X6" s="2371">
        <f>ROUND(SUMPRODUCT(PRODUCT(1+N6:N$33)),4)</f>
        <v>1.619</v>
      </c>
      <c r="Y6" s="2371">
        <f>ROUND(SUMPRODUCT(PRODUCT(1+O6:O$33)),4)</f>
        <v>1.3491</v>
      </c>
      <c r="Z6" s="2371">
        <f t="shared" ref="Z6" si="22">Y6</f>
        <v>1.3491</v>
      </c>
      <c r="AA6" s="2371">
        <f>ROUND(SUMPRODUCT(PRODUCT(1+P6:P$33)),4)</f>
        <v>1.6988000000000001</v>
      </c>
      <c r="AB6" s="2371">
        <f>ROUND(SUMPRODUCT(PRODUCT(1+Q6:Q$33)),4)</f>
        <v>1.4315</v>
      </c>
      <c r="AC6" s="2371"/>
      <c r="AD6" s="2373">
        <f>ROUND(AVERAGE(I6:I$34)/100,4)</f>
        <v>1.7899999999999999E-2</v>
      </c>
      <c r="AE6" s="2373">
        <f>ROUND(AVERAGE(J6:J$34)/100,4)</f>
        <v>1.12E-2</v>
      </c>
      <c r="AF6" s="2373">
        <f t="shared" ref="AF6" si="23">AE6</f>
        <v>1.12E-2</v>
      </c>
      <c r="AG6" s="2373">
        <f>ROUND(AVERAGE(K6:K$34)/100,4)</f>
        <v>1.9699999999999999E-2</v>
      </c>
      <c r="AH6" s="2373">
        <f>ROUND(AVERAGE(L6:L$34)/100,4)</f>
        <v>1.29E-2</v>
      </c>
    </row>
    <row r="7" spans="1:34" s="2374" customFormat="1" ht="14.45" customHeight="1">
      <c r="A7" s="2367" t="s">
        <v>2875</v>
      </c>
      <c r="B7" s="2368">
        <f t="shared" ref="B7" si="24">B8*(1+N7)</f>
        <v>493.14449689037161</v>
      </c>
      <c r="C7" s="2368">
        <f t="shared" ref="C7" si="25">C8*(1+O7)</f>
        <v>347.21619073020611</v>
      </c>
      <c r="D7" s="2368">
        <f t="shared" ref="D7" si="26">C7</f>
        <v>347.21619073020611</v>
      </c>
      <c r="E7" s="2368">
        <f t="shared" ref="E7" si="27">E8*(1+P7)</f>
        <v>710.55974278763904</v>
      </c>
      <c r="F7" s="2368">
        <f t="shared" ref="F7" si="28">F8*(1+Q7)</f>
        <v>327.94540235306141</v>
      </c>
      <c r="G7" s="3145">
        <v>2020</v>
      </c>
      <c r="H7" s="2369">
        <v>4</v>
      </c>
      <c r="I7" s="2369">
        <v>2.0699999999999998</v>
      </c>
      <c r="J7" s="2369">
        <v>0.37</v>
      </c>
      <c r="K7" s="2369">
        <v>2.35</v>
      </c>
      <c r="L7" s="2370">
        <v>2.69</v>
      </c>
      <c r="M7" s="2371"/>
      <c r="N7" s="2372">
        <f t="shared" ref="N7" si="29">I7/100</f>
        <v>2.07E-2</v>
      </c>
      <c r="O7" s="2373">
        <f t="shared" ref="O7" si="30">J7/100</f>
        <v>3.7000000000000002E-3</v>
      </c>
      <c r="P7" s="2373">
        <f t="shared" ref="P7" si="31">K7/100</f>
        <v>2.35E-2</v>
      </c>
      <c r="Q7" s="2373">
        <f t="shared" ref="Q7" si="32">L7/100</f>
        <v>2.69E-2</v>
      </c>
      <c r="R7" s="2371"/>
      <c r="S7" s="2372"/>
      <c r="T7" s="2373"/>
      <c r="U7" s="2373"/>
      <c r="V7" s="2373"/>
      <c r="W7" s="2371"/>
      <c r="X7" s="2371">
        <f>ROUND(SUMPRODUCT(PRODUCT(1+N7:N$33)),4)</f>
        <v>1.6034999999999999</v>
      </c>
      <c r="Y7" s="2371">
        <f>ROUND(SUMPRODUCT(PRODUCT(1+O7:O$33)),4)</f>
        <v>1.3469</v>
      </c>
      <c r="Z7" s="2371">
        <f t="shared" ref="Z7" si="33">Y7</f>
        <v>1.3469</v>
      </c>
      <c r="AA7" s="2371">
        <f>ROUND(SUMPRODUCT(PRODUCT(1+P7:P$33)),4)</f>
        <v>1.6801999999999999</v>
      </c>
      <c r="AB7" s="2371">
        <f>ROUND(SUMPRODUCT(PRODUCT(1+Q7:Q$33)),4)</f>
        <v>1.4263999999999999</v>
      </c>
      <c r="AC7" s="2371"/>
      <c r="AD7" s="2373">
        <f>ROUND(AVERAGE(I7:I$34)/100,4)</f>
        <v>1.8200000000000001E-2</v>
      </c>
      <c r="AE7" s="2373">
        <f>ROUND(AVERAGE(J7:J$34)/100,4)</f>
        <v>1.1599999999999999E-2</v>
      </c>
      <c r="AF7" s="2373">
        <f t="shared" ref="AF7" si="34">AE7</f>
        <v>1.1599999999999999E-2</v>
      </c>
      <c r="AG7" s="2373">
        <f>ROUND(AVERAGE(K7:K$34)/100,4)</f>
        <v>0.02</v>
      </c>
      <c r="AH7" s="2373">
        <f>ROUND(AVERAGE(L7:L$34)/100,4)</f>
        <v>1.3299999999999999E-2</v>
      </c>
    </row>
    <row r="8" spans="1:34" s="2374" customFormat="1" ht="14.45" customHeight="1">
      <c r="A8" s="2367" t="s">
        <v>2874</v>
      </c>
      <c r="B8" s="2368">
        <f t="shared" ref="B8" si="35">B9*(1+N8)</f>
        <v>483.1434279321756</v>
      </c>
      <c r="C8" s="2368">
        <f t="shared" ref="C8" si="36">C9*(1+O8)</f>
        <v>345.93622669144776</v>
      </c>
      <c r="D8" s="2368">
        <f t="shared" ref="D8" si="37">C8</f>
        <v>345.93622669144776</v>
      </c>
      <c r="E8" s="2368">
        <f t="shared" ref="E8" si="38">E9*(1+P8)</f>
        <v>694.24498562544113</v>
      </c>
      <c r="F8" s="2368">
        <f t="shared" ref="F8" si="39">F9*(1+Q8)</f>
        <v>319.35475932716082</v>
      </c>
      <c r="G8" s="3144">
        <v>2020</v>
      </c>
      <c r="H8" s="2369">
        <v>3</v>
      </c>
      <c r="I8" s="2369">
        <v>0.36</v>
      </c>
      <c r="J8" s="2369">
        <v>-0.39</v>
      </c>
      <c r="K8" s="2369">
        <v>0.49</v>
      </c>
      <c r="L8" s="2370">
        <v>7.0000000000000007E-2</v>
      </c>
      <c r="M8" s="2371"/>
      <c r="N8" s="2372">
        <f t="shared" ref="N8" si="40">I8/100</f>
        <v>3.5999999999999999E-3</v>
      </c>
      <c r="O8" s="2373">
        <f t="shared" ref="O8" si="41">J8/100</f>
        <v>-3.9000000000000003E-3</v>
      </c>
      <c r="P8" s="2373">
        <f t="shared" ref="P8" si="42">K8/100</f>
        <v>4.8999999999999998E-3</v>
      </c>
      <c r="Q8" s="2373">
        <f t="shared" ref="Q8" si="43">L8/100</f>
        <v>7.000000000000001E-4</v>
      </c>
      <c r="R8" s="2371"/>
      <c r="S8" s="2372"/>
      <c r="T8" s="2373"/>
      <c r="U8" s="2373"/>
      <c r="V8" s="2373"/>
      <c r="W8" s="2371"/>
      <c r="X8" s="2371">
        <f>ROUND(SUMPRODUCT(PRODUCT(1+N8:N$33)),4)</f>
        <v>1.571</v>
      </c>
      <c r="Y8" s="2371">
        <f>ROUND(SUMPRODUCT(PRODUCT(1+O8:O$33)),4)</f>
        <v>1.3420000000000001</v>
      </c>
      <c r="Z8" s="2371">
        <f t="shared" ref="Z8" si="44">Y8</f>
        <v>1.3420000000000001</v>
      </c>
      <c r="AA8" s="2371">
        <f>ROUND(SUMPRODUCT(PRODUCT(1+P8:P$33)),4)</f>
        <v>1.6415999999999999</v>
      </c>
      <c r="AB8" s="2371">
        <f>ROUND(SUMPRODUCT(PRODUCT(1+Q8:Q$33)),4)</f>
        <v>1.389</v>
      </c>
      <c r="AC8" s="2371"/>
      <c r="AD8" s="2373">
        <f>ROUND(AVERAGE(I8:I$34)/100,4)</f>
        <v>1.8100000000000002E-2</v>
      </c>
      <c r="AE8" s="2373">
        <f>ROUND(AVERAGE(J8:J$34)/100,4)</f>
        <v>1.1900000000000001E-2</v>
      </c>
      <c r="AF8" s="2373">
        <f t="shared" ref="AF8" si="45">AE8</f>
        <v>1.1900000000000001E-2</v>
      </c>
      <c r="AG8" s="2373">
        <f>ROUND(AVERAGE(K8:K$34)/100,4)</f>
        <v>1.9900000000000001E-2</v>
      </c>
      <c r="AH8" s="2373">
        <f>ROUND(AVERAGE(L8:L$34)/100,4)</f>
        <v>1.2800000000000001E-2</v>
      </c>
    </row>
    <row r="9" spans="1:34" s="2374" customFormat="1" ht="14.45" customHeight="1">
      <c r="A9" s="2367" t="s">
        <v>2730</v>
      </c>
      <c r="B9" s="2368">
        <f t="shared" ref="B9" si="46">B10*(1+N9)</f>
        <v>481.4103506697644</v>
      </c>
      <c r="C9" s="2368">
        <f t="shared" ref="C9" si="47">C10*(1+O9)</f>
        <v>347.29066026648707</v>
      </c>
      <c r="D9" s="2368">
        <f t="shared" ref="D9" si="48">C9</f>
        <v>347.29066026648707</v>
      </c>
      <c r="E9" s="2368">
        <f t="shared" ref="E9" si="49">E10*(1+P9)</f>
        <v>690.85977273901995</v>
      </c>
      <c r="F9" s="2368">
        <f t="shared" ref="F9" si="50">F10*(1+Q9)</f>
        <v>319.13136737000184</v>
      </c>
      <c r="G9" s="2358">
        <v>2020</v>
      </c>
      <c r="H9" s="2369">
        <v>2</v>
      </c>
      <c r="I9" s="2369">
        <v>0.31</v>
      </c>
      <c r="J9" s="2369">
        <v>-0.78</v>
      </c>
      <c r="K9" s="2369">
        <v>0.5</v>
      </c>
      <c r="L9" s="2370">
        <v>0.47</v>
      </c>
      <c r="M9" s="2371"/>
      <c r="N9" s="2372">
        <f t="shared" ref="N9" si="51">I9/100</f>
        <v>3.0999999999999999E-3</v>
      </c>
      <c r="O9" s="2373">
        <f t="shared" ref="O9" si="52">J9/100</f>
        <v>-7.8000000000000005E-3</v>
      </c>
      <c r="P9" s="2373">
        <f t="shared" ref="P9" si="53">K9/100</f>
        <v>5.0000000000000001E-3</v>
      </c>
      <c r="Q9" s="2373">
        <f t="shared" ref="Q9" si="54">L9/100</f>
        <v>4.6999999999999993E-3</v>
      </c>
      <c r="R9" s="2371"/>
      <c r="S9" s="2372"/>
      <c r="T9" s="2373"/>
      <c r="U9" s="2373"/>
      <c r="V9" s="2373"/>
      <c r="W9" s="2371"/>
      <c r="X9" s="2371">
        <f>ROUND(SUMPRODUCT(PRODUCT(1+N9:N$33)),4)</f>
        <v>1.5652999999999999</v>
      </c>
      <c r="Y9" s="2371">
        <f>ROUND(SUMPRODUCT(PRODUCT(1+O9:O$33)),4)</f>
        <v>1.3472</v>
      </c>
      <c r="Z9" s="2371">
        <f t="shared" ref="Z9" si="55">Y9</f>
        <v>1.3472</v>
      </c>
      <c r="AA9" s="2371">
        <f>ROUND(SUMPRODUCT(PRODUCT(1+P9:P$33)),4)</f>
        <v>1.6335999999999999</v>
      </c>
      <c r="AB9" s="2371">
        <f>ROUND(SUMPRODUCT(PRODUCT(1+Q9:Q$33)),4)</f>
        <v>1.3880999999999999</v>
      </c>
      <c r="AC9" s="2371"/>
      <c r="AD9" s="2373">
        <f>ROUND(AVERAGE(I9:I$34)/100,4)</f>
        <v>1.8599999999999998E-2</v>
      </c>
      <c r="AE9" s="2373">
        <f>ROUND(AVERAGE(J9:J$34)/100,4)</f>
        <v>1.2500000000000001E-2</v>
      </c>
      <c r="AF9" s="2373">
        <f t="shared" ref="AF9" si="56">AE9</f>
        <v>1.2500000000000001E-2</v>
      </c>
      <c r="AG9" s="2373">
        <f>ROUND(AVERAGE(K9:K$34)/100,4)</f>
        <v>2.0400000000000001E-2</v>
      </c>
      <c r="AH9" s="2373">
        <f>ROUND(AVERAGE(L9:L$34)/100,4)</f>
        <v>1.32E-2</v>
      </c>
    </row>
    <row r="10" spans="1:34" s="2374" customFormat="1" ht="14.45" customHeight="1">
      <c r="A10" s="2367" t="s">
        <v>2727</v>
      </c>
      <c r="B10" s="2368">
        <f t="shared" ref="B10" si="57">B11*(1+N10)</f>
        <v>479.92259063878413</v>
      </c>
      <c r="C10" s="2368">
        <f t="shared" ref="C10" si="58">C11*(1+O10)</f>
        <v>350.02082268341775</v>
      </c>
      <c r="D10" s="2368">
        <f t="shared" ref="D10" si="59">C10</f>
        <v>350.02082268341775</v>
      </c>
      <c r="E10" s="2368">
        <f t="shared" ref="E10" si="60">E11*(1+P10)</f>
        <v>687.42265944181099</v>
      </c>
      <c r="F10" s="2368">
        <f t="shared" ref="F10" si="61">F11*(1+Q10)</f>
        <v>317.63846657708956</v>
      </c>
      <c r="G10" s="2358">
        <v>2020</v>
      </c>
      <c r="H10" s="2369">
        <v>1</v>
      </c>
      <c r="I10" s="2369">
        <v>0.12</v>
      </c>
      <c r="J10" s="2369">
        <v>-0.4</v>
      </c>
      <c r="K10" s="2369">
        <v>0.21</v>
      </c>
      <c r="L10" s="2370">
        <v>0.27</v>
      </c>
      <c r="M10" s="2371"/>
      <c r="N10" s="2372">
        <f t="shared" ref="N10" si="62">I10/100</f>
        <v>1.1999999999999999E-3</v>
      </c>
      <c r="O10" s="2373">
        <f t="shared" ref="O10" si="63">J10/100</f>
        <v>-4.0000000000000001E-3</v>
      </c>
      <c r="P10" s="2373">
        <f t="shared" ref="P10" si="64">K10/100</f>
        <v>2.0999999999999999E-3</v>
      </c>
      <c r="Q10" s="2373">
        <f t="shared" ref="Q10" si="65">L10/100</f>
        <v>2.7000000000000001E-3</v>
      </c>
      <c r="R10" s="2371"/>
      <c r="S10" s="2372">
        <f>B10/B11-1</f>
        <v>1.2000000000000899E-3</v>
      </c>
      <c r="T10" s="2373">
        <f>C10/C11-1</f>
        <v>-4.0000000000000036E-3</v>
      </c>
      <c r="U10" s="2373">
        <f>E10/E11-1</f>
        <v>2.0999999999999908E-3</v>
      </c>
      <c r="V10" s="2373">
        <f>F10/F11-1</f>
        <v>2.6999999999999247E-3</v>
      </c>
      <c r="W10" s="2371"/>
      <c r="X10" s="2371">
        <f>ROUND(SUMPRODUCT(PRODUCT(1+N10:N$33)),4)</f>
        <v>1.5605</v>
      </c>
      <c r="Y10" s="2371">
        <f>ROUND(SUMPRODUCT(PRODUCT(1+O10:O$33)),4)</f>
        <v>1.3577999999999999</v>
      </c>
      <c r="Z10" s="2371">
        <f t="shared" ref="Z10" si="66">Y10</f>
        <v>1.3577999999999999</v>
      </c>
      <c r="AA10" s="2371">
        <f>ROUND(SUMPRODUCT(PRODUCT(1+P10:P$33)),4)</f>
        <v>1.6254999999999999</v>
      </c>
      <c r="AB10" s="2371">
        <f>ROUND(SUMPRODUCT(PRODUCT(1+Q10:Q$33)),4)</f>
        <v>1.3815999999999999</v>
      </c>
      <c r="AC10" s="2371"/>
      <c r="AD10" s="2373">
        <f>ROUND(AVERAGE(I10:I$34)/100,4)</f>
        <v>1.9199999999999998E-2</v>
      </c>
      <c r="AE10" s="2373">
        <f>ROUND(AVERAGE(J10:J$34)/100,4)</f>
        <v>1.3299999999999999E-2</v>
      </c>
      <c r="AF10" s="2373">
        <f t="shared" ref="AF10" si="67">AE10</f>
        <v>1.3299999999999999E-2</v>
      </c>
      <c r="AG10" s="2373">
        <f>ROUND(AVERAGE(K10:K$34)/100,4)</f>
        <v>2.1100000000000001E-2</v>
      </c>
      <c r="AH10" s="2373">
        <f>ROUND(AVERAGE(L10:L$34)/100,4)</f>
        <v>1.3599999999999999E-2</v>
      </c>
    </row>
    <row r="11" spans="1:34" s="2374" customFormat="1" ht="14.45" customHeight="1">
      <c r="A11" s="2367" t="s">
        <v>2725</v>
      </c>
      <c r="B11" s="2368">
        <f t="shared" ref="B11:B16" si="68">B12*(1+N11)</f>
        <v>479.34737379023579</v>
      </c>
      <c r="C11" s="2368">
        <f t="shared" ref="C11" si="69">C12*(1+O11)</f>
        <v>351.4265287986122</v>
      </c>
      <c r="D11" s="2368">
        <f t="shared" ref="D11" si="70">C11</f>
        <v>351.4265287986122</v>
      </c>
      <c r="E11" s="2368">
        <f t="shared" ref="E11" si="71">E12*(1+P11)</f>
        <v>685.98209703803116</v>
      </c>
      <c r="F11" s="2368">
        <f t="shared" ref="F11" si="72">F12*(1+Q11)</f>
        <v>316.78315206651001</v>
      </c>
      <c r="G11" s="2358">
        <v>2019</v>
      </c>
      <c r="H11" s="2369">
        <v>4</v>
      </c>
      <c r="I11" s="2369">
        <v>0.45</v>
      </c>
      <c r="J11" s="2369">
        <v>-0.12</v>
      </c>
      <c r="K11" s="2369">
        <v>0.54</v>
      </c>
      <c r="L11" s="2370">
        <v>0.48</v>
      </c>
      <c r="M11" s="2371"/>
      <c r="N11" s="2372">
        <f t="shared" ref="N11:N16" si="73">I11/100</f>
        <v>4.5000000000000005E-3</v>
      </c>
      <c r="O11" s="2373">
        <f t="shared" ref="O11" si="74">J11/100</f>
        <v>-1.1999999999999999E-3</v>
      </c>
      <c r="P11" s="2373">
        <f t="shared" ref="P11" si="75">K11/100</f>
        <v>5.4000000000000003E-3</v>
      </c>
      <c r="Q11" s="2373">
        <f t="shared" ref="Q11" si="76">L11/100</f>
        <v>4.7999999999999996E-3</v>
      </c>
      <c r="R11" s="2371"/>
      <c r="S11" s="2372"/>
      <c r="T11" s="2373"/>
      <c r="U11" s="2373"/>
      <c r="V11" s="2373"/>
      <c r="W11" s="2371"/>
      <c r="X11" s="2371">
        <f>ROUND(SUMPRODUCT(PRODUCT(1+N11:N$33)),4)</f>
        <v>1.5586</v>
      </c>
      <c r="Y11" s="2371">
        <f>ROUND(SUMPRODUCT(PRODUCT(1+O11:O$33)),4)</f>
        <v>1.3633</v>
      </c>
      <c r="Z11" s="2371">
        <f t="shared" ref="Z11" si="77">Y11</f>
        <v>1.3633</v>
      </c>
      <c r="AA11" s="2371">
        <f>ROUND(SUMPRODUCT(PRODUCT(1+P11:P$33)),4)</f>
        <v>1.6221000000000001</v>
      </c>
      <c r="AB11" s="2371">
        <f>ROUND(SUMPRODUCT(PRODUCT(1+Q11:Q$33)),4)</f>
        <v>1.3777999999999999</v>
      </c>
      <c r="AC11" s="2371"/>
      <c r="AD11" s="2373">
        <f>ROUND(AVERAGE(I11:I$34)/100,4)</f>
        <v>0.02</v>
      </c>
      <c r="AE11" s="2373">
        <f>ROUND(AVERAGE(J11:J$34)/100,4)</f>
        <v>1.4E-2</v>
      </c>
      <c r="AF11" s="2373">
        <f t="shared" ref="AF11" si="78">AE11</f>
        <v>1.4E-2</v>
      </c>
      <c r="AG11" s="2373">
        <f>ROUND(AVERAGE(K11:K$34)/100,4)</f>
        <v>2.1899999999999999E-2</v>
      </c>
      <c r="AH11" s="2373">
        <f>ROUND(AVERAGE(L11:L$34)/100,4)</f>
        <v>1.4E-2</v>
      </c>
    </row>
    <row r="12" spans="1:34" s="2374" customFormat="1" ht="14.45" customHeight="1" thickBot="1">
      <c r="A12" s="2367" t="s">
        <v>2722</v>
      </c>
      <c r="B12" s="2368">
        <f t="shared" si="68"/>
        <v>477.19997390765138</v>
      </c>
      <c r="C12" s="2368">
        <f t="shared" ref="C12" si="79">C13*(1+O12)</f>
        <v>351.84874729536665</v>
      </c>
      <c r="D12" s="2368">
        <f t="shared" ref="D12" si="80">C12</f>
        <v>351.84874729536665</v>
      </c>
      <c r="E12" s="2368">
        <f t="shared" ref="E12" si="81">E13*(1+P12)</f>
        <v>682.29768951465201</v>
      </c>
      <c r="F12" s="2368">
        <f t="shared" ref="F12" si="82">F13*(1+Q12)</f>
        <v>315.26985675409043</v>
      </c>
      <c r="G12" s="2358">
        <v>2019</v>
      </c>
      <c r="H12" s="2369">
        <v>3</v>
      </c>
      <c r="I12" s="2369">
        <v>0.61</v>
      </c>
      <c r="J12" s="2369">
        <v>0.67</v>
      </c>
      <c r="K12" s="2369">
        <v>0.6</v>
      </c>
      <c r="L12" s="2370">
        <v>1.03</v>
      </c>
      <c r="M12" s="2371"/>
      <c r="N12" s="2372">
        <f t="shared" si="73"/>
        <v>6.0999999999999995E-3</v>
      </c>
      <c r="O12" s="2373">
        <f t="shared" ref="O12" si="83">J12/100</f>
        <v>6.7000000000000002E-3</v>
      </c>
      <c r="P12" s="2373">
        <f t="shared" ref="P12" si="84">K12/100</f>
        <v>6.0000000000000001E-3</v>
      </c>
      <c r="Q12" s="2373">
        <f t="shared" ref="Q12" si="85">L12/100</f>
        <v>1.03E-2</v>
      </c>
      <c r="R12" s="2371"/>
      <c r="S12" s="2372"/>
      <c r="T12" s="2373"/>
      <c r="U12" s="2373"/>
      <c r="V12" s="2373"/>
      <c r="W12" s="2371"/>
      <c r="X12" s="2371">
        <f>ROUND(SUMPRODUCT(PRODUCT(1+N12:N$33)),4)</f>
        <v>1.5516000000000001</v>
      </c>
      <c r="Y12" s="2371">
        <f>ROUND(SUMPRODUCT(PRODUCT(1+O12:O$33)),4)</f>
        <v>1.3649</v>
      </c>
      <c r="Z12" s="2371">
        <f t="shared" ref="Z12" si="86">Y12</f>
        <v>1.3649</v>
      </c>
      <c r="AA12" s="2371">
        <f>ROUND(SUMPRODUCT(PRODUCT(1+P12:P$33)),4)</f>
        <v>1.6133999999999999</v>
      </c>
      <c r="AB12" s="2371">
        <f>ROUND(SUMPRODUCT(PRODUCT(1+Q12:Q$33)),4)</f>
        <v>1.3713</v>
      </c>
      <c r="AC12" s="2371"/>
      <c r="AD12" s="2373">
        <f>ROUND(AVERAGE(I12:I$34)/100,4)</f>
        <v>2.07E-2</v>
      </c>
      <c r="AE12" s="2373">
        <f>ROUND(AVERAGE(J12:J$34)/100,4)</f>
        <v>1.47E-2</v>
      </c>
      <c r="AF12" s="2373">
        <f t="shared" ref="AF12" si="87">AE12</f>
        <v>1.47E-2</v>
      </c>
      <c r="AG12" s="2373">
        <f>ROUND(AVERAGE(K12:K$34)/100,4)</f>
        <v>2.2599999999999999E-2</v>
      </c>
      <c r="AH12" s="2373">
        <f>ROUND(AVERAGE(L12:L$34)/100,4)</f>
        <v>1.44E-2</v>
      </c>
    </row>
    <row r="13" spans="1:34" s="2374" customFormat="1" ht="14.45" customHeight="1">
      <c r="A13" s="2367" t="s">
        <v>2716</v>
      </c>
      <c r="B13" s="2368">
        <f t="shared" si="68"/>
        <v>474.30670301923408</v>
      </c>
      <c r="C13" s="2368">
        <f t="shared" ref="C13" si="88">C14*(1+O13)</f>
        <v>349.50705005996491</v>
      </c>
      <c r="D13" s="2368">
        <f t="shared" ref="D13" si="89">C13</f>
        <v>349.50705005996491</v>
      </c>
      <c r="E13" s="2368">
        <f t="shared" ref="E13" si="90">E14*(1+P13)</f>
        <v>678.22831959706957</v>
      </c>
      <c r="F13" s="2368">
        <f t="shared" ref="F13" si="91">F14*(1+Q13)</f>
        <v>312.0556832169558</v>
      </c>
      <c r="G13" s="2358">
        <v>2019</v>
      </c>
      <c r="H13" s="2375">
        <v>2</v>
      </c>
      <c r="I13" s="2375">
        <v>1.53</v>
      </c>
      <c r="J13" s="2375">
        <v>1.01</v>
      </c>
      <c r="K13" s="2375">
        <v>1.62</v>
      </c>
      <c r="L13" s="2376">
        <v>1.25</v>
      </c>
      <c r="M13" s="2371"/>
      <c r="N13" s="2372">
        <f t="shared" si="73"/>
        <v>1.5300000000000001E-2</v>
      </c>
      <c r="O13" s="2373">
        <f t="shared" ref="O13" si="92">J13/100</f>
        <v>1.01E-2</v>
      </c>
      <c r="P13" s="2373">
        <f t="shared" ref="P13" si="93">K13/100</f>
        <v>1.6200000000000003E-2</v>
      </c>
      <c r="Q13" s="2373">
        <f t="shared" ref="Q13" si="94">L13/100</f>
        <v>1.2500000000000001E-2</v>
      </c>
      <c r="R13" s="2371"/>
      <c r="S13" s="2372"/>
      <c r="T13" s="2373"/>
      <c r="U13" s="2373"/>
      <c r="V13" s="2373"/>
      <c r="W13" s="2371"/>
      <c r="X13" s="2371">
        <f>ROUND(SUMPRODUCT(PRODUCT(1+N13:N$33)),4)</f>
        <v>1.5422</v>
      </c>
      <c r="Y13" s="2371">
        <f>ROUND(SUMPRODUCT(PRODUCT(1+O13:O$33)),4)</f>
        <v>1.3557999999999999</v>
      </c>
      <c r="Z13" s="2371">
        <f t="shared" ref="Z13" si="95">Y13</f>
        <v>1.3557999999999999</v>
      </c>
      <c r="AA13" s="2371">
        <f>ROUND(SUMPRODUCT(PRODUCT(1+P13:P$33)),4)</f>
        <v>1.6036999999999999</v>
      </c>
      <c r="AB13" s="2371">
        <f>ROUND(SUMPRODUCT(PRODUCT(1+Q13:Q$33)),4)</f>
        <v>1.3573</v>
      </c>
      <c r="AC13" s="2371"/>
      <c r="AD13" s="2373">
        <f>ROUND(AVERAGE(I13:I$34)/100,4)</f>
        <v>2.1299999999999999E-2</v>
      </c>
      <c r="AE13" s="2373">
        <f>ROUND(AVERAGE(J13:J$34)/100,4)</f>
        <v>1.4999999999999999E-2</v>
      </c>
      <c r="AF13" s="2373">
        <f t="shared" ref="AF13" si="96">AE13</f>
        <v>1.4999999999999999E-2</v>
      </c>
      <c r="AG13" s="2373">
        <f>ROUND(AVERAGE(K13:K$34)/100,4)</f>
        <v>2.3300000000000001E-2</v>
      </c>
      <c r="AH13" s="2373">
        <f>ROUND(AVERAGE(L13:L$34)/100,4)</f>
        <v>1.46E-2</v>
      </c>
    </row>
    <row r="14" spans="1:34" s="2374" customFormat="1" ht="14.45" customHeight="1" thickBot="1">
      <c r="A14" s="2367" t="s">
        <v>2717</v>
      </c>
      <c r="B14" s="2368">
        <f t="shared" si="68"/>
        <v>467.15916775261894</v>
      </c>
      <c r="C14" s="2368">
        <f t="shared" ref="C14" si="97">C15*(1+O14)</f>
        <v>346.01232557169084</v>
      </c>
      <c r="D14" s="2368">
        <f t="shared" ref="D14" si="98">C14</f>
        <v>346.01232557169084</v>
      </c>
      <c r="E14" s="2368">
        <f t="shared" ref="E14" si="99">E15*(1+P14)</f>
        <v>667.41617752122568</v>
      </c>
      <c r="F14" s="2368">
        <f t="shared" ref="F14" si="100">F15*(1+Q14)</f>
        <v>308.20314391798104</v>
      </c>
      <c r="G14" s="2358">
        <v>2019</v>
      </c>
      <c r="H14" s="2369">
        <v>1</v>
      </c>
      <c r="I14" s="2369">
        <v>0.6</v>
      </c>
      <c r="J14" s="2369">
        <v>0.37</v>
      </c>
      <c r="K14" s="2369">
        <v>0.63</v>
      </c>
      <c r="L14" s="2370">
        <v>1.1299999999999999</v>
      </c>
      <c r="M14" s="2371"/>
      <c r="N14" s="2372">
        <f t="shared" si="73"/>
        <v>6.0000000000000001E-3</v>
      </c>
      <c r="O14" s="2373">
        <f t="shared" ref="O14" si="101">J14/100</f>
        <v>3.7000000000000002E-3</v>
      </c>
      <c r="P14" s="2373">
        <f t="shared" ref="P14" si="102">K14/100</f>
        <v>6.3E-3</v>
      </c>
      <c r="Q14" s="2373">
        <f t="shared" ref="Q14" si="103">L14/100</f>
        <v>1.1299999999999999E-2</v>
      </c>
      <c r="R14" s="2371"/>
      <c r="S14" s="2372">
        <f>B14/B15-1</f>
        <v>6.0000000000000053E-3</v>
      </c>
      <c r="T14" s="2373">
        <f>C14/C15-1</f>
        <v>3.7000000000000366E-3</v>
      </c>
      <c r="U14" s="2373">
        <f>E14/E15-1</f>
        <v>6.2999999999999723E-3</v>
      </c>
      <c r="V14" s="2373">
        <f>F14/F15-1</f>
        <v>1.1300000000000088E-2</v>
      </c>
      <c r="W14" s="2371"/>
      <c r="X14" s="2371">
        <f>ROUND(SUMPRODUCT(PRODUCT(1+N14:N$33)),4)</f>
        <v>1.5189999999999999</v>
      </c>
      <c r="Y14" s="2371">
        <f>ROUND(SUMPRODUCT(PRODUCT(1+O14:O$33)),4)</f>
        <v>1.3423</v>
      </c>
      <c r="Z14" s="2371">
        <f t="shared" ref="Z14" si="104">Y14</f>
        <v>1.3423</v>
      </c>
      <c r="AA14" s="2371">
        <f>ROUND(SUMPRODUCT(PRODUCT(1+P14:P$33)),4)</f>
        <v>1.5782</v>
      </c>
      <c r="AB14" s="2371">
        <f>ROUND(SUMPRODUCT(PRODUCT(1+Q14:Q$33)),4)</f>
        <v>1.3405</v>
      </c>
      <c r="AC14" s="2371"/>
      <c r="AD14" s="2373">
        <f>ROUND(AVERAGE(I14:I$34)/100,4)</f>
        <v>2.1600000000000001E-2</v>
      </c>
      <c r="AE14" s="2373">
        <f>ROUND(AVERAGE(J14:J$34)/100,4)</f>
        <v>1.5299999999999999E-2</v>
      </c>
      <c r="AF14" s="2373">
        <f t="shared" ref="AF14" si="105">AE14</f>
        <v>1.5299999999999999E-2</v>
      </c>
      <c r="AG14" s="2373">
        <f>ROUND(AVERAGE(K14:K$34)/100,4)</f>
        <v>2.3699999999999999E-2</v>
      </c>
      <c r="AH14" s="2373">
        <f>ROUND(AVERAGE(L14:L$34)/100,4)</f>
        <v>1.47E-2</v>
      </c>
    </row>
    <row r="15" spans="1:34">
      <c r="A15" s="2367" t="s">
        <v>2714</v>
      </c>
      <c r="B15" s="2377">
        <f t="shared" si="68"/>
        <v>464.37293017158942</v>
      </c>
      <c r="C15" s="2377">
        <f t="shared" ref="C15" si="106">C16*(1+O15)</f>
        <v>344.73679941385956</v>
      </c>
      <c r="D15" s="2377">
        <f t="shared" ref="D15" si="107">C15</f>
        <v>344.73679941385956</v>
      </c>
      <c r="E15" s="2377">
        <f t="shared" ref="E15" si="108">E16*(1+P15)</f>
        <v>663.2377795103107</v>
      </c>
      <c r="F15" s="2378">
        <f t="shared" ref="F15" si="109">F16*(1+Q15)</f>
        <v>304.75936311478398</v>
      </c>
      <c r="G15" s="4926">
        <v>2018</v>
      </c>
      <c r="H15" s="2375">
        <v>4</v>
      </c>
      <c r="I15" s="2375">
        <v>0.96</v>
      </c>
      <c r="J15" s="2375">
        <v>1.03</v>
      </c>
      <c r="K15" s="2375">
        <v>0.92</v>
      </c>
      <c r="L15" s="2376">
        <v>1.29</v>
      </c>
      <c r="N15" s="2379">
        <f t="shared" si="73"/>
        <v>9.5999999999999992E-3</v>
      </c>
      <c r="O15" s="2380">
        <f t="shared" ref="O15" si="110">J15/100</f>
        <v>1.03E-2</v>
      </c>
      <c r="P15" s="2380">
        <f t="shared" ref="P15" si="111">K15/100</f>
        <v>9.1999999999999998E-3</v>
      </c>
      <c r="Q15" s="2380">
        <f t="shared" ref="Q15" si="112">L15/100</f>
        <v>1.29E-2</v>
      </c>
      <c r="R15" s="2381"/>
      <c r="S15" s="2382"/>
      <c r="T15" s="2383"/>
      <c r="U15" s="2383"/>
      <c r="V15" s="2383"/>
      <c r="X15" s="2353">
        <f>ROUND(SUMPRODUCT(PRODUCT(1+N15:N$33)),4)</f>
        <v>1.5099</v>
      </c>
      <c r="Y15" s="2353">
        <f>ROUND(SUMPRODUCT(PRODUCT(1+O15:O$33)),4)</f>
        <v>1.3372999999999999</v>
      </c>
      <c r="Z15" s="2353">
        <f t="shared" ref="Z15" si="113">Y15</f>
        <v>1.3372999999999999</v>
      </c>
      <c r="AA15" s="2353">
        <f>ROUND(SUMPRODUCT(PRODUCT(1+P15:P$33)),4)</f>
        <v>1.5683</v>
      </c>
      <c r="AB15" s="2353">
        <f>ROUND(SUMPRODUCT(PRODUCT(1+Q15:Q$33)),4)</f>
        <v>1.3255999999999999</v>
      </c>
      <c r="AD15" s="2354">
        <f>ROUND(AVERAGE(I15:I$34)/100,4)</f>
        <v>2.24E-2</v>
      </c>
      <c r="AE15" s="2354">
        <f>ROUND(AVERAGE(J15:J$34)/100,4)</f>
        <v>1.5800000000000002E-2</v>
      </c>
      <c r="AF15" s="2354">
        <f t="shared" ref="AF15" si="114">AE15</f>
        <v>1.5800000000000002E-2</v>
      </c>
      <c r="AG15" s="2354">
        <f>ROUND(AVERAGE(K15:K$34)/100,4)</f>
        <v>2.4500000000000001E-2</v>
      </c>
      <c r="AH15" s="2354">
        <f>ROUND(AVERAGE(L15:L$34)/100,4)</f>
        <v>1.49E-2</v>
      </c>
    </row>
    <row r="16" spans="1:34" s="2386" customFormat="1" ht="14.45" customHeight="1">
      <c r="A16" s="2367" t="s">
        <v>2709</v>
      </c>
      <c r="B16" s="2384">
        <f t="shared" si="68"/>
        <v>459.95733971036987</v>
      </c>
      <c r="C16" s="2384">
        <f t="shared" ref="C16" si="115">C17*(1+O16)</f>
        <v>341.22221064422405</v>
      </c>
      <c r="D16" s="2384">
        <f t="shared" ref="D16" si="116">C16</f>
        <v>341.22221064422405</v>
      </c>
      <c r="E16" s="2384">
        <f t="shared" ref="E16" si="117">E17*(1+P16)</f>
        <v>657.19161663724799</v>
      </c>
      <c r="F16" s="2384">
        <f t="shared" ref="F16" si="118">F17*(1+Q16)</f>
        <v>300.87803644464805</v>
      </c>
      <c r="G16" s="4926"/>
      <c r="H16" s="2369">
        <v>3</v>
      </c>
      <c r="I16" s="2369">
        <v>1.51</v>
      </c>
      <c r="J16" s="2369">
        <v>1.41</v>
      </c>
      <c r="K16" s="2369">
        <v>1.52</v>
      </c>
      <c r="L16" s="2370">
        <v>1.74</v>
      </c>
      <c r="M16" s="2353"/>
      <c r="N16" s="2385">
        <f t="shared" si="73"/>
        <v>1.5100000000000001E-2</v>
      </c>
      <c r="O16" s="2354">
        <f t="shared" ref="O16" si="119">J16/100</f>
        <v>1.41E-2</v>
      </c>
      <c r="P16" s="2354">
        <f t="shared" ref="P16" si="120">K16/100</f>
        <v>1.52E-2</v>
      </c>
      <c r="Q16" s="2354">
        <f t="shared" ref="Q16" si="121">L16/100</f>
        <v>1.7399999999999999E-2</v>
      </c>
      <c r="R16" s="2353"/>
      <c r="S16" s="2385"/>
      <c r="T16" s="2354"/>
      <c r="U16" s="2354"/>
      <c r="V16" s="2354"/>
      <c r="W16" s="2353"/>
      <c r="X16" s="2353">
        <f>ROUND(SUMPRODUCT(PRODUCT(1+N16:N$33)),4)</f>
        <v>1.4956</v>
      </c>
      <c r="Y16" s="2353">
        <f>ROUND(SUMPRODUCT(PRODUCT(1+O16:O$33)),4)</f>
        <v>1.3237000000000001</v>
      </c>
      <c r="Z16" s="2353">
        <f t="shared" ref="Z16" si="122">Y16</f>
        <v>1.3237000000000001</v>
      </c>
      <c r="AA16" s="2353">
        <f>ROUND(SUMPRODUCT(PRODUCT(1+P16:P$33)),4)</f>
        <v>1.554</v>
      </c>
      <c r="AB16" s="2353">
        <f>ROUND(SUMPRODUCT(PRODUCT(1+Q16:Q$33)),4)</f>
        <v>1.3087</v>
      </c>
      <c r="AC16" s="2353"/>
      <c r="AD16" s="2354">
        <f>ROUND(AVERAGE(I16:I$34)/100,4)</f>
        <v>2.3099999999999999E-2</v>
      </c>
      <c r="AE16" s="2354">
        <f>ROUND(AVERAGE(J16:J$34)/100,4)</f>
        <v>1.61E-2</v>
      </c>
      <c r="AF16" s="2354">
        <f t="shared" ref="AF16" si="123">AE16</f>
        <v>1.61E-2</v>
      </c>
      <c r="AG16" s="2354">
        <f>ROUND(AVERAGE(K16:K$34)/100,4)</f>
        <v>2.53E-2</v>
      </c>
      <c r="AH16" s="2354">
        <f>ROUND(AVERAGE(L16:L$34)/100,4)</f>
        <v>1.4999999999999999E-2</v>
      </c>
    </row>
    <row r="17" spans="1:34" s="2386" customFormat="1" ht="14.45" customHeight="1">
      <c r="A17" s="2367" t="s">
        <v>2708</v>
      </c>
      <c r="B17" s="2384">
        <f t="shared" ref="B17:B22" si="124">B18*(1+N17)</f>
        <v>453.11529869999993</v>
      </c>
      <c r="C17" s="2384">
        <f t="shared" ref="C17" si="125">C18*(1+O17)</f>
        <v>336.47787264000004</v>
      </c>
      <c r="D17" s="2384">
        <f t="shared" ref="D17" si="126">C17</f>
        <v>336.47787264000004</v>
      </c>
      <c r="E17" s="2384">
        <f t="shared" ref="E17" si="127">E18*(1+P17)</f>
        <v>647.35186823999993</v>
      </c>
      <c r="F17" s="2384">
        <f t="shared" ref="F17" si="128">F18*(1+Q17)</f>
        <v>295.73229452000004</v>
      </c>
      <c r="G17" s="4926"/>
      <c r="H17" s="2387">
        <v>2</v>
      </c>
      <c r="I17" s="2387">
        <v>1.49</v>
      </c>
      <c r="J17" s="2387">
        <v>0.96</v>
      </c>
      <c r="K17" s="2387">
        <v>1.58</v>
      </c>
      <c r="L17" s="2388">
        <v>2.44</v>
      </c>
      <c r="M17" s="2353"/>
      <c r="N17" s="2385">
        <f t="shared" ref="N17" si="129">I17/100</f>
        <v>1.49E-2</v>
      </c>
      <c r="O17" s="2354">
        <f t="shared" ref="O17" si="130">J17/100</f>
        <v>9.5999999999999992E-3</v>
      </c>
      <c r="P17" s="2354">
        <f t="shared" ref="P17" si="131">K17/100</f>
        <v>1.5800000000000002E-2</v>
      </c>
      <c r="Q17" s="2354">
        <f t="shared" ref="Q17" si="132">L17/100</f>
        <v>2.4399999999999998E-2</v>
      </c>
      <c r="R17" s="2353"/>
      <c r="S17" s="2385"/>
      <c r="T17" s="2354"/>
      <c r="U17" s="2354"/>
      <c r="V17" s="2354"/>
      <c r="W17" s="2353"/>
      <c r="X17" s="2353">
        <f>ROUND(SUMPRODUCT(PRODUCT(1+N17:N$33)),4)</f>
        <v>1.4733000000000001</v>
      </c>
      <c r="Y17" s="2353">
        <f>ROUND(SUMPRODUCT(PRODUCT(1+O17:O$33)),4)</f>
        <v>1.3052999999999999</v>
      </c>
      <c r="Z17" s="2353">
        <f t="shared" ref="Z17" si="133">Y17</f>
        <v>1.3052999999999999</v>
      </c>
      <c r="AA17" s="2353">
        <f>ROUND(SUMPRODUCT(PRODUCT(1+P17:P$33)),4)</f>
        <v>1.5306999999999999</v>
      </c>
      <c r="AB17" s="2353">
        <f>ROUND(SUMPRODUCT(PRODUCT(1+Q17:Q$33)),4)</f>
        <v>1.2863</v>
      </c>
      <c r="AC17" s="2353"/>
      <c r="AD17" s="2354">
        <f>ROUND(AVERAGE(I17:I$34)/100,4)</f>
        <v>2.35E-2</v>
      </c>
      <c r="AE17" s="2354">
        <f>ROUND(AVERAGE(J17:J$34)/100,4)</f>
        <v>1.6199999999999999E-2</v>
      </c>
      <c r="AF17" s="2354">
        <f t="shared" ref="AF17" si="134">AE17</f>
        <v>1.6199999999999999E-2</v>
      </c>
      <c r="AG17" s="2354">
        <f>ROUND(AVERAGE(K17:K$34)/100,4)</f>
        <v>2.5899999999999999E-2</v>
      </c>
      <c r="AH17" s="2354">
        <f>ROUND(AVERAGE(L17:L$34)/100,4)</f>
        <v>1.49E-2</v>
      </c>
    </row>
    <row r="18" spans="1:34" s="2386" customFormat="1" ht="15" customHeight="1" thickBot="1">
      <c r="A18" s="2367" t="s">
        <v>2705</v>
      </c>
      <c r="B18" s="2384">
        <f t="shared" si="124"/>
        <v>446.46299999999997</v>
      </c>
      <c r="C18" s="2384">
        <f t="shared" ref="C18" si="135">C19*(1+O18)</f>
        <v>333.27840000000003</v>
      </c>
      <c r="D18" s="2384">
        <f t="shared" ref="D18:D23" si="136">C18</f>
        <v>333.27840000000003</v>
      </c>
      <c r="E18" s="2384">
        <f t="shared" ref="E18" si="137">E19*(1+P18)</f>
        <v>637.28279999999995</v>
      </c>
      <c r="F18" s="2384">
        <f t="shared" ref="F18" si="138">F19*(1+Q18)</f>
        <v>288.68830000000003</v>
      </c>
      <c r="G18" s="4933"/>
      <c r="H18" s="2369">
        <v>1</v>
      </c>
      <c r="I18" s="2369">
        <v>1.7</v>
      </c>
      <c r="J18" s="2369">
        <v>1.92</v>
      </c>
      <c r="K18" s="2369">
        <v>1.64</v>
      </c>
      <c r="L18" s="2370">
        <v>2.0099999999999998</v>
      </c>
      <c r="M18" s="2353"/>
      <c r="N18" s="2385">
        <f t="shared" ref="N18:N23" si="139">I18/100</f>
        <v>1.7000000000000001E-2</v>
      </c>
      <c r="O18" s="2354">
        <f t="shared" ref="O18" si="140">J18/100</f>
        <v>1.9199999999999998E-2</v>
      </c>
      <c r="P18" s="2354">
        <f t="shared" ref="P18" si="141">K18/100</f>
        <v>1.6399999999999998E-2</v>
      </c>
      <c r="Q18" s="2354">
        <f t="shared" ref="Q18" si="142">L18/100</f>
        <v>2.0099999999999996E-2</v>
      </c>
      <c r="R18" s="2353"/>
      <c r="S18" s="2389">
        <f>B18/B19-1</f>
        <v>1.6999999999999904E-2</v>
      </c>
      <c r="T18" s="2390">
        <f>C18/C19-1</f>
        <v>1.9200000000000106E-2</v>
      </c>
      <c r="U18" s="2390">
        <f>E18/E19-1</f>
        <v>1.639999999999997E-2</v>
      </c>
      <c r="V18" s="2390">
        <f>F18/F19-1</f>
        <v>2.0100000000000007E-2</v>
      </c>
      <c r="W18" s="2353"/>
      <c r="X18" s="2353">
        <f>ROUND(SUMPRODUCT(PRODUCT(1+N18:N$33)),4)</f>
        <v>1.4517</v>
      </c>
      <c r="Y18" s="2353">
        <f>ROUND(SUMPRODUCT(PRODUCT(1+O18:O$33)),4)</f>
        <v>1.2928999999999999</v>
      </c>
      <c r="Z18" s="2353">
        <f t="shared" ref="Z18" si="143">Y18</f>
        <v>1.2928999999999999</v>
      </c>
      <c r="AA18" s="2353">
        <f>ROUND(SUMPRODUCT(PRODUCT(1+P18:P$33)),4)</f>
        <v>1.5068999999999999</v>
      </c>
      <c r="AB18" s="2353">
        <f>ROUND(SUMPRODUCT(PRODUCT(1+Q18:Q$33)),4)</f>
        <v>1.2557</v>
      </c>
      <c r="AC18" s="2353"/>
      <c r="AD18" s="2354">
        <f>ROUND(AVERAGE(I18:I$34)/100,4)</f>
        <v>2.4E-2</v>
      </c>
      <c r="AE18" s="2354">
        <f>ROUND(AVERAGE(J18:J$34)/100,4)</f>
        <v>1.66E-2</v>
      </c>
      <c r="AF18" s="2354">
        <f t="shared" ref="AF18" si="144">AE18</f>
        <v>1.66E-2</v>
      </c>
      <c r="AG18" s="2354">
        <f>ROUND(AVERAGE(K18:K$34)/100,4)</f>
        <v>2.6499999999999999E-2</v>
      </c>
      <c r="AH18" s="2354">
        <f>ROUND(AVERAGE(L18:L$34)/100,4)</f>
        <v>1.43E-2</v>
      </c>
    </row>
    <row r="19" spans="1:34">
      <c r="A19" s="2367" t="s">
        <v>2702</v>
      </c>
      <c r="B19" s="2377">
        <v>439</v>
      </c>
      <c r="C19" s="2377">
        <v>327</v>
      </c>
      <c r="D19" s="2377">
        <f t="shared" si="136"/>
        <v>327</v>
      </c>
      <c r="E19" s="2377">
        <v>627</v>
      </c>
      <c r="F19" s="2378">
        <v>283</v>
      </c>
      <c r="G19" s="4929">
        <v>2017</v>
      </c>
      <c r="H19" s="2375">
        <v>4</v>
      </c>
      <c r="I19" s="2375">
        <v>1.71</v>
      </c>
      <c r="J19" s="2375">
        <v>1.78</v>
      </c>
      <c r="K19" s="2375">
        <v>1.71</v>
      </c>
      <c r="L19" s="2376">
        <v>1.43</v>
      </c>
      <c r="N19" s="2379">
        <f t="shared" si="139"/>
        <v>1.7100000000000001E-2</v>
      </c>
      <c r="O19" s="2380">
        <f t="shared" ref="O19" si="145">J19/100</f>
        <v>1.78E-2</v>
      </c>
      <c r="P19" s="2380">
        <f t="shared" ref="P19" si="146">K19/100</f>
        <v>1.7100000000000001E-2</v>
      </c>
      <c r="Q19" s="2380">
        <f t="shared" ref="Q19" si="147">L19/100</f>
        <v>1.43E-2</v>
      </c>
      <c r="R19" s="2381"/>
      <c r="S19" s="2382"/>
      <c r="T19" s="2383"/>
      <c r="U19" s="2383"/>
      <c r="V19" s="2383"/>
      <c r="X19" s="2353">
        <f>ROUND(SUMPRODUCT(PRODUCT(1+N19:N$33)),4)</f>
        <v>1.4274</v>
      </c>
      <c r="Y19" s="2353">
        <f>ROUND(SUMPRODUCT(PRODUCT(1+O19:O$33)),4)</f>
        <v>1.2685</v>
      </c>
      <c r="Z19" s="2353">
        <f t="shared" si="0"/>
        <v>1.2685</v>
      </c>
      <c r="AA19" s="2353">
        <f>ROUND(SUMPRODUCT(PRODUCT(1+P19:P$33)),4)</f>
        <v>1.4825999999999999</v>
      </c>
      <c r="AB19" s="2353">
        <f>ROUND(SUMPRODUCT(PRODUCT(1+Q19:Q$33)),4)</f>
        <v>1.2309000000000001</v>
      </c>
      <c r="AD19" s="2354">
        <f>ROUND(AVERAGE(I19:I$34)/100,4)</f>
        <v>2.4500000000000001E-2</v>
      </c>
      <c r="AE19" s="2354">
        <f>ROUND(AVERAGE(J19:J$34)/100,4)</f>
        <v>1.6500000000000001E-2</v>
      </c>
      <c r="AF19" s="2354">
        <f t="shared" si="1"/>
        <v>1.6500000000000001E-2</v>
      </c>
      <c r="AG19" s="2354">
        <f>ROUND(AVERAGE(K19:K$34)/100,4)</f>
        <v>2.7099999999999999E-2</v>
      </c>
      <c r="AH19" s="2354">
        <f>ROUND(AVERAGE(L19:L$34)/100,4)</f>
        <v>1.3899999999999999E-2</v>
      </c>
    </row>
    <row r="20" spans="1:34" s="2386" customFormat="1" ht="14.45" customHeight="1">
      <c r="A20" s="2367" t="s">
        <v>2699</v>
      </c>
      <c r="B20" s="2384">
        <f t="shared" si="124"/>
        <v>431.80730811680002</v>
      </c>
      <c r="C20" s="2384">
        <f t="shared" ref="C20" si="148">C21*(1+O20)</f>
        <v>320.57880516480003</v>
      </c>
      <c r="D20" s="2384">
        <f t="shared" si="136"/>
        <v>320.57880516480003</v>
      </c>
      <c r="E20" s="2384">
        <f t="shared" ref="E20:F22" si="149">E21*(1+P20)</f>
        <v>615.96110553196797</v>
      </c>
      <c r="F20" s="2384">
        <f t="shared" si="149"/>
        <v>279.46777300108801</v>
      </c>
      <c r="G20" s="4926"/>
      <c r="H20" s="2369">
        <v>3</v>
      </c>
      <c r="I20" s="2369">
        <v>2.98</v>
      </c>
      <c r="J20" s="2369">
        <v>2.11</v>
      </c>
      <c r="K20" s="2369">
        <v>3.24</v>
      </c>
      <c r="L20" s="2370">
        <v>1.72</v>
      </c>
      <c r="M20" s="2353"/>
      <c r="N20" s="2385">
        <f t="shared" si="139"/>
        <v>2.98E-2</v>
      </c>
      <c r="O20" s="2391">
        <f t="shared" ref="O20" si="150">J20/100</f>
        <v>2.1099999999999997E-2</v>
      </c>
      <c r="P20" s="2391">
        <f t="shared" ref="P20" si="151">K20/100</f>
        <v>3.2400000000000005E-2</v>
      </c>
      <c r="Q20" s="2391">
        <f t="shared" ref="Q20" si="152">L20/100</f>
        <v>1.72E-2</v>
      </c>
      <c r="R20" s="2353"/>
      <c r="S20" s="2385"/>
      <c r="T20" s="2354"/>
      <c r="U20" s="2354"/>
      <c r="V20" s="2354"/>
      <c r="W20" s="2353"/>
      <c r="X20" s="2353">
        <f>ROUND(SUMPRODUCT(PRODUCT(1+N20:N$33)),4)</f>
        <v>1.4034</v>
      </c>
      <c r="Y20" s="2353">
        <f>ROUND(SUMPRODUCT(PRODUCT(1+O20:O$33)),4)</f>
        <v>1.2463</v>
      </c>
      <c r="Z20" s="2353">
        <f t="shared" si="0"/>
        <v>1.2463</v>
      </c>
      <c r="AA20" s="2353">
        <f>ROUND(SUMPRODUCT(PRODUCT(1+P20:P$33)),4)</f>
        <v>1.4577</v>
      </c>
      <c r="AB20" s="2353">
        <f>ROUND(SUMPRODUCT(PRODUCT(1+Q20:Q$33)),4)</f>
        <v>1.2136</v>
      </c>
      <c r="AC20" s="2353"/>
      <c r="AD20" s="2354">
        <f>ROUND(AVERAGE(I20:I$34)/100,4)</f>
        <v>2.4899999999999999E-2</v>
      </c>
      <c r="AE20" s="2354">
        <f>ROUND(AVERAGE(J20:J$34)/100,4)</f>
        <v>1.6400000000000001E-2</v>
      </c>
      <c r="AF20" s="2354">
        <f t="shared" si="1"/>
        <v>1.6400000000000001E-2</v>
      </c>
      <c r="AG20" s="2354">
        <f>ROUND(AVERAGE(K20:K$34)/100,4)</f>
        <v>2.7799999999999998E-2</v>
      </c>
      <c r="AH20" s="2354">
        <f>ROUND(AVERAGE(L20:L$34)/100,4)</f>
        <v>1.3899999999999999E-2</v>
      </c>
    </row>
    <row r="21" spans="1:34" s="2362" customFormat="1" ht="14.45" customHeight="1">
      <c r="A21" s="2367" t="s">
        <v>1245</v>
      </c>
      <c r="B21" s="2384">
        <f t="shared" si="124"/>
        <v>419.31181600000002</v>
      </c>
      <c r="C21" s="2384">
        <f t="shared" ref="C21" si="153">C22*(1+O21)</f>
        <v>313.95436800000004</v>
      </c>
      <c r="D21" s="2384">
        <f t="shared" si="136"/>
        <v>313.95436800000004</v>
      </c>
      <c r="E21" s="2384">
        <f t="shared" si="149"/>
        <v>596.63028431999999</v>
      </c>
      <c r="F21" s="2384">
        <f t="shared" si="149"/>
        <v>274.74220703999998</v>
      </c>
      <c r="G21" s="4926"/>
      <c r="H21" s="2387">
        <v>2</v>
      </c>
      <c r="I21" s="2387">
        <v>3.4</v>
      </c>
      <c r="J21" s="2387">
        <v>2</v>
      </c>
      <c r="K21" s="2387">
        <v>3.82</v>
      </c>
      <c r="L21" s="2388">
        <v>1.68</v>
      </c>
      <c r="M21" s="2353"/>
      <c r="N21" s="2385">
        <f t="shared" si="139"/>
        <v>3.4000000000000002E-2</v>
      </c>
      <c r="O21" s="2391">
        <f t="shared" ref="O21" si="154">J21/100</f>
        <v>0.02</v>
      </c>
      <c r="P21" s="2391">
        <f t="shared" ref="P21" si="155">K21/100</f>
        <v>3.8199999999999998E-2</v>
      </c>
      <c r="Q21" s="2391">
        <f t="shared" ref="Q21" si="156">L21/100</f>
        <v>1.6799999999999999E-2</v>
      </c>
      <c r="R21" s="2353"/>
      <c r="S21" s="2385"/>
      <c r="T21" s="2354"/>
      <c r="U21" s="2354"/>
      <c r="V21" s="2354"/>
      <c r="W21" s="2353"/>
      <c r="X21" s="2392">
        <f>ROUND(SUMPRODUCT(PRODUCT(1+N21:N$33)),4)</f>
        <v>1.3628</v>
      </c>
      <c r="Y21" s="2392">
        <f>ROUND(SUMPRODUCT(PRODUCT(1+O21:O$33)),4)</f>
        <v>1.2205999999999999</v>
      </c>
      <c r="Z21" s="2392">
        <f t="shared" si="0"/>
        <v>1.2205999999999999</v>
      </c>
      <c r="AA21" s="2392">
        <f>ROUND(SUMPRODUCT(PRODUCT(1+P21:P$33)),4)</f>
        <v>1.4118999999999999</v>
      </c>
      <c r="AB21" s="2392">
        <f>ROUND(SUMPRODUCT(PRODUCT(1+Q21:Q$33)),4)</f>
        <v>1.1930000000000001</v>
      </c>
      <c r="AC21" s="2347"/>
      <c r="AD21" s="2393">
        <f>ROUND(AVERAGE(I21:I$34)/100,4)</f>
        <v>2.46E-2</v>
      </c>
      <c r="AE21" s="2393">
        <f>ROUND(AVERAGE(J21:J$34)/100,4)</f>
        <v>1.6E-2</v>
      </c>
      <c r="AF21" s="2393">
        <f t="shared" si="1"/>
        <v>1.6E-2</v>
      </c>
      <c r="AG21" s="2393">
        <f>ROUND(AVERAGE(K21:K$34)/100,4)</f>
        <v>2.75E-2</v>
      </c>
      <c r="AH21" s="2393">
        <f>ROUND(AVERAGE(L21:L$34)/100,4)</f>
        <v>1.37E-2</v>
      </c>
    </row>
    <row r="22" spans="1:34" s="2386" customFormat="1" ht="15" customHeight="1" thickBot="1">
      <c r="A22" s="2367" t="s">
        <v>1036</v>
      </c>
      <c r="B22" s="2384">
        <f t="shared" si="124"/>
        <v>405.524</v>
      </c>
      <c r="C22" s="2384">
        <f t="shared" ref="C22" si="157">C23*(1+O22)</f>
        <v>307.79840000000002</v>
      </c>
      <c r="D22" s="2384">
        <f t="shared" si="136"/>
        <v>307.79840000000002</v>
      </c>
      <c r="E22" s="2384">
        <f t="shared" si="149"/>
        <v>574.67759999999998</v>
      </c>
      <c r="F22" s="2384">
        <f t="shared" si="149"/>
        <v>270.20280000000002</v>
      </c>
      <c r="G22" s="4933"/>
      <c r="H22" s="2369">
        <v>1</v>
      </c>
      <c r="I22" s="2369">
        <v>3.45</v>
      </c>
      <c r="J22" s="2369">
        <v>1.92</v>
      </c>
      <c r="K22" s="2369">
        <v>3.92</v>
      </c>
      <c r="L22" s="2370">
        <v>1.58</v>
      </c>
      <c r="M22" s="2353"/>
      <c r="N22" s="2389">
        <f t="shared" si="139"/>
        <v>3.4500000000000003E-2</v>
      </c>
      <c r="O22" s="2390">
        <f t="shared" ref="O22:Q37" si="158">J22/100</f>
        <v>1.9199999999999998E-2</v>
      </c>
      <c r="P22" s="2390">
        <f t="shared" si="158"/>
        <v>3.9199999999999999E-2</v>
      </c>
      <c r="Q22" s="2390">
        <f t="shared" si="158"/>
        <v>1.5800000000000002E-2</v>
      </c>
      <c r="R22" s="2353"/>
      <c r="S22" s="2389">
        <f>B22/B23-1</f>
        <v>3.4499999999999975E-2</v>
      </c>
      <c r="T22" s="2390">
        <f>C22/C23-1</f>
        <v>1.9200000000000106E-2</v>
      </c>
      <c r="U22" s="2390">
        <f>E22/E23-1</f>
        <v>3.9199999999999902E-2</v>
      </c>
      <c r="V22" s="2390">
        <f>F22/F23-1</f>
        <v>1.5800000000000036E-2</v>
      </c>
      <c r="W22" s="2353"/>
      <c r="X22" s="2353">
        <f>ROUND(SUMPRODUCT(PRODUCT(1+N22:N$33)),4)</f>
        <v>1.3180000000000001</v>
      </c>
      <c r="Y22" s="2353">
        <f>ROUND(SUMPRODUCT(PRODUCT(1+O22:O$33)),4)</f>
        <v>1.1966000000000001</v>
      </c>
      <c r="Z22" s="2353">
        <f t="shared" si="0"/>
        <v>1.1966000000000001</v>
      </c>
      <c r="AA22" s="2353">
        <f>ROUND(SUMPRODUCT(PRODUCT(1+P22:P$33)),4)</f>
        <v>1.36</v>
      </c>
      <c r="AB22" s="2353">
        <f>ROUND(SUMPRODUCT(PRODUCT(1+Q22:Q$33)),4)</f>
        <v>1.1733</v>
      </c>
      <c r="AC22" s="2353"/>
      <c r="AD22" s="2354">
        <f>ROUND(AVERAGE(I22:I$34)/100,4)</f>
        <v>2.3900000000000001E-2</v>
      </c>
      <c r="AE22" s="2354">
        <f>ROUND(AVERAGE(J22:J$34)/100,4)</f>
        <v>1.5699999999999999E-2</v>
      </c>
      <c r="AF22" s="2354">
        <f t="shared" si="1"/>
        <v>1.5699999999999999E-2</v>
      </c>
      <c r="AG22" s="2354">
        <f>ROUND(AVERAGE(K22:K$34)/100,4)</f>
        <v>2.6599999999999999E-2</v>
      </c>
      <c r="AH22" s="2354">
        <f>ROUND(AVERAGE(L22:L$34)/100,4)</f>
        <v>1.34E-2</v>
      </c>
    </row>
    <row r="23" spans="1:34">
      <c r="A23" s="2367" t="s">
        <v>1037</v>
      </c>
      <c r="B23" s="2377">
        <v>392</v>
      </c>
      <c r="C23" s="2377">
        <v>302</v>
      </c>
      <c r="D23" s="2377">
        <f t="shared" si="136"/>
        <v>302</v>
      </c>
      <c r="E23" s="2377">
        <v>553</v>
      </c>
      <c r="F23" s="2378">
        <v>266</v>
      </c>
      <c r="G23" s="4929">
        <v>2016</v>
      </c>
      <c r="H23" s="2375">
        <v>4</v>
      </c>
      <c r="I23" s="2375">
        <v>4.5599999999999996</v>
      </c>
      <c r="J23" s="2375">
        <v>2.15</v>
      </c>
      <c r="K23" s="2375">
        <v>5.32</v>
      </c>
      <c r="L23" s="2376">
        <v>1.57</v>
      </c>
      <c r="N23" s="2385">
        <f t="shared" si="139"/>
        <v>4.5599999999999995E-2</v>
      </c>
      <c r="O23" s="2354">
        <f t="shared" si="158"/>
        <v>2.1499999999999998E-2</v>
      </c>
      <c r="P23" s="2354">
        <f t="shared" si="158"/>
        <v>5.3200000000000004E-2</v>
      </c>
      <c r="Q23" s="2354">
        <f t="shared" si="158"/>
        <v>1.5700000000000002E-2</v>
      </c>
      <c r="R23" s="2381"/>
      <c r="S23" s="2382"/>
      <c r="T23" s="2383"/>
      <c r="U23" s="2383"/>
      <c r="V23" s="2383"/>
      <c r="X23" s="2353">
        <f>ROUND(SUMPRODUCT(PRODUCT(1+N23:N$33)),4)</f>
        <v>1.274</v>
      </c>
      <c r="Y23" s="2353">
        <f>ROUND(SUMPRODUCT(PRODUCT(1+O23:O$33)),4)</f>
        <v>1.1740999999999999</v>
      </c>
      <c r="Z23" s="2353">
        <f t="shared" si="0"/>
        <v>1.1740999999999999</v>
      </c>
      <c r="AA23" s="2353">
        <f>ROUND(SUMPRODUCT(PRODUCT(1+P23:P$33)),4)</f>
        <v>1.3087</v>
      </c>
      <c r="AB23" s="2353">
        <f>ROUND(SUMPRODUCT(PRODUCT(1+Q23:Q$33)),4)</f>
        <v>1.1551</v>
      </c>
      <c r="AD23" s="2354">
        <f>ROUND(AVERAGE(I23:I$34)/100,4)</f>
        <v>2.3E-2</v>
      </c>
      <c r="AE23" s="2354">
        <f>ROUND(AVERAGE(J23:J$34)/100,4)</f>
        <v>1.55E-2</v>
      </c>
      <c r="AF23" s="2354">
        <f t="shared" ref="AF23:AF32" si="159">AE23</f>
        <v>1.55E-2</v>
      </c>
      <c r="AG23" s="2354">
        <f>ROUND(AVERAGE(K23:K$34)/100,4)</f>
        <v>2.5600000000000001E-2</v>
      </c>
      <c r="AH23" s="2354">
        <f>ROUND(AVERAGE(L23:L$34)/100,4)</f>
        <v>1.32E-2</v>
      </c>
    </row>
    <row r="24" spans="1:34">
      <c r="A24" s="2367" t="s">
        <v>103</v>
      </c>
      <c r="B24" s="2384">
        <f t="shared" ref="B24:C26" si="160">B23/(1+N23)</f>
        <v>374.90436113236416</v>
      </c>
      <c r="C24" s="2384">
        <f t="shared" si="160"/>
        <v>295.64366128242779</v>
      </c>
      <c r="D24" s="2384">
        <f t="shared" ref="D24:D83" si="161">C24</f>
        <v>295.64366128242779</v>
      </c>
      <c r="E24" s="2384">
        <f t="shared" ref="E24:F26" si="162">E23/(1+P23)</f>
        <v>525.06646410938095</v>
      </c>
      <c r="F24" s="2384">
        <f t="shared" si="162"/>
        <v>261.88835286009646</v>
      </c>
      <c r="G24" s="4926"/>
      <c r="H24" s="2369">
        <v>3</v>
      </c>
      <c r="I24" s="2369">
        <v>4.12</v>
      </c>
      <c r="J24" s="2369">
        <v>2</v>
      </c>
      <c r="K24" s="2369">
        <v>4.79</v>
      </c>
      <c r="L24" s="2370">
        <v>1.97</v>
      </c>
      <c r="N24" s="2385">
        <f t="shared" ref="N24:Q58" si="163">I24/100</f>
        <v>4.1200000000000001E-2</v>
      </c>
      <c r="O24" s="2354">
        <f t="shared" si="158"/>
        <v>0.02</v>
      </c>
      <c r="P24" s="2354">
        <f t="shared" si="158"/>
        <v>4.7899999999999998E-2</v>
      </c>
      <c r="Q24" s="2354">
        <f t="shared" si="158"/>
        <v>1.9699999999999999E-2</v>
      </c>
      <c r="R24" s="2381"/>
      <c r="S24" s="2385"/>
      <c r="T24" s="2354"/>
      <c r="U24" s="2354"/>
      <c r="V24" s="2354"/>
      <c r="X24" s="2353">
        <f>ROUND(SUMPRODUCT(PRODUCT(1+N24:N$33)),4)</f>
        <v>1.2184999999999999</v>
      </c>
      <c r="Y24" s="2353">
        <f>ROUND(SUMPRODUCT(PRODUCT(1+O24:O$33)),4)</f>
        <v>1.1494</v>
      </c>
      <c r="Z24" s="2353">
        <f t="shared" si="0"/>
        <v>1.1494</v>
      </c>
      <c r="AA24" s="2353">
        <f>ROUND(SUMPRODUCT(PRODUCT(1+P24:P$33)),4)</f>
        <v>1.2425999999999999</v>
      </c>
      <c r="AB24" s="2353">
        <f>ROUND(SUMPRODUCT(PRODUCT(1+Q24:Q$33)),4)</f>
        <v>1.1372</v>
      </c>
      <c r="AD24" s="2354">
        <f>ROUND(AVERAGE(I24:I$34)/100,4)</f>
        <v>2.0899999999999998E-2</v>
      </c>
      <c r="AE24" s="2354">
        <f>ROUND(AVERAGE(J24:J$34)/100,4)</f>
        <v>1.49E-2</v>
      </c>
      <c r="AF24" s="2354">
        <f t="shared" si="159"/>
        <v>1.49E-2</v>
      </c>
      <c r="AG24" s="2354">
        <f>ROUND(AVERAGE(K24:K$34)/100,4)</f>
        <v>2.3099999999999999E-2</v>
      </c>
      <c r="AH24" s="2354">
        <f>ROUND(AVERAGE(L24:L$34)/100,4)</f>
        <v>1.2999999999999999E-2</v>
      </c>
    </row>
    <row r="25" spans="1:34">
      <c r="A25" s="2367" t="s">
        <v>93</v>
      </c>
      <c r="B25" s="2384">
        <f t="shared" si="160"/>
        <v>360.06949782209392</v>
      </c>
      <c r="C25" s="2384">
        <f t="shared" si="160"/>
        <v>289.84672674747821</v>
      </c>
      <c r="D25" s="2384">
        <f t="shared" si="161"/>
        <v>289.84672674747821</v>
      </c>
      <c r="E25" s="2384">
        <f t="shared" si="162"/>
        <v>501.06543001181495</v>
      </c>
      <c r="F25" s="2384">
        <f t="shared" si="162"/>
        <v>256.82882500744967</v>
      </c>
      <c r="G25" s="4926"/>
      <c r="H25" s="2387">
        <v>2</v>
      </c>
      <c r="I25" s="2387">
        <v>3.85</v>
      </c>
      <c r="J25" s="2387">
        <v>1.95</v>
      </c>
      <c r="K25" s="2387">
        <v>4.4800000000000004</v>
      </c>
      <c r="L25" s="2388">
        <v>1.41</v>
      </c>
      <c r="N25" s="2385">
        <f t="shared" si="163"/>
        <v>3.85E-2</v>
      </c>
      <c r="O25" s="2354">
        <f t="shared" si="158"/>
        <v>1.95E-2</v>
      </c>
      <c r="P25" s="2354">
        <f t="shared" si="158"/>
        <v>4.4800000000000006E-2</v>
      </c>
      <c r="Q25" s="2354">
        <f t="shared" si="158"/>
        <v>1.41E-2</v>
      </c>
      <c r="R25" s="2381"/>
      <c r="S25" s="2385"/>
      <c r="T25" s="2354"/>
      <c r="U25" s="2354"/>
      <c r="V25" s="2354"/>
      <c r="X25" s="2353">
        <f>ROUND(SUMPRODUCT(PRODUCT(1+N25:N$33)),4)</f>
        <v>1.1702999999999999</v>
      </c>
      <c r="Y25" s="2353">
        <f>ROUND(SUMPRODUCT(PRODUCT(1+O25:O$33)),4)</f>
        <v>1.1269</v>
      </c>
      <c r="Z25" s="2353">
        <f t="shared" si="0"/>
        <v>1.1269</v>
      </c>
      <c r="AA25" s="2353">
        <f>ROUND(SUMPRODUCT(PRODUCT(1+P25:P$33)),4)</f>
        <v>1.1858</v>
      </c>
      <c r="AB25" s="2353">
        <f>ROUND(SUMPRODUCT(PRODUCT(1+Q25:Q$33)),4)</f>
        <v>1.1152</v>
      </c>
      <c r="AD25" s="2354">
        <f>ROUND(AVERAGE(I25:I$34)/100,4)</f>
        <v>1.89E-2</v>
      </c>
      <c r="AE25" s="2354">
        <f>ROUND(AVERAGE(J25:J$34)/100,4)</f>
        <v>1.44E-2</v>
      </c>
      <c r="AF25" s="2354">
        <f t="shared" si="159"/>
        <v>1.44E-2</v>
      </c>
      <c r="AG25" s="2354">
        <f>ROUND(AVERAGE(K25:K$34)/100,4)</f>
        <v>2.06E-2</v>
      </c>
      <c r="AH25" s="2354">
        <f>ROUND(AVERAGE(L25:L$34)/100,4)</f>
        <v>1.23E-2</v>
      </c>
    </row>
    <row r="26" spans="1:34" ht="13.5" thickBot="1">
      <c r="A26" s="2367" t="s">
        <v>102</v>
      </c>
      <c r="B26" s="2384">
        <f t="shared" si="160"/>
        <v>346.720748986128</v>
      </c>
      <c r="C26" s="2384">
        <f t="shared" si="160"/>
        <v>284.30282172386285</v>
      </c>
      <c r="D26" s="2384">
        <f t="shared" si="161"/>
        <v>284.30282172386285</v>
      </c>
      <c r="E26" s="2384">
        <f t="shared" si="162"/>
        <v>479.58023546306947</v>
      </c>
      <c r="F26" s="2384">
        <f t="shared" si="162"/>
        <v>253.25788877571213</v>
      </c>
      <c r="G26" s="4927"/>
      <c r="H26" s="2369">
        <v>1</v>
      </c>
      <c r="I26" s="2369">
        <v>4.09</v>
      </c>
      <c r="J26" s="2369">
        <v>2.93</v>
      </c>
      <c r="K26" s="2369">
        <v>4.54</v>
      </c>
      <c r="L26" s="2370">
        <v>1.48</v>
      </c>
      <c r="N26" s="2385">
        <f t="shared" si="163"/>
        <v>4.0899999999999999E-2</v>
      </c>
      <c r="O26" s="2354">
        <f t="shared" si="158"/>
        <v>2.9300000000000003E-2</v>
      </c>
      <c r="P26" s="2354">
        <f t="shared" si="158"/>
        <v>4.5400000000000003E-2</v>
      </c>
      <c r="Q26" s="2354">
        <f t="shared" si="158"/>
        <v>1.4800000000000001E-2</v>
      </c>
      <c r="R26" s="2381"/>
      <c r="S26" s="2389">
        <f>B26/B27-1</f>
        <v>4.1203450408792808E-2</v>
      </c>
      <c r="T26" s="2390">
        <f>C26/C27-1</f>
        <v>2.6363977342465095E-2</v>
      </c>
      <c r="U26" s="2390">
        <f>E26/E27-1</f>
        <v>4.4837114298626357E-2</v>
      </c>
      <c r="V26" s="2390">
        <f>F26/F27-1</f>
        <v>1.7099954922538574E-2</v>
      </c>
      <c r="X26" s="2353">
        <f>ROUND(SUMPRODUCT(PRODUCT(1+N26:N$33)),4)</f>
        <v>1.1269</v>
      </c>
      <c r="Y26" s="2353">
        <f>ROUND(SUMPRODUCT(PRODUCT(1+O26:O$33)),4)</f>
        <v>1.1052999999999999</v>
      </c>
      <c r="Z26" s="2353">
        <f t="shared" si="0"/>
        <v>1.1052999999999999</v>
      </c>
      <c r="AA26" s="2353">
        <f>ROUND(SUMPRODUCT(PRODUCT(1+P26:P$33)),4)</f>
        <v>1.1349</v>
      </c>
      <c r="AB26" s="2353">
        <f>ROUND(SUMPRODUCT(PRODUCT(1+Q26:Q$33)),4)</f>
        <v>1.0996999999999999</v>
      </c>
      <c r="AD26" s="2354">
        <f>ROUND(AVERAGE(I26:I$34)/100,4)</f>
        <v>1.67E-2</v>
      </c>
      <c r="AE26" s="2354">
        <f>ROUND(AVERAGE(J26:J$34)/100,4)</f>
        <v>1.38E-2</v>
      </c>
      <c r="AF26" s="2354">
        <f t="shared" si="159"/>
        <v>1.38E-2</v>
      </c>
      <c r="AG26" s="2354">
        <f>ROUND(AVERAGE(K26:K$34)/100,4)</f>
        <v>1.7899999999999999E-2</v>
      </c>
      <c r="AH26" s="2354">
        <f>ROUND(AVERAGE(L26:L$34)/100,4)</f>
        <v>1.21E-2</v>
      </c>
    </row>
    <row r="27" spans="1:34" ht="13.5" thickBot="1">
      <c r="A27" s="2367" t="s">
        <v>101</v>
      </c>
      <c r="B27" s="2377">
        <v>333</v>
      </c>
      <c r="C27" s="2377">
        <v>277</v>
      </c>
      <c r="D27" s="2377">
        <f t="shared" si="161"/>
        <v>277</v>
      </c>
      <c r="E27" s="2377">
        <v>459</v>
      </c>
      <c r="F27" s="2378">
        <v>249</v>
      </c>
      <c r="G27" s="4925">
        <v>2015</v>
      </c>
      <c r="H27" s="2394">
        <v>4</v>
      </c>
      <c r="I27" s="2394">
        <v>1.63</v>
      </c>
      <c r="J27" s="2394">
        <v>1.1100000000000001</v>
      </c>
      <c r="K27" s="2394">
        <v>1.77</v>
      </c>
      <c r="L27" s="2395">
        <v>1.89</v>
      </c>
      <c r="N27" s="2379">
        <f t="shared" si="163"/>
        <v>1.6299999999999999E-2</v>
      </c>
      <c r="O27" s="2380">
        <f t="shared" si="158"/>
        <v>1.11E-2</v>
      </c>
      <c r="P27" s="2380">
        <f t="shared" si="158"/>
        <v>1.77E-2</v>
      </c>
      <c r="Q27" s="2380">
        <f t="shared" si="158"/>
        <v>1.89E-2</v>
      </c>
      <c r="R27" s="2381"/>
      <c r="X27" s="2353">
        <f>ROUND(SUMPRODUCT(PRODUCT(1+N27:N$33)),4)</f>
        <v>1.0826</v>
      </c>
      <c r="Y27" s="2353">
        <f>ROUND(SUMPRODUCT(PRODUCT(1+O27:O$33)),4)</f>
        <v>1.0738000000000001</v>
      </c>
      <c r="Z27" s="2353">
        <f t="shared" si="0"/>
        <v>1.0738000000000001</v>
      </c>
      <c r="AA27" s="2353">
        <f>ROUND(SUMPRODUCT(PRODUCT(1+P27:P$33)),4)</f>
        <v>1.0855999999999999</v>
      </c>
      <c r="AB27" s="2353">
        <f>ROUND(SUMPRODUCT(PRODUCT(1+Q27:Q$33)),4)</f>
        <v>1.0837000000000001</v>
      </c>
      <c r="AD27" s="2354">
        <f>ROUND(AVERAGE(I27:I$34)/100,4)</f>
        <v>1.37E-2</v>
      </c>
      <c r="AE27" s="2354">
        <f>ROUND(AVERAGE(J27:J$34)/100,4)</f>
        <v>1.1900000000000001E-2</v>
      </c>
      <c r="AF27" s="2354">
        <f t="shared" si="159"/>
        <v>1.1900000000000001E-2</v>
      </c>
      <c r="AG27" s="2354">
        <f>ROUND(AVERAGE(K27:K$34)/100,4)</f>
        <v>1.4500000000000001E-2</v>
      </c>
      <c r="AH27" s="2354">
        <f>ROUND(AVERAGE(L27:L$34)/100,4)</f>
        <v>1.18E-2</v>
      </c>
    </row>
    <row r="28" spans="1:34">
      <c r="A28" s="2367" t="s">
        <v>100</v>
      </c>
      <c r="B28" s="2384">
        <f t="shared" ref="B28:C30" si="164">B27/(1+N27)</f>
        <v>327.65915576109415</v>
      </c>
      <c r="C28" s="2384">
        <f t="shared" si="164"/>
        <v>273.95905449510434</v>
      </c>
      <c r="D28" s="2384">
        <f t="shared" si="161"/>
        <v>273.95905449510434</v>
      </c>
      <c r="E28" s="2384">
        <f t="shared" ref="E28:F30" si="165">E27/(1+P27)</f>
        <v>451.01699911565294</v>
      </c>
      <c r="F28" s="2384">
        <f t="shared" si="165"/>
        <v>244.38119540681129</v>
      </c>
      <c r="G28" s="4926"/>
      <c r="H28" s="2397">
        <v>3</v>
      </c>
      <c r="I28" s="2397">
        <v>1.65</v>
      </c>
      <c r="J28" s="2397">
        <v>0.92</v>
      </c>
      <c r="K28" s="2397">
        <v>1.88</v>
      </c>
      <c r="L28" s="2398">
        <v>1.26</v>
      </c>
      <c r="N28" s="2385">
        <f t="shared" si="163"/>
        <v>1.6500000000000001E-2</v>
      </c>
      <c r="O28" s="2391">
        <f t="shared" si="158"/>
        <v>9.1999999999999998E-3</v>
      </c>
      <c r="P28" s="2391">
        <f t="shared" si="158"/>
        <v>1.8799999999999997E-2</v>
      </c>
      <c r="Q28" s="2391">
        <f t="shared" si="158"/>
        <v>1.26E-2</v>
      </c>
      <c r="R28" s="2381"/>
      <c r="S28" s="2385"/>
      <c r="T28" s="2354"/>
      <c r="U28" s="2354"/>
      <c r="V28" s="2354"/>
      <c r="X28" s="2353">
        <f>ROUND(SUMPRODUCT(PRODUCT(1+N28:N$33)),4)</f>
        <v>1.0651999999999999</v>
      </c>
      <c r="Y28" s="2353">
        <f>ROUND(SUMPRODUCT(PRODUCT(1+O28:O$33)),4)</f>
        <v>1.0621</v>
      </c>
      <c r="Z28" s="2353">
        <f t="shared" si="0"/>
        <v>1.0621</v>
      </c>
      <c r="AA28" s="2353">
        <f>ROUND(SUMPRODUCT(PRODUCT(1+P28:P$33)),4)</f>
        <v>1.0668</v>
      </c>
      <c r="AB28" s="2353">
        <f>ROUND(SUMPRODUCT(PRODUCT(1+Q28:Q$33)),4)</f>
        <v>1.0636000000000001</v>
      </c>
      <c r="AD28" s="2354">
        <f>ROUND(AVERAGE(I28:I$34)/100,4)</f>
        <v>1.3299999999999999E-2</v>
      </c>
      <c r="AE28" s="2354">
        <f>ROUND(AVERAGE(J28:J$34)/100,4)</f>
        <v>1.2E-2</v>
      </c>
      <c r="AF28" s="2354">
        <f t="shared" si="159"/>
        <v>1.2E-2</v>
      </c>
      <c r="AG28" s="2354">
        <f>ROUND(AVERAGE(K28:K$34)/100,4)</f>
        <v>1.4E-2</v>
      </c>
      <c r="AH28" s="2354">
        <f>ROUND(AVERAGE(L28:L$34)/100,4)</f>
        <v>1.0800000000000001E-2</v>
      </c>
    </row>
    <row r="29" spans="1:34">
      <c r="A29" s="2367" t="s">
        <v>99</v>
      </c>
      <c r="B29" s="2384">
        <f t="shared" si="164"/>
        <v>322.34053690220776</v>
      </c>
      <c r="C29" s="2384">
        <f t="shared" si="164"/>
        <v>271.46160770422546</v>
      </c>
      <c r="D29" s="2384">
        <f t="shared" si="161"/>
        <v>271.46160770422546</v>
      </c>
      <c r="E29" s="2384">
        <f t="shared" si="165"/>
        <v>442.69434542172456</v>
      </c>
      <c r="F29" s="2384">
        <f t="shared" si="165"/>
        <v>241.34030753190925</v>
      </c>
      <c r="G29" s="4926"/>
      <c r="H29" s="2387">
        <v>2</v>
      </c>
      <c r="I29" s="2387">
        <v>0.77</v>
      </c>
      <c r="J29" s="2387">
        <v>0.69</v>
      </c>
      <c r="K29" s="2387">
        <v>0.8</v>
      </c>
      <c r="L29" s="2388">
        <v>0.88</v>
      </c>
      <c r="N29" s="2385">
        <f t="shared" si="163"/>
        <v>7.7000000000000002E-3</v>
      </c>
      <c r="O29" s="2391">
        <f t="shared" si="158"/>
        <v>6.8999999999999999E-3</v>
      </c>
      <c r="P29" s="2391">
        <f t="shared" si="158"/>
        <v>8.0000000000000002E-3</v>
      </c>
      <c r="Q29" s="2391">
        <f t="shared" si="158"/>
        <v>8.8000000000000005E-3</v>
      </c>
      <c r="R29" s="2381"/>
      <c r="S29" s="2385"/>
      <c r="T29" s="2354"/>
      <c r="U29" s="2354"/>
      <c r="V29" s="2354"/>
      <c r="X29" s="2353">
        <f>ROUND(SUMPRODUCT(PRODUCT(1+N29:N$33)),4)</f>
        <v>1.048</v>
      </c>
      <c r="Y29" s="2353">
        <f>ROUND(SUMPRODUCT(PRODUCT(1+O29:O$33)),4)</f>
        <v>1.0524</v>
      </c>
      <c r="Z29" s="2353">
        <f t="shared" si="0"/>
        <v>1.0524</v>
      </c>
      <c r="AA29" s="2353">
        <f>ROUND(SUMPRODUCT(PRODUCT(1+P29:P$33)),4)</f>
        <v>1.0470999999999999</v>
      </c>
      <c r="AB29" s="2353">
        <f>ROUND(SUMPRODUCT(PRODUCT(1+Q29:Q$33)),4)</f>
        <v>1.0504</v>
      </c>
      <c r="AD29" s="2354">
        <f>ROUND(AVERAGE(I29:I$34)/100,4)</f>
        <v>1.2800000000000001E-2</v>
      </c>
      <c r="AE29" s="2354">
        <f>ROUND(AVERAGE(J29:J$34)/100,4)</f>
        <v>1.2500000000000001E-2</v>
      </c>
      <c r="AF29" s="2354">
        <f t="shared" si="159"/>
        <v>1.2500000000000001E-2</v>
      </c>
      <c r="AG29" s="2354">
        <f>ROUND(AVERAGE(K29:K$34)/100,4)</f>
        <v>1.32E-2</v>
      </c>
      <c r="AH29" s="2354">
        <f>ROUND(AVERAGE(L29:L$34)/100,4)</f>
        <v>1.0500000000000001E-2</v>
      </c>
    </row>
    <row r="30" spans="1:34">
      <c r="A30" s="2367" t="s">
        <v>98</v>
      </c>
      <c r="B30" s="2384">
        <f t="shared" si="164"/>
        <v>319.87748030386797</v>
      </c>
      <c r="C30" s="2384">
        <f t="shared" si="164"/>
        <v>269.60135833173649</v>
      </c>
      <c r="D30" s="2384">
        <f t="shared" si="161"/>
        <v>269.60135833173649</v>
      </c>
      <c r="E30" s="2384">
        <f t="shared" si="165"/>
        <v>439.18089823583784</v>
      </c>
      <c r="F30" s="2384">
        <f t="shared" si="165"/>
        <v>239.23503918706311</v>
      </c>
      <c r="G30" s="4927"/>
      <c r="H30" s="2369">
        <v>1</v>
      </c>
      <c r="I30" s="2369">
        <v>0.51</v>
      </c>
      <c r="J30" s="2369">
        <v>0.54</v>
      </c>
      <c r="K30" s="2369">
        <v>0.48</v>
      </c>
      <c r="L30" s="2370">
        <v>0.93</v>
      </c>
      <c r="N30" s="2389">
        <f t="shared" si="163"/>
        <v>5.1000000000000004E-3</v>
      </c>
      <c r="O30" s="2390">
        <f t="shared" si="158"/>
        <v>5.4000000000000003E-3</v>
      </c>
      <c r="P30" s="2390">
        <f t="shared" si="158"/>
        <v>4.7999999999999996E-3</v>
      </c>
      <c r="Q30" s="2390">
        <f t="shared" si="158"/>
        <v>9.300000000000001E-3</v>
      </c>
      <c r="R30" s="2381"/>
      <c r="S30" s="2389">
        <f>B30/B31-1</f>
        <v>5.9040261127922822E-3</v>
      </c>
      <c r="T30" s="2390">
        <f>C30/C31-1</f>
        <v>5.9752176557332781E-3</v>
      </c>
      <c r="U30" s="2390">
        <f>E30/E31-1</f>
        <v>4.9906138119859556E-3</v>
      </c>
      <c r="V30" s="2390">
        <f>F30/F31-1</f>
        <v>9.4305450930933787E-3</v>
      </c>
      <c r="X30" s="2353">
        <f>ROUND(SUMPRODUCT(PRODUCT(1+N30:N$33)),4)</f>
        <v>1.0399</v>
      </c>
      <c r="Y30" s="2353">
        <f>ROUND(SUMPRODUCT(PRODUCT(1+O30:O$33)),4)</f>
        <v>1.0451999999999999</v>
      </c>
      <c r="Z30" s="2353">
        <f t="shared" si="0"/>
        <v>1.0451999999999999</v>
      </c>
      <c r="AA30" s="2353">
        <f>ROUND(SUMPRODUCT(PRODUCT(1+P30:P$33)),4)</f>
        <v>1.0387999999999999</v>
      </c>
      <c r="AB30" s="2353">
        <f>ROUND(SUMPRODUCT(PRODUCT(1+Q30:Q$33)),4)</f>
        <v>1.0411999999999999</v>
      </c>
      <c r="AD30" s="2354">
        <f>ROUND(AVERAGE(I30:I$34)/100,4)</f>
        <v>1.38E-2</v>
      </c>
      <c r="AE30" s="2354">
        <f>ROUND(AVERAGE(J30:J$34)/100,4)</f>
        <v>1.3599999999999999E-2</v>
      </c>
      <c r="AF30" s="2354">
        <f t="shared" si="159"/>
        <v>1.3599999999999999E-2</v>
      </c>
      <c r="AG30" s="2354">
        <f>ROUND(AVERAGE(K30:K$34)/100,4)</f>
        <v>1.4200000000000001E-2</v>
      </c>
      <c r="AH30" s="2354">
        <f>ROUND(AVERAGE(L30:L$34)/100,4)</f>
        <v>1.0800000000000001E-2</v>
      </c>
    </row>
    <row r="31" spans="1:34" ht="13.5" thickBot="1">
      <c r="A31" s="2367" t="s">
        <v>97</v>
      </c>
      <c r="B31" s="2399">
        <v>318</v>
      </c>
      <c r="C31" s="2399">
        <v>268</v>
      </c>
      <c r="D31" s="2399">
        <f t="shared" si="161"/>
        <v>268</v>
      </c>
      <c r="E31" s="2399">
        <v>437</v>
      </c>
      <c r="F31" s="2400">
        <v>237</v>
      </c>
      <c r="G31" s="4925">
        <v>2014</v>
      </c>
      <c r="H31" s="2394">
        <v>4</v>
      </c>
      <c r="I31" s="2394">
        <v>0.21</v>
      </c>
      <c r="J31" s="2394">
        <v>0.41</v>
      </c>
      <c r="K31" s="2394">
        <v>0.12</v>
      </c>
      <c r="L31" s="2395">
        <v>0.89</v>
      </c>
      <c r="N31" s="2385">
        <f t="shared" si="163"/>
        <v>2.0999999999999999E-3</v>
      </c>
      <c r="O31" s="2354">
        <f t="shared" si="158"/>
        <v>4.0999999999999995E-3</v>
      </c>
      <c r="P31" s="2354">
        <f t="shared" si="158"/>
        <v>1.1999999999999999E-3</v>
      </c>
      <c r="Q31" s="2354">
        <f t="shared" si="158"/>
        <v>8.8999999999999999E-3</v>
      </c>
      <c r="R31" s="2381"/>
      <c r="S31" s="2382"/>
      <c r="T31" s="2383"/>
      <c r="U31" s="2383"/>
      <c r="V31" s="2383"/>
      <c r="X31" s="2353">
        <f>ROUND(SUMPRODUCT(PRODUCT(1+N31:N$33)),4)</f>
        <v>1.0347</v>
      </c>
      <c r="Y31" s="2353">
        <f>ROUND(SUMPRODUCT(PRODUCT(1+O31:O$33)),4)</f>
        <v>1.0395000000000001</v>
      </c>
      <c r="Z31" s="2353">
        <f t="shared" si="0"/>
        <v>1.0395000000000001</v>
      </c>
      <c r="AA31" s="2353">
        <f>ROUND(SUMPRODUCT(PRODUCT(1+P31:P$33)),4)</f>
        <v>1.0338000000000001</v>
      </c>
      <c r="AB31" s="2353">
        <f>ROUND(SUMPRODUCT(PRODUCT(1+Q31:Q$33)),4)</f>
        <v>1.0316000000000001</v>
      </c>
      <c r="AD31" s="2354">
        <f>ROUND(AVERAGE(I31:I$34)/100,4)</f>
        <v>1.6E-2</v>
      </c>
      <c r="AE31" s="2354">
        <f>ROUND(AVERAGE(J31:J$34)/100,4)</f>
        <v>1.5599999999999999E-2</v>
      </c>
      <c r="AF31" s="2354">
        <f t="shared" si="159"/>
        <v>1.5599999999999999E-2</v>
      </c>
      <c r="AG31" s="2354">
        <f>ROUND(AVERAGE(K31:K$34)/100,4)</f>
        <v>1.66E-2</v>
      </c>
      <c r="AH31" s="2354">
        <f>ROUND(AVERAGE(L31:L$34)/100,4)</f>
        <v>1.12E-2</v>
      </c>
    </row>
    <row r="32" spans="1:34">
      <c r="A32" s="2367" t="s">
        <v>96</v>
      </c>
      <c r="B32" s="2384">
        <f t="shared" ref="B32:C34" si="166">B31/(1+N31)</f>
        <v>317.33359944117353</v>
      </c>
      <c r="C32" s="2384">
        <f t="shared" si="166"/>
        <v>266.90568668459315</v>
      </c>
      <c r="D32" s="2384">
        <f t="shared" si="161"/>
        <v>266.90568668459315</v>
      </c>
      <c r="E32" s="2384">
        <f t="shared" ref="E32:F34" si="167">E31/(1+P31)</f>
        <v>436.47622852576905</v>
      </c>
      <c r="F32" s="2384">
        <f t="shared" si="167"/>
        <v>234.90930716622066</v>
      </c>
      <c r="G32" s="4926"/>
      <c r="H32" s="2401">
        <v>3</v>
      </c>
      <c r="I32" s="2401">
        <v>0.83</v>
      </c>
      <c r="J32" s="2401">
        <v>1.47</v>
      </c>
      <c r="K32" s="2401">
        <v>0.65</v>
      </c>
      <c r="L32" s="2402">
        <v>0.72</v>
      </c>
      <c r="N32" s="2385">
        <f t="shared" si="163"/>
        <v>8.3000000000000001E-3</v>
      </c>
      <c r="O32" s="2354">
        <f t="shared" si="158"/>
        <v>1.47E-2</v>
      </c>
      <c r="P32" s="2354">
        <f t="shared" si="158"/>
        <v>6.5000000000000006E-3</v>
      </c>
      <c r="Q32" s="2354">
        <f t="shared" si="158"/>
        <v>7.1999999999999998E-3</v>
      </c>
      <c r="R32" s="2381"/>
      <c r="S32" s="2385"/>
      <c r="T32" s="2354"/>
      <c r="U32" s="2354"/>
      <c r="V32" s="2354"/>
      <c r="X32" s="2353">
        <f>ROUND(SUMPRODUCT(PRODUCT(1+N32:N$33)),4)</f>
        <v>1.0325</v>
      </c>
      <c r="Y32" s="2353">
        <f>ROUND(SUMPRODUCT(PRODUCT(1+O32:O$33)),4)</f>
        <v>1.0353000000000001</v>
      </c>
      <c r="Z32" s="2353">
        <f t="shared" ref="Z32:Z33" si="168">Y32</f>
        <v>1.0353000000000001</v>
      </c>
      <c r="AA32" s="2353">
        <f>ROUND(SUMPRODUCT(PRODUCT(1+P32:P$33)),4)</f>
        <v>1.0326</v>
      </c>
      <c r="AB32" s="2353">
        <f>ROUND(SUMPRODUCT(PRODUCT(1+Q32:Q$33)),4)</f>
        <v>1.0225</v>
      </c>
      <c r="AD32" s="2354">
        <f>ROUND(AVERAGE(I32:I$34)/100,4)</f>
        <v>2.07E-2</v>
      </c>
      <c r="AE32" s="2354">
        <f>ROUND(AVERAGE(J32:J$34)/100,4)</f>
        <v>1.95E-2</v>
      </c>
      <c r="AF32" s="2354">
        <f t="shared" si="159"/>
        <v>1.95E-2</v>
      </c>
      <c r="AG32" s="2354">
        <f>ROUND(AVERAGE(K32:K$34)/100,4)</f>
        <v>2.1700000000000001E-2</v>
      </c>
      <c r="AH32" s="2354">
        <f>ROUND(AVERAGE(L32:L$34)/100,4)</f>
        <v>1.2E-2</v>
      </c>
    </row>
    <row r="33" spans="1:34" ht="13.5" thickBot="1">
      <c r="A33" s="2367" t="s">
        <v>95</v>
      </c>
      <c r="B33" s="2384">
        <f t="shared" si="166"/>
        <v>314.72141172386546</v>
      </c>
      <c r="C33" s="2384">
        <f t="shared" si="166"/>
        <v>263.03901319069001</v>
      </c>
      <c r="D33" s="2384">
        <f t="shared" si="161"/>
        <v>263.03901319069001</v>
      </c>
      <c r="E33" s="2384">
        <f t="shared" si="167"/>
        <v>433.65745506782821</v>
      </c>
      <c r="F33" s="2384">
        <f t="shared" si="167"/>
        <v>233.23005080045735</v>
      </c>
      <c r="G33" s="4926"/>
      <c r="H33" s="2394">
        <v>2</v>
      </c>
      <c r="I33" s="2394">
        <v>2.4</v>
      </c>
      <c r="J33" s="2394">
        <v>2.0299999999999998</v>
      </c>
      <c r="K33" s="2394">
        <v>2.59</v>
      </c>
      <c r="L33" s="2395">
        <v>1.52</v>
      </c>
      <c r="N33" s="2385">
        <f t="shared" si="163"/>
        <v>2.4E-2</v>
      </c>
      <c r="O33" s="2354">
        <f t="shared" si="158"/>
        <v>2.0299999999999999E-2</v>
      </c>
      <c r="P33" s="2354">
        <f t="shared" si="158"/>
        <v>2.5899999999999999E-2</v>
      </c>
      <c r="Q33" s="2354">
        <f t="shared" si="158"/>
        <v>1.52E-2</v>
      </c>
      <c r="R33" s="2381"/>
      <c r="S33" s="2385"/>
      <c r="T33" s="2354"/>
      <c r="U33" s="2354"/>
      <c r="V33" s="2354"/>
      <c r="X33" s="2353">
        <f>1+N33</f>
        <v>1.024</v>
      </c>
      <c r="Y33" s="2353">
        <f>1+O33</f>
        <v>1.0203</v>
      </c>
      <c r="Z33" s="2353">
        <f t="shared" si="168"/>
        <v>1.0203</v>
      </c>
      <c r="AA33" s="2353">
        <f>1+P33</f>
        <v>1.0259</v>
      </c>
      <c r="AB33" s="2353">
        <f>1+Q33</f>
        <v>1.0152000000000001</v>
      </c>
      <c r="AD33" s="2354">
        <f>ROUND(AVERAGE(I33:I$34)/100,4)</f>
        <v>2.69E-2</v>
      </c>
      <c r="AE33" s="2354">
        <f>ROUND(AVERAGE(J33:J$34)/100,4)</f>
        <v>2.1899999999999999E-2</v>
      </c>
      <c r="AF33" s="2354">
        <f t="shared" ref="AF33" si="169">AE33</f>
        <v>2.1899999999999999E-2</v>
      </c>
      <c r="AG33" s="2354">
        <f>ROUND(AVERAGE(K33:K$34)/100,4)</f>
        <v>2.9399999999999999E-2</v>
      </c>
      <c r="AH33" s="2354">
        <f>ROUND(AVERAGE(L33:L$34)/100,4)</f>
        <v>1.44E-2</v>
      </c>
    </row>
    <row r="34" spans="1:34" s="2407" customFormat="1" ht="13.5" thickBot="1">
      <c r="A34" s="2403" t="s">
        <v>94</v>
      </c>
      <c r="B34" s="2404">
        <f t="shared" si="166"/>
        <v>307.34512863658733</v>
      </c>
      <c r="C34" s="2404">
        <f t="shared" si="166"/>
        <v>257.80556031626975</v>
      </c>
      <c r="D34" s="2404">
        <f t="shared" si="161"/>
        <v>257.80556031626975</v>
      </c>
      <c r="E34" s="2404">
        <f t="shared" si="167"/>
        <v>422.70928459677179</v>
      </c>
      <c r="F34" s="2404">
        <f t="shared" si="167"/>
        <v>229.73803270336617</v>
      </c>
      <c r="G34" s="4927"/>
      <c r="H34" s="2405">
        <v>1</v>
      </c>
      <c r="I34" s="2405">
        <v>2.97</v>
      </c>
      <c r="J34" s="2405">
        <v>2.34</v>
      </c>
      <c r="K34" s="2405">
        <v>3.28</v>
      </c>
      <c r="L34" s="2406">
        <v>1.36</v>
      </c>
      <c r="N34" s="2408">
        <f t="shared" si="163"/>
        <v>2.9700000000000001E-2</v>
      </c>
      <c r="O34" s="2409">
        <f t="shared" si="158"/>
        <v>2.3399999999999997E-2</v>
      </c>
      <c r="P34" s="2409">
        <f t="shared" si="158"/>
        <v>3.2799999999999996E-2</v>
      </c>
      <c r="Q34" s="2409">
        <f t="shared" si="158"/>
        <v>1.3600000000000001E-2</v>
      </c>
      <c r="R34" s="2410"/>
      <c r="S34" s="2411">
        <f>B34/B35-1</f>
        <v>2.7910129219355539E-2</v>
      </c>
      <c r="T34" s="2412">
        <f>C34/C35-1</f>
        <v>2.3037937762975247E-2</v>
      </c>
      <c r="U34" s="2412">
        <f>E34/E35-1</f>
        <v>3.3519033243940788E-2</v>
      </c>
      <c r="V34" s="2412">
        <f>F34/F35-1</f>
        <v>1.2061818076502862E-2</v>
      </c>
      <c r="W34" s="2413" t="s">
        <v>1205</v>
      </c>
      <c r="X34" s="2414">
        <v>1</v>
      </c>
      <c r="Y34" s="2414">
        <v>1</v>
      </c>
      <c r="Z34" s="2414">
        <v>1</v>
      </c>
      <c r="AA34" s="2414">
        <v>1</v>
      </c>
      <c r="AB34" s="2414">
        <v>1</v>
      </c>
      <c r="AD34" s="2409">
        <f>I34/100</f>
        <v>2.9700000000000001E-2</v>
      </c>
      <c r="AE34" s="2409">
        <f>J34/100</f>
        <v>2.3399999999999997E-2</v>
      </c>
      <c r="AF34" s="2409">
        <f>AE34</f>
        <v>2.3399999999999997E-2</v>
      </c>
      <c r="AG34" s="2409">
        <f>K34/100</f>
        <v>3.2799999999999996E-2</v>
      </c>
      <c r="AH34" s="2409">
        <f>L34/100</f>
        <v>1.3600000000000001E-2</v>
      </c>
    </row>
    <row r="35" spans="1:34" ht="13.5" thickBot="1">
      <c r="A35" s="2367" t="s">
        <v>1038</v>
      </c>
      <c r="B35" s="2377">
        <v>299</v>
      </c>
      <c r="C35" s="2377">
        <v>252</v>
      </c>
      <c r="D35" s="2377">
        <f t="shared" si="161"/>
        <v>252</v>
      </c>
      <c r="E35" s="2377">
        <v>409</v>
      </c>
      <c r="F35" s="2378">
        <v>227</v>
      </c>
      <c r="G35" s="4930">
        <v>2013</v>
      </c>
      <c r="H35" s="2415">
        <v>4</v>
      </c>
      <c r="I35" s="2415">
        <v>1.83</v>
      </c>
      <c r="J35" s="2415">
        <v>1.68</v>
      </c>
      <c r="K35" s="2415">
        <v>1.97</v>
      </c>
      <c r="L35" s="2416">
        <v>0.87</v>
      </c>
      <c r="N35" s="2379">
        <f t="shared" si="163"/>
        <v>1.83E-2</v>
      </c>
      <c r="O35" s="2380">
        <f t="shared" si="158"/>
        <v>1.6799999999999999E-2</v>
      </c>
      <c r="P35" s="2380">
        <f t="shared" si="158"/>
        <v>1.9699999999999999E-2</v>
      </c>
      <c r="Q35" s="2380">
        <f t="shared" si="158"/>
        <v>8.6999999999999994E-3</v>
      </c>
      <c r="R35" s="2381"/>
      <c r="S35" s="2382"/>
      <c r="T35" s="2383"/>
      <c r="U35" s="2383"/>
      <c r="V35" s="2383"/>
      <c r="X35" s="2383"/>
      <c r="Y35" s="2383"/>
      <c r="Z35" s="2383"/>
    </row>
    <row r="36" spans="1:34">
      <c r="A36" s="2367" t="s">
        <v>1039</v>
      </c>
      <c r="B36" s="2384">
        <f t="shared" ref="B36:C38" si="170">B35/(1+N35)</f>
        <v>293.62663262299913</v>
      </c>
      <c r="C36" s="2384">
        <f t="shared" si="170"/>
        <v>247.83634933123525</v>
      </c>
      <c r="D36" s="2384">
        <f t="shared" si="161"/>
        <v>247.83634933123525</v>
      </c>
      <c r="E36" s="2384">
        <f t="shared" ref="E36:F38" si="171">E35/(1+P35)</f>
        <v>401.09836226341076</v>
      </c>
      <c r="F36" s="2384">
        <f t="shared" si="171"/>
        <v>225.04213343908003</v>
      </c>
      <c r="G36" s="4931"/>
      <c r="H36" s="2397">
        <v>3</v>
      </c>
      <c r="I36" s="2397">
        <v>1.86</v>
      </c>
      <c r="J36" s="2397">
        <v>1.72</v>
      </c>
      <c r="K36" s="2397">
        <v>1.98</v>
      </c>
      <c r="L36" s="2398">
        <v>0.88</v>
      </c>
      <c r="N36" s="2385">
        <f t="shared" si="163"/>
        <v>1.8600000000000002E-2</v>
      </c>
      <c r="O36" s="2391">
        <f t="shared" si="158"/>
        <v>1.72E-2</v>
      </c>
      <c r="P36" s="2391">
        <f t="shared" si="158"/>
        <v>1.9799999999999998E-2</v>
      </c>
      <c r="Q36" s="2391">
        <f t="shared" si="158"/>
        <v>8.8000000000000005E-3</v>
      </c>
      <c r="R36" s="2381"/>
      <c r="S36" s="2385"/>
      <c r="T36" s="2354"/>
      <c r="U36" s="2354"/>
      <c r="V36" s="2354"/>
    </row>
    <row r="37" spans="1:34">
      <c r="A37" s="2367" t="s">
        <v>1040</v>
      </c>
      <c r="B37" s="2384">
        <f t="shared" si="170"/>
        <v>288.2649053828776</v>
      </c>
      <c r="C37" s="2384">
        <f t="shared" si="170"/>
        <v>243.64564425013293</v>
      </c>
      <c r="D37" s="2384">
        <f t="shared" si="161"/>
        <v>243.64564425013293</v>
      </c>
      <c r="E37" s="2384">
        <f t="shared" si="171"/>
        <v>393.31080825986544</v>
      </c>
      <c r="F37" s="2384">
        <f t="shared" si="171"/>
        <v>223.07903790551154</v>
      </c>
      <c r="G37" s="4931"/>
      <c r="H37" s="2387">
        <v>2</v>
      </c>
      <c r="I37" s="2387">
        <v>2.04</v>
      </c>
      <c r="J37" s="2387">
        <v>2.33</v>
      </c>
      <c r="K37" s="2387">
        <v>2.0699999999999998</v>
      </c>
      <c r="L37" s="2388">
        <v>0.69</v>
      </c>
      <c r="N37" s="2385">
        <f t="shared" si="163"/>
        <v>2.0400000000000001E-2</v>
      </c>
      <c r="O37" s="2391">
        <f t="shared" si="158"/>
        <v>2.3300000000000001E-2</v>
      </c>
      <c r="P37" s="2391">
        <f t="shared" si="158"/>
        <v>2.07E-2</v>
      </c>
      <c r="Q37" s="2391">
        <f t="shared" si="158"/>
        <v>6.8999999999999999E-3</v>
      </c>
      <c r="R37" s="2381"/>
      <c r="S37" s="2385"/>
      <c r="T37" s="2354"/>
      <c r="U37" s="2354"/>
      <c r="V37" s="2354"/>
      <c r="X37" s="2417"/>
      <c r="Y37" s="2418"/>
    </row>
    <row r="38" spans="1:34">
      <c r="A38" s="2367" t="s">
        <v>1041</v>
      </c>
      <c r="B38" s="2384">
        <f t="shared" si="170"/>
        <v>282.50186729015837</v>
      </c>
      <c r="C38" s="2384">
        <f t="shared" si="170"/>
        <v>238.09796174155468</v>
      </c>
      <c r="D38" s="2384">
        <f t="shared" si="161"/>
        <v>238.09796174155468</v>
      </c>
      <c r="E38" s="2384">
        <f t="shared" si="171"/>
        <v>385.33438646014054</v>
      </c>
      <c r="F38" s="2384">
        <f t="shared" si="171"/>
        <v>221.55034055567739</v>
      </c>
      <c r="G38" s="4932"/>
      <c r="H38" s="2369">
        <v>1</v>
      </c>
      <c r="I38" s="2369">
        <v>1.67</v>
      </c>
      <c r="J38" s="2369">
        <v>1.31</v>
      </c>
      <c r="K38" s="2369">
        <v>1.85</v>
      </c>
      <c r="L38" s="2370">
        <v>0.96</v>
      </c>
      <c r="N38" s="2389">
        <f t="shared" si="163"/>
        <v>1.67E-2</v>
      </c>
      <c r="O38" s="2390">
        <f t="shared" si="163"/>
        <v>1.3100000000000001E-2</v>
      </c>
      <c r="P38" s="2390">
        <f t="shared" si="163"/>
        <v>1.8500000000000003E-2</v>
      </c>
      <c r="Q38" s="2390">
        <f t="shared" si="163"/>
        <v>9.5999999999999992E-3</v>
      </c>
      <c r="R38" s="2381"/>
      <c r="S38" s="2389">
        <f>B38/B39-1</f>
        <v>1.6193767230785472E-2</v>
      </c>
      <c r="T38" s="2390">
        <f>C38/C39-1</f>
        <v>1.7512657015190891E-2</v>
      </c>
      <c r="U38" s="2390">
        <f>E38/E39-1</f>
        <v>1.6713420739157048E-2</v>
      </c>
      <c r="V38" s="2390">
        <f>F38/F39-1</f>
        <v>7.0470025258062563E-3</v>
      </c>
      <c r="X38" s="2419"/>
      <c r="Y38" s="2354"/>
      <c r="Z38" s="2354"/>
    </row>
    <row r="39" spans="1:34" ht="13.5" thickBot="1">
      <c r="A39" s="2367" t="s">
        <v>1042</v>
      </c>
      <c r="B39" s="2420">
        <v>278</v>
      </c>
      <c r="C39" s="2420">
        <v>234</v>
      </c>
      <c r="D39" s="2420">
        <f t="shared" si="161"/>
        <v>234</v>
      </c>
      <c r="E39" s="2420">
        <v>379</v>
      </c>
      <c r="F39" s="2421">
        <v>220</v>
      </c>
      <c r="G39" s="4925">
        <v>2012</v>
      </c>
      <c r="H39" s="2394">
        <v>4</v>
      </c>
      <c r="I39" s="2394">
        <v>0.91</v>
      </c>
      <c r="J39" s="2394">
        <v>0.68</v>
      </c>
      <c r="K39" s="2394">
        <v>0.98</v>
      </c>
      <c r="L39" s="2395">
        <v>0.9</v>
      </c>
      <c r="N39" s="2385">
        <f t="shared" si="163"/>
        <v>9.1000000000000004E-3</v>
      </c>
      <c r="O39" s="2354">
        <f t="shared" si="163"/>
        <v>6.8000000000000005E-3</v>
      </c>
      <c r="P39" s="2354">
        <f t="shared" si="163"/>
        <v>9.7999999999999997E-3</v>
      </c>
      <c r="Q39" s="2354">
        <f t="shared" si="163"/>
        <v>9.0000000000000011E-3</v>
      </c>
      <c r="R39" s="2381"/>
      <c r="S39" s="2382"/>
      <c r="T39" s="2383"/>
      <c r="U39" s="2383"/>
      <c r="V39" s="2383"/>
      <c r="X39" s="2383"/>
      <c r="Y39" s="2383"/>
      <c r="Z39" s="2383"/>
    </row>
    <row r="40" spans="1:34">
      <c r="A40" s="2367" t="s">
        <v>1043</v>
      </c>
      <c r="B40" s="2384">
        <f>B39/(1+N39)</f>
        <v>275.49301357645425</v>
      </c>
      <c r="C40" s="2384">
        <f>C39/(1+O39)</f>
        <v>232.41954707985698</v>
      </c>
      <c r="D40" s="2384">
        <f t="shared" si="161"/>
        <v>232.41954707985698</v>
      </c>
      <c r="E40" s="2384">
        <f t="shared" ref="E40:F42" si="172">E39/(1+P39)</f>
        <v>375.32184591008121</v>
      </c>
      <c r="F40" s="2384">
        <f t="shared" si="172"/>
        <v>218.03766105054513</v>
      </c>
      <c r="G40" s="4926"/>
      <c r="H40" s="2397">
        <v>3</v>
      </c>
      <c r="I40" s="2397">
        <v>0.09</v>
      </c>
      <c r="J40" s="2397">
        <v>0.28999999999999998</v>
      </c>
      <c r="K40" s="2397">
        <v>-0.01</v>
      </c>
      <c r="L40" s="2398">
        <v>0.57999999999999996</v>
      </c>
      <c r="N40" s="2385">
        <f t="shared" si="163"/>
        <v>8.9999999999999998E-4</v>
      </c>
      <c r="O40" s="2354">
        <f t="shared" si="163"/>
        <v>2.8999999999999998E-3</v>
      </c>
      <c r="P40" s="2354">
        <f t="shared" si="163"/>
        <v>-1E-4</v>
      </c>
      <c r="Q40" s="2354">
        <f t="shared" si="163"/>
        <v>5.7999999999999996E-3</v>
      </c>
      <c r="R40" s="2381"/>
      <c r="S40" s="2385"/>
      <c r="T40" s="2354"/>
      <c r="U40" s="2354"/>
      <c r="V40" s="2354"/>
    </row>
    <row r="41" spans="1:34">
      <c r="A41" s="2367" t="s">
        <v>1044</v>
      </c>
      <c r="B41" s="2384">
        <f>B40/(1+N40)</f>
        <v>275.24529281292263</v>
      </c>
      <c r="C41" s="2384">
        <f>C40/(1+O40)</f>
        <v>231.74747938962707</v>
      </c>
      <c r="D41" s="2384">
        <f t="shared" si="161"/>
        <v>231.74747938962707</v>
      </c>
      <c r="E41" s="2384">
        <f t="shared" si="172"/>
        <v>375.35938184826603</v>
      </c>
      <c r="F41" s="2384">
        <f t="shared" si="172"/>
        <v>216.78033510692495</v>
      </c>
      <c r="G41" s="4926"/>
      <c r="H41" s="2387">
        <v>2</v>
      </c>
      <c r="I41" s="2387">
        <v>0.02</v>
      </c>
      <c r="J41" s="2387">
        <v>0.12</v>
      </c>
      <c r="K41" s="2387">
        <v>-0.08</v>
      </c>
      <c r="L41" s="2388">
        <v>1.24</v>
      </c>
      <c r="N41" s="2385">
        <f t="shared" si="163"/>
        <v>2.0000000000000001E-4</v>
      </c>
      <c r="O41" s="2354">
        <f t="shared" si="163"/>
        <v>1.1999999999999999E-3</v>
      </c>
      <c r="P41" s="2354">
        <f t="shared" si="163"/>
        <v>-8.0000000000000004E-4</v>
      </c>
      <c r="Q41" s="2354">
        <f t="shared" si="163"/>
        <v>1.24E-2</v>
      </c>
      <c r="R41" s="2381"/>
      <c r="S41" s="2385"/>
      <c r="T41" s="2354"/>
      <c r="U41" s="2354"/>
      <c r="V41" s="2354"/>
    </row>
    <row r="42" spans="1:34" ht="13.5" thickBot="1">
      <c r="A42" s="2367" t="s">
        <v>1045</v>
      </c>
      <c r="B42" s="2384">
        <f>B41/(1+N41)</f>
        <v>275.19025476197027</v>
      </c>
      <c r="C42" s="2422">
        <v>232</v>
      </c>
      <c r="D42" s="2422">
        <f t="shared" si="161"/>
        <v>232</v>
      </c>
      <c r="E42" s="2384">
        <f t="shared" si="172"/>
        <v>375.65990977608692</v>
      </c>
      <c r="F42" s="2384">
        <f t="shared" si="172"/>
        <v>214.12518283971252</v>
      </c>
      <c r="G42" s="4927"/>
      <c r="H42" s="2369">
        <v>1</v>
      </c>
      <c r="I42" s="2369">
        <v>0.02</v>
      </c>
      <c r="J42" s="2369">
        <v>0.13</v>
      </c>
      <c r="K42" s="2369">
        <v>-0.04</v>
      </c>
      <c r="L42" s="2370">
        <v>0.46</v>
      </c>
      <c r="N42" s="2385">
        <f t="shared" si="163"/>
        <v>2.0000000000000001E-4</v>
      </c>
      <c r="O42" s="2354">
        <f t="shared" si="163"/>
        <v>1.2999999999999999E-3</v>
      </c>
      <c r="P42" s="2354">
        <f t="shared" si="163"/>
        <v>-4.0000000000000002E-4</v>
      </c>
      <c r="Q42" s="2354">
        <f t="shared" si="163"/>
        <v>4.5999999999999999E-3</v>
      </c>
      <c r="R42" s="2381"/>
      <c r="S42" s="2389">
        <f>B42/B43-1</f>
        <v>6.9183549807361189E-4</v>
      </c>
      <c r="T42" s="2390">
        <f>C42/C43-1</f>
        <v>0</v>
      </c>
      <c r="U42" s="2390">
        <f>E42/E43-1</f>
        <v>-9.0449527636460303E-4</v>
      </c>
      <c r="V42" s="2390">
        <f>F42/F43-1</f>
        <v>5.2825485432512753E-3</v>
      </c>
      <c r="X42" s="2354"/>
      <c r="Y42" s="2354"/>
      <c r="Z42" s="2354"/>
    </row>
    <row r="43" spans="1:34" ht="13.5" thickBot="1">
      <c r="A43" s="2367" t="s">
        <v>1046</v>
      </c>
      <c r="B43" s="2377">
        <v>275</v>
      </c>
      <c r="C43" s="2377">
        <v>232</v>
      </c>
      <c r="D43" s="2377">
        <f t="shared" si="161"/>
        <v>232</v>
      </c>
      <c r="E43" s="2377">
        <v>376</v>
      </c>
      <c r="F43" s="2378">
        <v>213</v>
      </c>
      <c r="G43" s="4925">
        <v>2011</v>
      </c>
      <c r="H43" s="2394">
        <v>4</v>
      </c>
      <c r="I43" s="2394">
        <v>-0.2</v>
      </c>
      <c r="J43" s="2394">
        <v>0.04</v>
      </c>
      <c r="K43" s="2394">
        <v>-0.34</v>
      </c>
      <c r="L43" s="2395">
        <v>0.46</v>
      </c>
      <c r="N43" s="2379">
        <f t="shared" si="163"/>
        <v>-2E-3</v>
      </c>
      <c r="O43" s="2380">
        <f t="shared" si="163"/>
        <v>4.0000000000000002E-4</v>
      </c>
      <c r="P43" s="2380">
        <f t="shared" si="163"/>
        <v>-3.4000000000000002E-3</v>
      </c>
      <c r="Q43" s="2380">
        <f t="shared" si="163"/>
        <v>4.5999999999999999E-3</v>
      </c>
      <c r="R43" s="2381"/>
      <c r="S43" s="2382"/>
      <c r="T43" s="2383"/>
      <c r="U43" s="2383"/>
      <c r="V43" s="2383"/>
      <c r="X43" s="2383"/>
      <c r="Y43" s="2383"/>
      <c r="Z43" s="2383"/>
    </row>
    <row r="44" spans="1:34">
      <c r="A44" s="2367" t="s">
        <v>1047</v>
      </c>
      <c r="B44" s="2384">
        <f t="shared" ref="B44:C46" si="173">B43/(1+N43)</f>
        <v>275.55110220440883</v>
      </c>
      <c r="C44" s="2384">
        <f t="shared" si="173"/>
        <v>231.90723710515795</v>
      </c>
      <c r="D44" s="2384">
        <f t="shared" si="161"/>
        <v>231.90723710515795</v>
      </c>
      <c r="E44" s="2384">
        <f t="shared" ref="E44:F46" si="174">E43/(1+P43)</f>
        <v>377.28276138872161</v>
      </c>
      <c r="F44" s="2384">
        <f t="shared" si="174"/>
        <v>212.02468644236512</v>
      </c>
      <c r="G44" s="4926">
        <v>2011</v>
      </c>
      <c r="H44" s="2397">
        <v>3</v>
      </c>
      <c r="I44" s="2397">
        <v>0.13</v>
      </c>
      <c r="J44" s="2397">
        <v>0.75</v>
      </c>
      <c r="K44" s="2397">
        <v>-0.08</v>
      </c>
      <c r="L44" s="2398">
        <v>0.53</v>
      </c>
      <c r="N44" s="2385">
        <f t="shared" si="163"/>
        <v>1.2999999999999999E-3</v>
      </c>
      <c r="O44" s="2391">
        <f t="shared" si="163"/>
        <v>7.4999999999999997E-3</v>
      </c>
      <c r="P44" s="2391">
        <f t="shared" si="163"/>
        <v>-8.0000000000000004E-4</v>
      </c>
      <c r="Q44" s="2391">
        <f t="shared" si="163"/>
        <v>5.3E-3</v>
      </c>
      <c r="R44" s="2381"/>
      <c r="S44" s="2385"/>
      <c r="T44" s="2354"/>
      <c r="U44" s="2354"/>
      <c r="V44" s="2354"/>
    </row>
    <row r="45" spans="1:34">
      <c r="A45" s="2367" t="s">
        <v>1048</v>
      </c>
      <c r="B45" s="2384">
        <f t="shared" si="173"/>
        <v>275.19335084830601</v>
      </c>
      <c r="C45" s="2384">
        <f t="shared" si="173"/>
        <v>230.18088050139744</v>
      </c>
      <c r="D45" s="2384">
        <f t="shared" si="161"/>
        <v>230.18088050139744</v>
      </c>
      <c r="E45" s="2384">
        <f t="shared" si="174"/>
        <v>377.58482925212331</v>
      </c>
      <c r="F45" s="2384">
        <f t="shared" si="174"/>
        <v>210.90687997847917</v>
      </c>
      <c r="G45" s="4926">
        <v>2011</v>
      </c>
      <c r="H45" s="2387">
        <v>2</v>
      </c>
      <c r="I45" s="2387">
        <v>-0.4</v>
      </c>
      <c r="J45" s="2387">
        <v>0.17</v>
      </c>
      <c r="K45" s="2387">
        <v>-0.57999999999999996</v>
      </c>
      <c r="L45" s="2388">
        <v>-0.2</v>
      </c>
      <c r="N45" s="2385">
        <f t="shared" si="163"/>
        <v>-4.0000000000000001E-3</v>
      </c>
      <c r="O45" s="2391">
        <f t="shared" si="163"/>
        <v>1.7000000000000001E-3</v>
      </c>
      <c r="P45" s="2391">
        <f t="shared" si="163"/>
        <v>-5.7999999999999996E-3</v>
      </c>
      <c r="Q45" s="2391">
        <f t="shared" si="163"/>
        <v>-2E-3</v>
      </c>
      <c r="R45" s="2381"/>
      <c r="S45" s="2385"/>
      <c r="T45" s="2354"/>
      <c r="U45" s="2354"/>
      <c r="V45" s="2354"/>
    </row>
    <row r="46" spans="1:34" ht="13.5" thickBot="1">
      <c r="A46" s="2367" t="s">
        <v>1049</v>
      </c>
      <c r="B46" s="2384">
        <f t="shared" si="173"/>
        <v>276.29854502841971</v>
      </c>
      <c r="C46" s="2384">
        <f t="shared" si="173"/>
        <v>229.79023709833027</v>
      </c>
      <c r="D46" s="2384">
        <f t="shared" si="161"/>
        <v>229.79023709833027</v>
      </c>
      <c r="E46" s="2384">
        <f t="shared" si="174"/>
        <v>379.78759731655936</v>
      </c>
      <c r="F46" s="2384">
        <f t="shared" si="174"/>
        <v>211.32953905659235</v>
      </c>
      <c r="G46" s="4927">
        <v>2011</v>
      </c>
      <c r="H46" s="2369">
        <v>1</v>
      </c>
      <c r="I46" s="2369">
        <v>2.65</v>
      </c>
      <c r="J46" s="2369">
        <v>3.76</v>
      </c>
      <c r="K46" s="2369">
        <v>1.89</v>
      </c>
      <c r="L46" s="2370">
        <v>7.95</v>
      </c>
      <c r="N46" s="2389">
        <f t="shared" si="163"/>
        <v>2.6499999999999999E-2</v>
      </c>
      <c r="O46" s="2390">
        <f t="shared" si="163"/>
        <v>3.7599999999999995E-2</v>
      </c>
      <c r="P46" s="2390">
        <f t="shared" si="163"/>
        <v>1.89E-2</v>
      </c>
      <c r="Q46" s="2390">
        <f t="shared" si="163"/>
        <v>7.9500000000000001E-2</v>
      </c>
      <c r="R46" s="2381"/>
      <c r="S46" s="2389">
        <f>B46/B47-1</f>
        <v>2.713213765211786E-2</v>
      </c>
      <c r="T46" s="2390">
        <f>C46/C47-1</f>
        <v>3.9774828499231862E-2</v>
      </c>
      <c r="U46" s="2390">
        <f>E46/E47-1</f>
        <v>1.8197311840641772E-2</v>
      </c>
      <c r="V46" s="2390">
        <f>F46/F47-1</f>
        <v>7.8211933962205826E-2</v>
      </c>
      <c r="X46" s="2354"/>
      <c r="Y46" s="2354"/>
      <c r="Z46" s="2354"/>
    </row>
    <row r="47" spans="1:34" ht="13.5" thickBot="1">
      <c r="A47" s="2367" t="s">
        <v>1050</v>
      </c>
      <c r="B47" s="2377">
        <v>269</v>
      </c>
      <c r="C47" s="2377">
        <v>221</v>
      </c>
      <c r="D47" s="2377">
        <f t="shared" si="161"/>
        <v>221</v>
      </c>
      <c r="E47" s="2377">
        <v>373</v>
      </c>
      <c r="F47" s="2378">
        <v>196</v>
      </c>
      <c r="G47" s="4925">
        <v>2010</v>
      </c>
      <c r="H47" s="2394">
        <v>4</v>
      </c>
      <c r="I47" s="2394">
        <v>5.72</v>
      </c>
      <c r="J47" s="2394">
        <v>6.57</v>
      </c>
      <c r="K47" s="2394">
        <v>5.72</v>
      </c>
      <c r="L47" s="2395">
        <v>2.72</v>
      </c>
      <c r="N47" s="2385">
        <f t="shared" si="163"/>
        <v>5.7200000000000001E-2</v>
      </c>
      <c r="O47" s="2354">
        <f t="shared" si="163"/>
        <v>6.5700000000000008E-2</v>
      </c>
      <c r="P47" s="2354">
        <f t="shared" si="163"/>
        <v>5.7200000000000001E-2</v>
      </c>
      <c r="Q47" s="2354">
        <f t="shared" si="163"/>
        <v>2.7200000000000002E-2</v>
      </c>
      <c r="R47" s="2381"/>
      <c r="S47" s="2382"/>
      <c r="T47" s="2383"/>
      <c r="U47" s="2383"/>
      <c r="V47" s="2383"/>
      <c r="X47" s="2383"/>
      <c r="Y47" s="2383"/>
      <c r="Z47" s="2383"/>
    </row>
    <row r="48" spans="1:34">
      <c r="A48" s="2367" t="s">
        <v>1051</v>
      </c>
      <c r="B48" s="2384">
        <f t="shared" ref="B48:C50" si="175">B47/(1+N47)</f>
        <v>254.44570563753314</v>
      </c>
      <c r="C48" s="2384">
        <f t="shared" si="175"/>
        <v>207.37543398705074</v>
      </c>
      <c r="D48" s="2384">
        <f t="shared" si="161"/>
        <v>207.37543398705074</v>
      </c>
      <c r="E48" s="2384">
        <f t="shared" ref="E48:F50" si="176">E47/(1+P47)</f>
        <v>352.81876655315932</v>
      </c>
      <c r="F48" s="2384">
        <f t="shared" si="176"/>
        <v>190.809968847352</v>
      </c>
      <c r="G48" s="4926">
        <v>2010</v>
      </c>
      <c r="H48" s="2397">
        <v>3</v>
      </c>
      <c r="I48" s="2397">
        <v>4.7300000000000004</v>
      </c>
      <c r="J48" s="2397">
        <v>3.9</v>
      </c>
      <c r="K48" s="2397">
        <v>5.03</v>
      </c>
      <c r="L48" s="2398">
        <v>4.21</v>
      </c>
      <c r="N48" s="2385">
        <f t="shared" si="163"/>
        <v>4.7300000000000002E-2</v>
      </c>
      <c r="O48" s="2354">
        <f t="shared" si="163"/>
        <v>3.9E-2</v>
      </c>
      <c r="P48" s="2354">
        <f t="shared" si="163"/>
        <v>5.0300000000000004E-2</v>
      </c>
      <c r="Q48" s="2354">
        <f t="shared" si="163"/>
        <v>4.2099999999999999E-2</v>
      </c>
      <c r="R48" s="2381"/>
      <c r="S48" s="2385"/>
      <c r="T48" s="2354"/>
      <c r="U48" s="2354"/>
      <c r="V48" s="2354"/>
    </row>
    <row r="49" spans="1:26">
      <c r="A49" s="2367" t="s">
        <v>1052</v>
      </c>
      <c r="B49" s="2384">
        <f t="shared" si="175"/>
        <v>242.95398227588385</v>
      </c>
      <c r="C49" s="2384">
        <f t="shared" si="175"/>
        <v>199.59137053614126</v>
      </c>
      <c r="D49" s="2384">
        <f t="shared" si="161"/>
        <v>199.59137053614126</v>
      </c>
      <c r="E49" s="2384">
        <f t="shared" si="176"/>
        <v>335.92189522342125</v>
      </c>
      <c r="F49" s="2384">
        <f t="shared" si="176"/>
        <v>183.10139991109489</v>
      </c>
      <c r="G49" s="4926">
        <v>2010</v>
      </c>
      <c r="H49" s="2387">
        <v>2</v>
      </c>
      <c r="I49" s="2387">
        <v>4.6900000000000004</v>
      </c>
      <c r="J49" s="2387">
        <v>3.55</v>
      </c>
      <c r="K49" s="2387">
        <v>5.07</v>
      </c>
      <c r="L49" s="2388">
        <v>4.2300000000000004</v>
      </c>
      <c r="N49" s="2385">
        <f t="shared" si="163"/>
        <v>4.6900000000000004E-2</v>
      </c>
      <c r="O49" s="2354">
        <f t="shared" si="163"/>
        <v>3.5499999999999997E-2</v>
      </c>
      <c r="P49" s="2354">
        <f t="shared" si="163"/>
        <v>5.0700000000000002E-2</v>
      </c>
      <c r="Q49" s="2354">
        <f t="shared" si="163"/>
        <v>4.2300000000000004E-2</v>
      </c>
      <c r="R49" s="2381"/>
      <c r="S49" s="2385"/>
      <c r="T49" s="2354"/>
      <c r="U49" s="2354"/>
      <c r="V49" s="2354"/>
    </row>
    <row r="50" spans="1:26" ht="13.5" thickBot="1">
      <c r="A50" s="2367" t="s">
        <v>1053</v>
      </c>
      <c r="B50" s="2384">
        <f t="shared" si="175"/>
        <v>232.06990378821649</v>
      </c>
      <c r="C50" s="2384">
        <f t="shared" si="175"/>
        <v>192.74878854286936</v>
      </c>
      <c r="D50" s="2384">
        <f t="shared" si="161"/>
        <v>192.74878854286936</v>
      </c>
      <c r="E50" s="2384">
        <f t="shared" si="176"/>
        <v>319.71247284992984</v>
      </c>
      <c r="F50" s="2384">
        <f t="shared" si="176"/>
        <v>175.67053622862409</v>
      </c>
      <c r="G50" s="4927">
        <v>2010</v>
      </c>
      <c r="H50" s="2369">
        <v>1</v>
      </c>
      <c r="I50" s="2369">
        <v>5.4</v>
      </c>
      <c r="J50" s="2369">
        <v>3.2</v>
      </c>
      <c r="K50" s="2369">
        <v>6.16</v>
      </c>
      <c r="L50" s="2370">
        <v>4.51</v>
      </c>
      <c r="N50" s="2385">
        <f t="shared" si="163"/>
        <v>5.4000000000000006E-2</v>
      </c>
      <c r="O50" s="2354">
        <f t="shared" si="163"/>
        <v>3.2000000000000001E-2</v>
      </c>
      <c r="P50" s="2354">
        <f t="shared" si="163"/>
        <v>6.1600000000000002E-2</v>
      </c>
      <c r="Q50" s="2354">
        <f t="shared" si="163"/>
        <v>4.5100000000000001E-2</v>
      </c>
      <c r="R50" s="2381"/>
      <c r="S50" s="2389">
        <f>B50/B51-1</f>
        <v>5.4863199037347599E-2</v>
      </c>
      <c r="T50" s="2390">
        <f>C50/C51-1</f>
        <v>3.0742184721226584E-2</v>
      </c>
      <c r="U50" s="2390">
        <f>E50/E51-1</f>
        <v>6.2167683886810154E-2</v>
      </c>
      <c r="V50" s="2390">
        <f>F50/F51-1</f>
        <v>4.5657953741810031E-2</v>
      </c>
      <c r="X50" s="2354"/>
      <c r="Y50" s="2354"/>
      <c r="Z50" s="2354"/>
    </row>
    <row r="51" spans="1:26" ht="13.5" thickBot="1">
      <c r="A51" s="2367" t="s">
        <v>1054</v>
      </c>
      <c r="B51" s="2377">
        <v>220</v>
      </c>
      <c r="C51" s="2377">
        <v>187</v>
      </c>
      <c r="D51" s="2377">
        <f t="shared" si="161"/>
        <v>187</v>
      </c>
      <c r="E51" s="2377">
        <v>301</v>
      </c>
      <c r="F51" s="2378">
        <v>168</v>
      </c>
      <c r="G51" s="4925">
        <v>2009</v>
      </c>
      <c r="H51" s="2394">
        <v>4</v>
      </c>
      <c r="I51" s="2394">
        <v>2.2999999999999998</v>
      </c>
      <c r="J51" s="2394">
        <v>1.04</v>
      </c>
      <c r="K51" s="2394">
        <v>2.84</v>
      </c>
      <c r="L51" s="2395">
        <v>0.67</v>
      </c>
      <c r="N51" s="2379">
        <f t="shared" si="163"/>
        <v>2.3E-2</v>
      </c>
      <c r="O51" s="2380">
        <f t="shared" si="163"/>
        <v>1.04E-2</v>
      </c>
      <c r="P51" s="2380">
        <f t="shared" si="163"/>
        <v>2.8399999999999998E-2</v>
      </c>
      <c r="Q51" s="2380">
        <f t="shared" si="163"/>
        <v>6.7000000000000002E-3</v>
      </c>
      <c r="R51" s="2381"/>
      <c r="S51" s="2382"/>
      <c r="T51" s="2383"/>
      <c r="U51" s="2383"/>
      <c r="V51" s="2383"/>
      <c r="X51" s="2383"/>
      <c r="Y51" s="2383"/>
      <c r="Z51" s="2383"/>
    </row>
    <row r="52" spans="1:26">
      <c r="A52" s="2367" t="s">
        <v>1055</v>
      </c>
      <c r="B52" s="2384">
        <f t="shared" ref="B52:C54" si="177">B51/(1+N51)</f>
        <v>215.05376344086022</v>
      </c>
      <c r="C52" s="2384">
        <f t="shared" si="177"/>
        <v>185.0752177355503</v>
      </c>
      <c r="D52" s="2384">
        <f t="shared" si="161"/>
        <v>185.0752177355503</v>
      </c>
      <c r="E52" s="2384">
        <f t="shared" ref="E52:F54" si="178">E51/(1+P51)</f>
        <v>292.68767016725008</v>
      </c>
      <c r="F52" s="2384">
        <f t="shared" si="178"/>
        <v>166.88189132810174</v>
      </c>
      <c r="G52" s="4926">
        <v>2009</v>
      </c>
      <c r="H52" s="2397">
        <v>3</v>
      </c>
      <c r="I52" s="2397">
        <v>2.1</v>
      </c>
      <c r="J52" s="2397">
        <v>1.86</v>
      </c>
      <c r="K52" s="2397">
        <v>2.29</v>
      </c>
      <c r="L52" s="2398">
        <v>0.85</v>
      </c>
      <c r="N52" s="2385">
        <f t="shared" si="163"/>
        <v>2.1000000000000001E-2</v>
      </c>
      <c r="O52" s="2391">
        <f t="shared" si="163"/>
        <v>1.8600000000000002E-2</v>
      </c>
      <c r="P52" s="2391">
        <f t="shared" si="163"/>
        <v>2.29E-2</v>
      </c>
      <c r="Q52" s="2391">
        <f t="shared" si="163"/>
        <v>8.5000000000000006E-3</v>
      </c>
      <c r="R52" s="2381"/>
      <c r="S52" s="2385"/>
      <c r="T52" s="2354"/>
      <c r="U52" s="2354"/>
      <c r="V52" s="2354"/>
    </row>
    <row r="53" spans="1:26">
      <c r="A53" s="2367" t="s">
        <v>1056</v>
      </c>
      <c r="B53" s="2384">
        <f t="shared" si="177"/>
        <v>210.630522469011</v>
      </c>
      <c r="C53" s="2384">
        <f t="shared" si="177"/>
        <v>181.69567812247232</v>
      </c>
      <c r="D53" s="2384">
        <f t="shared" si="161"/>
        <v>181.69567812247232</v>
      </c>
      <c r="E53" s="2384">
        <f t="shared" si="178"/>
        <v>286.13517466736738</v>
      </c>
      <c r="F53" s="2384">
        <f t="shared" si="178"/>
        <v>165.47535084591149</v>
      </c>
      <c r="G53" s="4926">
        <v>2009</v>
      </c>
      <c r="H53" s="2387">
        <v>2</v>
      </c>
      <c r="I53" s="2387">
        <v>0.86</v>
      </c>
      <c r="J53" s="2387">
        <v>-1.1299999999999999</v>
      </c>
      <c r="K53" s="2387">
        <v>1.79</v>
      </c>
      <c r="L53" s="2388">
        <v>-2.0699999999999998</v>
      </c>
      <c r="N53" s="2385">
        <f t="shared" si="163"/>
        <v>8.6E-3</v>
      </c>
      <c r="O53" s="2391">
        <f t="shared" si="163"/>
        <v>-1.1299999999999999E-2</v>
      </c>
      <c r="P53" s="2391">
        <f t="shared" si="163"/>
        <v>1.7899999999999999E-2</v>
      </c>
      <c r="Q53" s="2391">
        <f t="shared" si="163"/>
        <v>-2.07E-2</v>
      </c>
      <c r="R53" s="2381"/>
      <c r="S53" s="2385"/>
      <c r="T53" s="2354"/>
      <c r="U53" s="2354"/>
      <c r="V53" s="2354"/>
    </row>
    <row r="54" spans="1:26">
      <c r="A54" s="2367" t="s">
        <v>1057</v>
      </c>
      <c r="B54" s="2384">
        <f t="shared" si="177"/>
        <v>208.83454537875372</v>
      </c>
      <c r="C54" s="2384">
        <f t="shared" si="177"/>
        <v>183.77230517090351</v>
      </c>
      <c r="D54" s="2384">
        <f t="shared" si="161"/>
        <v>183.77230517090351</v>
      </c>
      <c r="E54" s="2384">
        <f t="shared" si="178"/>
        <v>281.10342338870947</v>
      </c>
      <c r="F54" s="2384">
        <f t="shared" si="178"/>
        <v>168.97309388942256</v>
      </c>
      <c r="G54" s="4927">
        <v>2009</v>
      </c>
      <c r="H54" s="2369">
        <v>1</v>
      </c>
      <c r="I54" s="2369">
        <v>-2.64</v>
      </c>
      <c r="J54" s="2369">
        <v>-2.5299999999999998</v>
      </c>
      <c r="K54" s="2369">
        <v>-3.02</v>
      </c>
      <c r="L54" s="2370">
        <v>1.52</v>
      </c>
      <c r="N54" s="2389">
        <f t="shared" si="163"/>
        <v>-2.64E-2</v>
      </c>
      <c r="O54" s="2390">
        <f t="shared" si="163"/>
        <v>-2.53E-2</v>
      </c>
      <c r="P54" s="2390">
        <f t="shared" si="163"/>
        <v>-3.0200000000000001E-2</v>
      </c>
      <c r="Q54" s="2390">
        <f t="shared" si="163"/>
        <v>1.52E-2</v>
      </c>
      <c r="R54" s="2381"/>
      <c r="S54" s="2389">
        <f>B54/B55-1</f>
        <v>-2.4137638417038754E-2</v>
      </c>
      <c r="T54" s="2390">
        <f>C54/C55-1</f>
        <v>-2.248773845264096E-2</v>
      </c>
      <c r="U54" s="2390">
        <f>E54/E55-1</f>
        <v>-2.7323794502735366E-2</v>
      </c>
      <c r="V54" s="2390">
        <f>F54/F55-1</f>
        <v>1.7910204153148035E-2</v>
      </c>
      <c r="X54" s="2354"/>
      <c r="Y54" s="2354"/>
      <c r="Z54" s="2354"/>
    </row>
    <row r="55" spans="1:26" ht="13.5" thickBot="1">
      <c r="A55" s="2367" t="s">
        <v>1058</v>
      </c>
      <c r="B55" s="2420">
        <v>214</v>
      </c>
      <c r="C55" s="2420">
        <v>188</v>
      </c>
      <c r="D55" s="2420">
        <f t="shared" si="161"/>
        <v>188</v>
      </c>
      <c r="E55" s="2420">
        <v>289</v>
      </c>
      <c r="F55" s="2421">
        <v>166</v>
      </c>
      <c r="G55" s="4925">
        <v>2008</v>
      </c>
      <c r="H55" s="2394">
        <v>4</v>
      </c>
      <c r="I55" s="2394">
        <v>1.73</v>
      </c>
      <c r="J55" s="2394">
        <v>0.03</v>
      </c>
      <c r="K55" s="2394">
        <v>2.59</v>
      </c>
      <c r="L55" s="2395">
        <v>-1.66</v>
      </c>
      <c r="N55" s="2385">
        <f t="shared" si="163"/>
        <v>1.7299999999999999E-2</v>
      </c>
      <c r="O55" s="2354">
        <f t="shared" si="163"/>
        <v>2.9999999999999997E-4</v>
      </c>
      <c r="P55" s="2354">
        <f t="shared" si="163"/>
        <v>2.5899999999999999E-2</v>
      </c>
      <c r="Q55" s="2354">
        <f t="shared" si="163"/>
        <v>-1.66E-2</v>
      </c>
      <c r="R55" s="2381"/>
      <c r="S55" s="2382"/>
      <c r="T55" s="2383"/>
      <c r="U55" s="2383"/>
      <c r="V55" s="2383"/>
      <c r="X55" s="2383"/>
      <c r="Y55" s="2383"/>
      <c r="Z55" s="2383"/>
    </row>
    <row r="56" spans="1:26">
      <c r="A56" s="2367" t="s">
        <v>1059</v>
      </c>
      <c r="B56" s="2384">
        <f t="shared" ref="B56:C58" si="179">B55/(1+N55)</f>
        <v>210.36075887152265</v>
      </c>
      <c r="C56" s="2384">
        <f t="shared" si="179"/>
        <v>187.94361691492554</v>
      </c>
      <c r="D56" s="2384">
        <f t="shared" si="161"/>
        <v>187.94361691492554</v>
      </c>
      <c r="E56" s="2384">
        <f t="shared" ref="E56:F58" si="180">E55/(1+P55)</f>
        <v>281.70386977288234</v>
      </c>
      <c r="F56" s="2384">
        <f t="shared" si="180"/>
        <v>168.80211511083994</v>
      </c>
      <c r="G56" s="4926">
        <v>2008</v>
      </c>
      <c r="H56" s="2397">
        <v>3</v>
      </c>
      <c r="I56" s="2397">
        <v>1.96</v>
      </c>
      <c r="J56" s="2397">
        <v>2.36</v>
      </c>
      <c r="K56" s="2397">
        <v>1.82</v>
      </c>
      <c r="L56" s="2398">
        <v>2.2200000000000002</v>
      </c>
      <c r="N56" s="2385">
        <f t="shared" si="163"/>
        <v>1.9599999999999999E-2</v>
      </c>
      <c r="O56" s="2354">
        <f t="shared" si="163"/>
        <v>2.3599999999999999E-2</v>
      </c>
      <c r="P56" s="2354">
        <f t="shared" si="163"/>
        <v>1.8200000000000001E-2</v>
      </c>
      <c r="Q56" s="2354">
        <f t="shared" si="163"/>
        <v>2.2200000000000001E-2</v>
      </c>
      <c r="R56" s="2381"/>
      <c r="S56" s="2385"/>
      <c r="T56" s="2354"/>
      <c r="U56" s="2354"/>
      <c r="V56" s="2354"/>
    </row>
    <row r="57" spans="1:26">
      <c r="A57" s="2367" t="s">
        <v>1060</v>
      </c>
      <c r="B57" s="2384">
        <f t="shared" si="179"/>
        <v>206.31694671589116</v>
      </c>
      <c r="C57" s="2384">
        <f t="shared" si="179"/>
        <v>183.61041121036101</v>
      </c>
      <c r="D57" s="2384">
        <f t="shared" si="161"/>
        <v>183.61041121036101</v>
      </c>
      <c r="E57" s="2384">
        <f t="shared" si="180"/>
        <v>276.66850301795557</v>
      </c>
      <c r="F57" s="2384">
        <f t="shared" si="180"/>
        <v>165.1360938278614</v>
      </c>
      <c r="G57" s="4926">
        <v>2008</v>
      </c>
      <c r="H57" s="2387">
        <v>2</v>
      </c>
      <c r="I57" s="2387">
        <v>4.93</v>
      </c>
      <c r="J57" s="2387">
        <v>7.38</v>
      </c>
      <c r="K57" s="2387">
        <v>3.98</v>
      </c>
      <c r="L57" s="2388">
        <v>6.86</v>
      </c>
      <c r="N57" s="2385">
        <f t="shared" si="163"/>
        <v>4.9299999999999997E-2</v>
      </c>
      <c r="O57" s="2354">
        <f t="shared" si="163"/>
        <v>7.3800000000000004E-2</v>
      </c>
      <c r="P57" s="2354">
        <f t="shared" si="163"/>
        <v>3.9800000000000002E-2</v>
      </c>
      <c r="Q57" s="2354">
        <f t="shared" si="163"/>
        <v>6.8600000000000008E-2</v>
      </c>
      <c r="R57" s="2381"/>
      <c r="S57" s="2385"/>
      <c r="T57" s="2354"/>
      <c r="U57" s="2354"/>
      <c r="V57" s="2354"/>
    </row>
    <row r="58" spans="1:26" s="2426" customFormat="1" ht="13.5" thickBot="1">
      <c r="A58" s="2367" t="s">
        <v>1061</v>
      </c>
      <c r="B58" s="2423">
        <f t="shared" si="179"/>
        <v>196.62341248059772</v>
      </c>
      <c r="C58" s="2423">
        <f t="shared" si="179"/>
        <v>170.99125648199012</v>
      </c>
      <c r="D58" s="2423">
        <f t="shared" si="161"/>
        <v>170.99125648199012</v>
      </c>
      <c r="E58" s="2423">
        <f t="shared" si="180"/>
        <v>266.07857570490052</v>
      </c>
      <c r="F58" s="2423">
        <f t="shared" si="180"/>
        <v>154.53499328828505</v>
      </c>
      <c r="G58" s="4927">
        <v>2008</v>
      </c>
      <c r="H58" s="2424">
        <v>1</v>
      </c>
      <c r="I58" s="2424">
        <v>4.1399999999999997</v>
      </c>
      <c r="J58" s="2424">
        <v>3.45</v>
      </c>
      <c r="K58" s="2424">
        <v>4.95</v>
      </c>
      <c r="L58" s="2425">
        <v>4.82</v>
      </c>
      <c r="N58" s="2427">
        <f t="shared" si="163"/>
        <v>4.1399999999999999E-2</v>
      </c>
      <c r="O58" s="2428">
        <f t="shared" si="163"/>
        <v>3.4500000000000003E-2</v>
      </c>
      <c r="P58" s="2428">
        <f t="shared" si="163"/>
        <v>4.9500000000000002E-2</v>
      </c>
      <c r="Q58" s="2428">
        <f t="shared" si="163"/>
        <v>4.82E-2</v>
      </c>
      <c r="R58" s="2429"/>
      <c r="S58" s="2427">
        <f>B58/B59-1</f>
        <v>4.5869215322328349E-2</v>
      </c>
      <c r="T58" s="2428">
        <f>C58/C59-1</f>
        <v>3.6310645345394743E-2</v>
      </c>
      <c r="U58" s="2428">
        <f>E58/E59-1</f>
        <v>4.7553447657088688E-2</v>
      </c>
      <c r="V58" s="2428">
        <f>F58/F59-1</f>
        <v>4.4155360055980086E-2</v>
      </c>
      <c r="X58" s="2428"/>
      <c r="Y58" s="2428"/>
      <c r="Z58" s="2428"/>
    </row>
    <row r="59" spans="1:26" ht="13.5" thickBot="1">
      <c r="A59" s="2367" t="s">
        <v>1062</v>
      </c>
      <c r="B59" s="2377">
        <v>188</v>
      </c>
      <c r="C59" s="2377">
        <v>165</v>
      </c>
      <c r="D59" s="2377">
        <f t="shared" si="161"/>
        <v>165</v>
      </c>
      <c r="E59" s="2377">
        <v>254</v>
      </c>
      <c r="F59" s="2378">
        <v>148</v>
      </c>
      <c r="G59" s="4925">
        <v>2007</v>
      </c>
      <c r="H59" s="2430">
        <v>4</v>
      </c>
      <c r="I59" s="2430">
        <v>5.51</v>
      </c>
      <c r="J59" s="2430">
        <v>4.8899999999999997</v>
      </c>
      <c r="K59" s="2430">
        <v>6.43</v>
      </c>
      <c r="L59" s="2431">
        <v>5.36</v>
      </c>
      <c r="N59" s="2432">
        <f t="shared" ref="N59:O62" si="181">B59/B60-1</f>
        <v>4.1339718365245526E-2</v>
      </c>
      <c r="O59" s="2433">
        <f t="shared" si="181"/>
        <v>4.0324492593776018E-2</v>
      </c>
      <c r="P59" s="2433">
        <f t="shared" ref="P59:Q62" si="182">E59/E60-1</f>
        <v>6.1625555347990968E-2</v>
      </c>
      <c r="Q59" s="2433">
        <f t="shared" si="182"/>
        <v>4.6757569250590603E-2</v>
      </c>
      <c r="R59" s="2381"/>
      <c r="S59" s="2382"/>
      <c r="T59" s="2383"/>
      <c r="U59" s="2383"/>
      <c r="V59" s="2383"/>
      <c r="X59" s="2383"/>
      <c r="Y59" s="2383"/>
      <c r="Z59" s="2383"/>
    </row>
    <row r="60" spans="1:26">
      <c r="A60" s="2367" t="s">
        <v>1063</v>
      </c>
      <c r="B60" s="2384">
        <f t="shared" ref="B60:C62" si="183">B61+(B$59-B$63)*I60/SUM(I$59:I$62)</f>
        <v>180.5366651097618</v>
      </c>
      <c r="C60" s="2384">
        <f t="shared" si="183"/>
        <v>158.60435967302453</v>
      </c>
      <c r="D60" s="2384">
        <f t="shared" si="161"/>
        <v>158.60435967302453</v>
      </c>
      <c r="E60" s="2384">
        <f t="shared" ref="E60:F62" si="184">E61+(E$59-E$63)*K60/SUM(K$59:K$62)</f>
        <v>239.25573260785075</v>
      </c>
      <c r="F60" s="2384">
        <f t="shared" si="184"/>
        <v>141.38899430740037</v>
      </c>
      <c r="G60" s="4926">
        <v>2007</v>
      </c>
      <c r="H60" s="2397">
        <v>3</v>
      </c>
      <c r="I60" s="2397">
        <v>8.65</v>
      </c>
      <c r="J60" s="2397">
        <v>8.06</v>
      </c>
      <c r="K60" s="2397">
        <v>9.94</v>
      </c>
      <c r="L60" s="2398">
        <v>5.8</v>
      </c>
      <c r="N60" s="2432">
        <f t="shared" si="181"/>
        <v>6.940217571740015E-2</v>
      </c>
      <c r="O60" s="2433">
        <f t="shared" si="181"/>
        <v>7.1197482471153428E-2</v>
      </c>
      <c r="P60" s="2433">
        <f t="shared" si="182"/>
        <v>0.10529679922579582</v>
      </c>
      <c r="Q60" s="2433">
        <f t="shared" si="182"/>
        <v>5.3292245059512133E-2</v>
      </c>
      <c r="R60" s="2381"/>
      <c r="S60" s="2385"/>
      <c r="T60" s="2354"/>
      <c r="U60" s="2354"/>
      <c r="V60" s="2354"/>
      <c r="X60" s="2434"/>
      <c r="Y60" s="2434"/>
      <c r="Z60" s="2434"/>
    </row>
    <row r="61" spans="1:26">
      <c r="A61" s="2367" t="s">
        <v>1064</v>
      </c>
      <c r="B61" s="2384">
        <f t="shared" si="183"/>
        <v>168.82017748715555</v>
      </c>
      <c r="C61" s="2384">
        <f t="shared" si="183"/>
        <v>148.06267029972753</v>
      </c>
      <c r="D61" s="2384">
        <f t="shared" si="161"/>
        <v>148.06267029972753</v>
      </c>
      <c r="E61" s="2384">
        <f t="shared" si="184"/>
        <v>216.46288379323747</v>
      </c>
      <c r="F61" s="2384">
        <f t="shared" si="184"/>
        <v>134.23529411764704</v>
      </c>
      <c r="G61" s="4926">
        <v>2007</v>
      </c>
      <c r="H61" s="2387">
        <v>2</v>
      </c>
      <c r="I61" s="2387">
        <v>3.67</v>
      </c>
      <c r="J61" s="2387">
        <v>2.3199999999999998</v>
      </c>
      <c r="K61" s="2387">
        <v>5.0199999999999996</v>
      </c>
      <c r="L61" s="2388">
        <v>6.71</v>
      </c>
      <c r="N61" s="2432">
        <f t="shared" si="181"/>
        <v>3.0339138143848032E-2</v>
      </c>
      <c r="O61" s="2433">
        <f t="shared" si="181"/>
        <v>2.0922341588790472E-2</v>
      </c>
      <c r="P61" s="2433">
        <f t="shared" si="182"/>
        <v>5.6164796592717003E-2</v>
      </c>
      <c r="Q61" s="2433">
        <f t="shared" si="182"/>
        <v>6.5704536723887319E-2</v>
      </c>
      <c r="R61" s="2381"/>
      <c r="S61" s="2385"/>
      <c r="T61" s="2354"/>
      <c r="U61" s="2354"/>
      <c r="V61" s="2354"/>
      <c r="X61" s="2434"/>
      <c r="Y61" s="2434"/>
      <c r="Z61" s="2434"/>
    </row>
    <row r="62" spans="1:26">
      <c r="A62" s="2367" t="s">
        <v>1065</v>
      </c>
      <c r="B62" s="2384">
        <f t="shared" si="183"/>
        <v>163.84913591779542</v>
      </c>
      <c r="C62" s="2384">
        <f t="shared" si="183"/>
        <v>145.0283378746594</v>
      </c>
      <c r="D62" s="2384">
        <f t="shared" si="161"/>
        <v>145.0283378746594</v>
      </c>
      <c r="E62" s="2384">
        <f t="shared" si="184"/>
        <v>204.95180722891567</v>
      </c>
      <c r="F62" s="2384">
        <f t="shared" si="184"/>
        <v>125.95920303605313</v>
      </c>
      <c r="G62" s="4927">
        <v>2007</v>
      </c>
      <c r="H62" s="2369">
        <v>1</v>
      </c>
      <c r="I62" s="2369">
        <v>3.58</v>
      </c>
      <c r="J62" s="2369">
        <v>3.08</v>
      </c>
      <c r="K62" s="2369">
        <v>4.34</v>
      </c>
      <c r="L62" s="2370">
        <v>3.21</v>
      </c>
      <c r="N62" s="2435">
        <f t="shared" si="181"/>
        <v>3.0497710174814063E-2</v>
      </c>
      <c r="O62" s="2436">
        <f t="shared" si="181"/>
        <v>2.8569772160704998E-2</v>
      </c>
      <c r="P62" s="2436">
        <f t="shared" si="182"/>
        <v>5.1034908866234296E-2</v>
      </c>
      <c r="Q62" s="2436">
        <f t="shared" si="182"/>
        <v>3.245248390207478E-2</v>
      </c>
      <c r="R62" s="2381"/>
      <c r="S62" s="2389">
        <f>B62/B63-1</f>
        <v>3.0497710174814063E-2</v>
      </c>
      <c r="T62" s="2390">
        <f>C62/C63-1</f>
        <v>2.8569772160704998E-2</v>
      </c>
      <c r="U62" s="2390">
        <f>E62/E63-1</f>
        <v>5.1034908866234296E-2</v>
      </c>
      <c r="V62" s="2390">
        <f>F62/F63-1</f>
        <v>3.245248390207478E-2</v>
      </c>
      <c r="X62" s="2434"/>
      <c r="Y62" s="2434"/>
      <c r="Z62" s="2434"/>
    </row>
    <row r="63" spans="1:26" ht="13.5" thickBot="1">
      <c r="A63" s="2367" t="s">
        <v>1066</v>
      </c>
      <c r="B63" s="2399">
        <v>159</v>
      </c>
      <c r="C63" s="2399">
        <v>141</v>
      </c>
      <c r="D63" s="2399">
        <f t="shared" si="161"/>
        <v>141</v>
      </c>
      <c r="E63" s="2399">
        <v>195</v>
      </c>
      <c r="F63" s="2400">
        <v>122</v>
      </c>
      <c r="G63" s="4925">
        <v>2006</v>
      </c>
      <c r="H63" s="2394">
        <v>4</v>
      </c>
      <c r="I63" s="2394">
        <v>3.79</v>
      </c>
      <c r="J63" s="2394">
        <v>2.21</v>
      </c>
      <c r="K63" s="2394">
        <v>5.65</v>
      </c>
      <c r="L63" s="2395">
        <v>5.41</v>
      </c>
      <c r="N63" s="2432">
        <f t="shared" ref="N63:O66" si="185">I63/SUM(I$63:I$66)*(B$63/B$67-1)</f>
        <v>7.245466462748526E-2</v>
      </c>
      <c r="O63" s="2433">
        <f t="shared" si="185"/>
        <v>2.3237230038062766E-2</v>
      </c>
      <c r="P63" s="2433">
        <f t="shared" ref="P63:Q66" si="186">K63/SUM(K$63:K$66)*(E$63/E$67-1)</f>
        <v>0.16146893866323722</v>
      </c>
      <c r="Q63" s="2433">
        <f t="shared" si="186"/>
        <v>5.0755230321793784E-2</v>
      </c>
      <c r="R63" s="2381"/>
      <c r="S63" s="2382"/>
      <c r="T63" s="2383"/>
      <c r="U63" s="2383"/>
      <c r="V63" s="2383"/>
      <c r="X63" s="2434"/>
      <c r="Y63" s="2434"/>
      <c r="Z63" s="2434"/>
    </row>
    <row r="64" spans="1:26">
      <c r="A64" s="2367" t="s">
        <v>1067</v>
      </c>
      <c r="B64" s="2384">
        <f t="shared" ref="B64:C66" si="187">B65+(B$63-B$67)*I64/SUM(I$63:I$66)</f>
        <v>149.00125628140702</v>
      </c>
      <c r="C64" s="2384">
        <f t="shared" si="187"/>
        <v>137.95592286501378</v>
      </c>
      <c r="D64" s="2384">
        <f t="shared" si="161"/>
        <v>137.95592286501378</v>
      </c>
      <c r="E64" s="2384">
        <f t="shared" ref="E64:F66" si="188">E65+(E$63-E$67)*K64/SUM(K$63:K$66)</f>
        <v>169.97231450719823</v>
      </c>
      <c r="F64" s="2384">
        <f t="shared" si="188"/>
        <v>116.21390374331551</v>
      </c>
      <c r="G64" s="4926">
        <v>2006</v>
      </c>
      <c r="H64" s="2397">
        <v>3</v>
      </c>
      <c r="I64" s="2397">
        <v>0.92</v>
      </c>
      <c r="J64" s="2397">
        <v>1.08</v>
      </c>
      <c r="K64" s="2397">
        <v>0.73</v>
      </c>
      <c r="L64" s="2398">
        <v>1.08</v>
      </c>
      <c r="N64" s="2432">
        <f t="shared" si="185"/>
        <v>1.7587939698492462E-2</v>
      </c>
      <c r="O64" s="2433">
        <f t="shared" si="185"/>
        <v>1.1355750425840628E-2</v>
      </c>
      <c r="P64" s="2433">
        <f t="shared" si="186"/>
        <v>2.0862358446754544E-2</v>
      </c>
      <c r="Q64" s="2433">
        <f t="shared" si="186"/>
        <v>1.0132282578103011E-2</v>
      </c>
      <c r="R64" s="2381"/>
      <c r="S64" s="2385"/>
      <c r="T64" s="2354"/>
      <c r="U64" s="2354"/>
      <c r="V64" s="2354"/>
      <c r="X64" s="2434"/>
      <c r="Y64" s="2434"/>
      <c r="Z64" s="2434"/>
    </row>
    <row r="65" spans="1:26">
      <c r="A65" s="2367" t="s">
        <v>1068</v>
      </c>
      <c r="B65" s="2384">
        <f t="shared" si="187"/>
        <v>146.57412060301507</v>
      </c>
      <c r="C65" s="2384">
        <f t="shared" si="187"/>
        <v>136.46831955922866</v>
      </c>
      <c r="D65" s="2384">
        <f t="shared" si="161"/>
        <v>136.46831955922866</v>
      </c>
      <c r="E65" s="2384">
        <f t="shared" si="188"/>
        <v>166.73864894795128</v>
      </c>
      <c r="F65" s="2384">
        <f t="shared" si="188"/>
        <v>115.05882352941177</v>
      </c>
      <c r="G65" s="4926">
        <v>2006</v>
      </c>
      <c r="H65" s="2387">
        <v>2</v>
      </c>
      <c r="I65" s="2387">
        <v>0.96</v>
      </c>
      <c r="J65" s="2387">
        <v>0.25</v>
      </c>
      <c r="K65" s="2387">
        <v>1.9</v>
      </c>
      <c r="L65" s="2388">
        <v>0.95</v>
      </c>
      <c r="N65" s="2432">
        <f t="shared" si="185"/>
        <v>1.8352632728861701E-2</v>
      </c>
      <c r="O65" s="2433">
        <f t="shared" si="185"/>
        <v>2.6286459319075526E-3</v>
      </c>
      <c r="P65" s="2433">
        <f t="shared" si="186"/>
        <v>5.4299289107991269E-2</v>
      </c>
      <c r="Q65" s="2433">
        <f t="shared" si="186"/>
        <v>8.9126559714794995E-3</v>
      </c>
      <c r="R65" s="2381"/>
      <c r="S65" s="2385"/>
      <c r="T65" s="2354"/>
      <c r="U65" s="2354"/>
      <c r="V65" s="2354"/>
      <c r="X65" s="2434"/>
      <c r="Y65" s="2434"/>
      <c r="Z65" s="2434"/>
    </row>
    <row r="66" spans="1:26">
      <c r="A66" s="2367" t="s">
        <v>1069</v>
      </c>
      <c r="B66" s="2384">
        <f t="shared" si="187"/>
        <v>144.04145728643215</v>
      </c>
      <c r="C66" s="2384">
        <f t="shared" si="187"/>
        <v>136.12396694214877</v>
      </c>
      <c r="D66" s="2384">
        <f t="shared" si="161"/>
        <v>136.12396694214877</v>
      </c>
      <c r="E66" s="2384">
        <f t="shared" si="188"/>
        <v>158.32225913621264</v>
      </c>
      <c r="F66" s="2384">
        <f t="shared" si="188"/>
        <v>114.04278074866311</v>
      </c>
      <c r="G66" s="4927">
        <v>2006</v>
      </c>
      <c r="H66" s="2369">
        <v>1</v>
      </c>
      <c r="I66" s="2369">
        <v>2.29</v>
      </c>
      <c r="J66" s="2369">
        <v>3.72</v>
      </c>
      <c r="K66" s="2369">
        <v>0.75</v>
      </c>
      <c r="L66" s="2370">
        <v>0.04</v>
      </c>
      <c r="N66" s="2435">
        <f t="shared" si="185"/>
        <v>4.3778675988638847E-2</v>
      </c>
      <c r="O66" s="2436">
        <f t="shared" si="185"/>
        <v>3.9114251466784385E-2</v>
      </c>
      <c r="P66" s="2436">
        <f t="shared" si="186"/>
        <v>2.1433929911049188E-2</v>
      </c>
      <c r="Q66" s="2436">
        <f t="shared" si="186"/>
        <v>3.7526972511492629E-4</v>
      </c>
      <c r="R66" s="2381"/>
      <c r="S66" s="2389">
        <f>B66/B67-1</f>
        <v>4.3778675988638716E-2</v>
      </c>
      <c r="T66" s="2390">
        <f>C66/C67-1</f>
        <v>3.91142514667846E-2</v>
      </c>
      <c r="U66" s="2390">
        <f>E66/E67-1</f>
        <v>2.143392991104931E-2</v>
      </c>
      <c r="V66" s="2390">
        <f>F66/F67-1</f>
        <v>3.7526972511492396E-4</v>
      </c>
      <c r="X66" s="2434"/>
      <c r="Y66" s="2434"/>
      <c r="Z66" s="2434"/>
    </row>
    <row r="67" spans="1:26" ht="13.5" thickBot="1">
      <c r="A67" s="2367" t="s">
        <v>1070</v>
      </c>
      <c r="B67" s="2399">
        <v>138</v>
      </c>
      <c r="C67" s="2399">
        <v>131</v>
      </c>
      <c r="D67" s="2399">
        <f t="shared" si="161"/>
        <v>131</v>
      </c>
      <c r="E67" s="2399">
        <v>155</v>
      </c>
      <c r="F67" s="2400">
        <v>114</v>
      </c>
      <c r="G67" s="4925">
        <v>2005</v>
      </c>
      <c r="H67" s="2394">
        <v>4</v>
      </c>
      <c r="I67" s="2394">
        <v>3.29</v>
      </c>
      <c r="J67" s="2394">
        <v>1.44</v>
      </c>
      <c r="K67" s="2394">
        <v>0.66</v>
      </c>
      <c r="L67" s="2395">
        <v>7.78</v>
      </c>
      <c r="N67" s="2432">
        <f t="shared" ref="N67:O70" si="189">I67/SUM(I$67:I$70)*(B$67/B$71-1)</f>
        <v>9.9404603216919935E-2</v>
      </c>
      <c r="O67" s="2433">
        <f t="shared" si="189"/>
        <v>4.7636550760861554E-2</v>
      </c>
      <c r="P67" s="2433">
        <f t="shared" ref="P67:Q70" si="190">K67/SUM(K$67:K$70)*(E$67/E$71-1)</f>
        <v>8.3756345177664976E-2</v>
      </c>
      <c r="Q67" s="2433">
        <f t="shared" si="190"/>
        <v>5.2148766661559584E-2</v>
      </c>
      <c r="R67" s="2381"/>
      <c r="S67" s="2382"/>
      <c r="T67" s="2383"/>
      <c r="U67" s="2383"/>
      <c r="V67" s="2383"/>
      <c r="X67" s="2434"/>
      <c r="Y67" s="2434"/>
      <c r="Z67" s="2434"/>
    </row>
    <row r="68" spans="1:26">
      <c r="A68" s="2367" t="s">
        <v>1071</v>
      </c>
      <c r="B68" s="2384">
        <f t="shared" ref="B68:C70" si="191">B69+(B$67-B$71)*I68/SUM(I$67:I$70)</f>
        <v>125.9720430107527</v>
      </c>
      <c r="C68" s="2384">
        <f t="shared" si="191"/>
        <v>125.1883408071749</v>
      </c>
      <c r="D68" s="2384">
        <f t="shared" si="161"/>
        <v>125.1883408071749</v>
      </c>
      <c r="E68" s="2384">
        <f t="shared" ref="E68:F70" si="192">E69+(E$67-E$71)*K68/SUM(K$67:K$70)</f>
        <v>144.61421319796952</v>
      </c>
      <c r="F68" s="2384">
        <f t="shared" si="192"/>
        <v>108.42008196721311</v>
      </c>
      <c r="G68" s="4926">
        <v>2005</v>
      </c>
      <c r="H68" s="2397">
        <v>3</v>
      </c>
      <c r="I68" s="2397">
        <v>0.46</v>
      </c>
      <c r="J68" s="2397">
        <v>0.32</v>
      </c>
      <c r="K68" s="2397">
        <v>0.42</v>
      </c>
      <c r="L68" s="2398">
        <v>0.64</v>
      </c>
      <c r="N68" s="2432">
        <f t="shared" si="189"/>
        <v>1.3898515951301874E-2</v>
      </c>
      <c r="O68" s="2433">
        <f t="shared" si="189"/>
        <v>1.0585900169080346E-2</v>
      </c>
      <c r="P68" s="2433">
        <f t="shared" si="190"/>
        <v>5.3299492385786795E-2</v>
      </c>
      <c r="Q68" s="2433">
        <f t="shared" si="190"/>
        <v>4.2898728359123568E-3</v>
      </c>
      <c r="R68" s="2381"/>
      <c r="S68" s="2385"/>
      <c r="T68" s="2354"/>
      <c r="U68" s="2354"/>
      <c r="V68" s="2354"/>
      <c r="X68" s="2434"/>
      <c r="Y68" s="2434"/>
      <c r="Z68" s="2434"/>
    </row>
    <row r="69" spans="1:26">
      <c r="A69" s="2367" t="s">
        <v>1072</v>
      </c>
      <c r="B69" s="2384">
        <f t="shared" si="191"/>
        <v>124.29032258064517</v>
      </c>
      <c r="C69" s="2384">
        <f t="shared" si="191"/>
        <v>123.8968609865471</v>
      </c>
      <c r="D69" s="2384">
        <f t="shared" si="161"/>
        <v>123.8968609865471</v>
      </c>
      <c r="E69" s="2384">
        <f t="shared" si="192"/>
        <v>138.00507614213197</v>
      </c>
      <c r="F69" s="2384">
        <f t="shared" si="192"/>
        <v>107.96106557377048</v>
      </c>
      <c r="G69" s="4926">
        <v>2005</v>
      </c>
      <c r="H69" s="2387">
        <v>2</v>
      </c>
      <c r="I69" s="2387">
        <v>0.47</v>
      </c>
      <c r="J69" s="2387">
        <v>0.1</v>
      </c>
      <c r="K69" s="2387">
        <v>0.52</v>
      </c>
      <c r="L69" s="2388">
        <v>0.79</v>
      </c>
      <c r="N69" s="2432">
        <f t="shared" si="189"/>
        <v>1.420065760241713E-2</v>
      </c>
      <c r="O69" s="2433">
        <f t="shared" si="189"/>
        <v>3.3080938028376083E-3</v>
      </c>
      <c r="P69" s="2433">
        <f t="shared" si="190"/>
        <v>6.598984771573603E-2</v>
      </c>
      <c r="Q69" s="2433">
        <f t="shared" si="190"/>
        <v>5.2953117818293153E-3</v>
      </c>
      <c r="R69" s="2381"/>
      <c r="S69" s="2385"/>
      <c r="T69" s="2354"/>
      <c r="U69" s="2354"/>
      <c r="V69" s="2354"/>
      <c r="X69" s="2434"/>
      <c r="Y69" s="2434"/>
      <c r="Z69" s="2434"/>
    </row>
    <row r="70" spans="1:26">
      <c r="A70" s="2367" t="s">
        <v>1073</v>
      </c>
      <c r="B70" s="2384">
        <f t="shared" si="191"/>
        <v>122.57204301075269</v>
      </c>
      <c r="C70" s="2384">
        <f t="shared" si="191"/>
        <v>123.4932735426009</v>
      </c>
      <c r="D70" s="2384">
        <f t="shared" si="161"/>
        <v>123.4932735426009</v>
      </c>
      <c r="E70" s="2384">
        <f t="shared" si="192"/>
        <v>129.82233502538071</v>
      </c>
      <c r="F70" s="2384">
        <f t="shared" si="192"/>
        <v>107.39446721311475</v>
      </c>
      <c r="G70" s="4927">
        <v>2005</v>
      </c>
      <c r="H70" s="2369">
        <v>1</v>
      </c>
      <c r="I70" s="2369">
        <v>0.43</v>
      </c>
      <c r="J70" s="2369">
        <v>0.37</v>
      </c>
      <c r="K70" s="2369">
        <v>0.37</v>
      </c>
      <c r="L70" s="2370">
        <v>0.55000000000000004</v>
      </c>
      <c r="N70" s="2435">
        <f t="shared" si="189"/>
        <v>1.2992090997956099E-2</v>
      </c>
      <c r="O70" s="2436">
        <f t="shared" si="189"/>
        <v>1.2239947070499151E-2</v>
      </c>
      <c r="P70" s="2436">
        <f t="shared" si="190"/>
        <v>4.6954314720812178E-2</v>
      </c>
      <c r="Q70" s="2436">
        <f t="shared" si="190"/>
        <v>3.6866094683621815E-3</v>
      </c>
      <c r="R70" s="2381"/>
      <c r="S70" s="2389">
        <f>B70/B71-1</f>
        <v>1.2992090997956174E-2</v>
      </c>
      <c r="T70" s="2390">
        <f>C70/C71-1</f>
        <v>1.2239947070499246E-2</v>
      </c>
      <c r="U70" s="2390">
        <f>E70/E71-1</f>
        <v>4.695431472081224E-2</v>
      </c>
      <c r="V70" s="2390">
        <f>F70/F71-1</f>
        <v>3.6866094683620787E-3</v>
      </c>
      <c r="X70" s="2434"/>
      <c r="Y70" s="2434"/>
      <c r="Z70" s="2434"/>
    </row>
    <row r="71" spans="1:26" ht="13.5" thickBot="1">
      <c r="A71" s="2367" t="s">
        <v>1074</v>
      </c>
      <c r="B71" s="2420">
        <v>121</v>
      </c>
      <c r="C71" s="2420">
        <v>122</v>
      </c>
      <c r="D71" s="2420">
        <f t="shared" si="161"/>
        <v>122</v>
      </c>
      <c r="E71" s="2420">
        <v>124</v>
      </c>
      <c r="F71" s="2421">
        <v>107</v>
      </c>
      <c r="G71" s="4925">
        <v>2004</v>
      </c>
      <c r="H71" s="2394">
        <v>4</v>
      </c>
      <c r="I71" s="2394">
        <v>0.33</v>
      </c>
      <c r="J71" s="2394">
        <v>0.5</v>
      </c>
      <c r="K71" s="2394">
        <v>0.5</v>
      </c>
      <c r="L71" s="2395">
        <v>0</v>
      </c>
      <c r="N71" s="2432">
        <f t="shared" ref="N71:O74" si="193">I71/SUM(I$71:I$74)*(B$71/B$75-1)</f>
        <v>1.3391770148526898E-2</v>
      </c>
      <c r="O71" s="2433">
        <f t="shared" si="193"/>
        <v>1.063264221158958E-2</v>
      </c>
      <c r="P71" s="2433">
        <f t="shared" ref="P71:Q74" si="194">K71/SUM(K$71:K$74)*(E$71/E$75-1)</f>
        <v>2.2244466688911134E-2</v>
      </c>
      <c r="Q71" s="2433">
        <f t="shared" si="194"/>
        <v>0</v>
      </c>
      <c r="R71" s="2381"/>
      <c r="S71" s="2382"/>
      <c r="T71" s="2383"/>
      <c r="U71" s="2383"/>
      <c r="V71" s="2383"/>
      <c r="X71" s="2434"/>
      <c r="Y71" s="2434"/>
      <c r="Z71" s="2434"/>
    </row>
    <row r="72" spans="1:26">
      <c r="A72" s="2367" t="s">
        <v>1075</v>
      </c>
      <c r="B72" s="2384">
        <f t="shared" ref="B72:C74" si="195">B73+(B$71-B$75)*I72/SUM(I$71:I$74)</f>
        <v>119.51351351351352</v>
      </c>
      <c r="C72" s="2384">
        <f t="shared" si="195"/>
        <v>120.7878787878788</v>
      </c>
      <c r="D72" s="2384">
        <f t="shared" si="161"/>
        <v>120.7878787878788</v>
      </c>
      <c r="E72" s="2384">
        <f t="shared" ref="E72:F74" si="196">E73+(E$71-E$75)*K72/SUM(K$71:K$74)</f>
        <v>121.5975975975976</v>
      </c>
      <c r="F72" s="2384">
        <f t="shared" si="196"/>
        <v>107</v>
      </c>
      <c r="G72" s="4926">
        <v>2004</v>
      </c>
      <c r="H72" s="2397">
        <v>3</v>
      </c>
      <c r="I72" s="2397">
        <v>0.56000000000000005</v>
      </c>
      <c r="J72" s="2397">
        <v>0.8</v>
      </c>
      <c r="K72" s="2397">
        <v>0.83</v>
      </c>
      <c r="L72" s="2398">
        <v>0.06</v>
      </c>
      <c r="N72" s="2432">
        <f t="shared" si="193"/>
        <v>2.2725428130833527E-2</v>
      </c>
      <c r="O72" s="2433">
        <f t="shared" si="193"/>
        <v>1.7012227538543329E-2</v>
      </c>
      <c r="P72" s="2433">
        <f t="shared" si="194"/>
        <v>3.6925814703592477E-2</v>
      </c>
      <c r="Q72" s="2433">
        <f t="shared" si="194"/>
        <v>2.8846153846153744E-2</v>
      </c>
      <c r="R72" s="2381"/>
      <c r="S72" s="2385"/>
      <c r="T72" s="2354"/>
      <c r="U72" s="2354"/>
      <c r="V72" s="2354"/>
      <c r="X72" s="2434"/>
      <c r="Y72" s="2434"/>
      <c r="Z72" s="2434"/>
    </row>
    <row r="73" spans="1:26">
      <c r="A73" s="2367" t="s">
        <v>1076</v>
      </c>
      <c r="B73" s="2384">
        <f t="shared" si="195"/>
        <v>116.99099099099099</v>
      </c>
      <c r="C73" s="2384">
        <f t="shared" si="195"/>
        <v>118.84848484848486</v>
      </c>
      <c r="D73" s="2384">
        <f t="shared" si="161"/>
        <v>118.84848484848486</v>
      </c>
      <c r="E73" s="2384">
        <f t="shared" si="196"/>
        <v>117.60960960960961</v>
      </c>
      <c r="F73" s="2384">
        <f t="shared" si="196"/>
        <v>104</v>
      </c>
      <c r="G73" s="4926">
        <v>2004</v>
      </c>
      <c r="H73" s="2387">
        <v>2</v>
      </c>
      <c r="I73" s="2387">
        <v>1</v>
      </c>
      <c r="J73" s="2387">
        <v>1.5</v>
      </c>
      <c r="K73" s="2387">
        <v>1.5</v>
      </c>
      <c r="L73" s="2388">
        <v>0</v>
      </c>
      <c r="N73" s="2432">
        <f t="shared" si="193"/>
        <v>4.0581121662202721E-2</v>
      </c>
      <c r="O73" s="2433">
        <f t="shared" si="193"/>
        <v>3.1897926634768738E-2</v>
      </c>
      <c r="P73" s="2433">
        <f t="shared" si="194"/>
        <v>6.6733400066733395E-2</v>
      </c>
      <c r="Q73" s="2433">
        <f t="shared" si="194"/>
        <v>0</v>
      </c>
      <c r="R73" s="2381"/>
      <c r="S73" s="2385"/>
      <c r="T73" s="2354"/>
      <c r="U73" s="2354"/>
      <c r="V73" s="2354"/>
      <c r="X73" s="2434"/>
      <c r="Y73" s="2434"/>
      <c r="Z73" s="2434"/>
    </row>
    <row r="74" spans="1:26" s="2426" customFormat="1" ht="13.5" thickBot="1">
      <c r="A74" s="2367" t="s">
        <v>1077</v>
      </c>
      <c r="B74" s="2423">
        <f t="shared" si="195"/>
        <v>112.48648648648648</v>
      </c>
      <c r="C74" s="2423">
        <f t="shared" si="195"/>
        <v>115.21212121212122</v>
      </c>
      <c r="D74" s="2423">
        <f t="shared" si="161"/>
        <v>115.21212121212122</v>
      </c>
      <c r="E74" s="2423">
        <f t="shared" si="196"/>
        <v>110.4024024024024</v>
      </c>
      <c r="F74" s="2423">
        <f t="shared" si="196"/>
        <v>104</v>
      </c>
      <c r="G74" s="4927">
        <v>2004</v>
      </c>
      <c r="H74" s="2424">
        <v>1</v>
      </c>
      <c r="I74" s="2424">
        <v>0.33</v>
      </c>
      <c r="J74" s="2424">
        <v>0.5</v>
      </c>
      <c r="K74" s="2424">
        <v>0.5</v>
      </c>
      <c r="L74" s="2425">
        <v>0</v>
      </c>
      <c r="N74" s="2437">
        <f t="shared" si="193"/>
        <v>1.3391770148526898E-2</v>
      </c>
      <c r="O74" s="2438">
        <f t="shared" si="193"/>
        <v>1.063264221158958E-2</v>
      </c>
      <c r="P74" s="2438">
        <f t="shared" si="194"/>
        <v>2.2244466688911134E-2</v>
      </c>
      <c r="Q74" s="2438">
        <f t="shared" si="194"/>
        <v>0</v>
      </c>
      <c r="R74" s="2429"/>
      <c r="S74" s="2427">
        <f>B74/B75-1</f>
        <v>1.3391770148526883E-2</v>
      </c>
      <c r="T74" s="2428">
        <f>C74/C75-1</f>
        <v>1.063264221158966E-2</v>
      </c>
      <c r="U74" s="2428">
        <f>E74/E75-1</f>
        <v>2.2244466688911224E-2</v>
      </c>
      <c r="V74" s="2428">
        <f>F74/F75-1</f>
        <v>0</v>
      </c>
      <c r="X74" s="2439"/>
      <c r="Y74" s="2439"/>
      <c r="Z74" s="2439"/>
    </row>
    <row r="75" spans="1:26" ht="13.5" thickBot="1">
      <c r="A75" s="2367" t="s">
        <v>1078</v>
      </c>
      <c r="B75" s="2440">
        <v>111</v>
      </c>
      <c r="C75" s="2440">
        <v>114</v>
      </c>
      <c r="D75" s="2440">
        <f t="shared" si="161"/>
        <v>114</v>
      </c>
      <c r="E75" s="2440">
        <v>108</v>
      </c>
      <c r="F75" s="2441">
        <v>104</v>
      </c>
      <c r="G75" s="4925">
        <v>2003</v>
      </c>
      <c r="H75" s="2430">
        <v>4</v>
      </c>
      <c r="I75" s="2442"/>
      <c r="J75" s="2442"/>
      <c r="K75" s="2442"/>
      <c r="L75" s="2442"/>
      <c r="N75" s="2443"/>
      <c r="O75" s="2442"/>
      <c r="P75" s="2442"/>
      <c r="Q75" s="2442"/>
      <c r="S75" s="2443"/>
      <c r="T75" s="2442"/>
      <c r="U75" s="2442"/>
      <c r="V75" s="2442"/>
      <c r="X75" s="2434"/>
      <c r="Y75" s="2434"/>
      <c r="Z75" s="2434"/>
    </row>
    <row r="76" spans="1:26">
      <c r="A76" s="2367" t="s">
        <v>1079</v>
      </c>
      <c r="B76" s="2444">
        <f t="shared" ref="B76:C78" si="197">B77+(B$75-B$79)/4</f>
        <v>109.75</v>
      </c>
      <c r="C76" s="2444">
        <f t="shared" si="197"/>
        <v>112.25</v>
      </c>
      <c r="D76" s="2444">
        <f t="shared" si="161"/>
        <v>112.25</v>
      </c>
      <c r="E76" s="2444">
        <f t="shared" ref="E76:F78" si="198">E77+(E$75-E$79)/4</f>
        <v>107.25</v>
      </c>
      <c r="F76" s="2444">
        <f t="shared" si="198"/>
        <v>103.5</v>
      </c>
      <c r="G76" s="4926">
        <v>2003</v>
      </c>
      <c r="H76" s="2397">
        <v>3</v>
      </c>
      <c r="I76" s="2442"/>
      <c r="J76" s="2442"/>
      <c r="K76" s="2442"/>
      <c r="L76" s="2442"/>
      <c r="X76" s="2434"/>
      <c r="Y76" s="2434"/>
      <c r="Z76" s="2434"/>
    </row>
    <row r="77" spans="1:26">
      <c r="A77" s="2367" t="s">
        <v>1080</v>
      </c>
      <c r="B77" s="2444">
        <f t="shared" si="197"/>
        <v>108.5</v>
      </c>
      <c r="C77" s="2444">
        <f t="shared" si="197"/>
        <v>110.5</v>
      </c>
      <c r="D77" s="2444">
        <f t="shared" si="161"/>
        <v>110.5</v>
      </c>
      <c r="E77" s="2444">
        <f t="shared" si="198"/>
        <v>106.5</v>
      </c>
      <c r="F77" s="2444">
        <f t="shared" si="198"/>
        <v>103</v>
      </c>
      <c r="G77" s="4926">
        <v>2003</v>
      </c>
      <c r="H77" s="2387">
        <v>2</v>
      </c>
      <c r="I77" s="2442"/>
      <c r="J77" s="2442"/>
      <c r="K77" s="2442"/>
      <c r="L77" s="2442"/>
      <c r="X77" s="2434"/>
      <c r="Y77" s="2434"/>
      <c r="Z77" s="2434"/>
    </row>
    <row r="78" spans="1:26" ht="13.5" thickBot="1">
      <c r="A78" s="2367" t="s">
        <v>1081</v>
      </c>
      <c r="B78" s="2444">
        <f t="shared" si="197"/>
        <v>107.25</v>
      </c>
      <c r="C78" s="2444">
        <f t="shared" si="197"/>
        <v>108.75</v>
      </c>
      <c r="D78" s="2444">
        <f t="shared" si="161"/>
        <v>108.75</v>
      </c>
      <c r="E78" s="2444">
        <f t="shared" si="198"/>
        <v>105.75</v>
      </c>
      <c r="F78" s="2444">
        <f t="shared" si="198"/>
        <v>102.5</v>
      </c>
      <c r="G78" s="4927">
        <v>2003</v>
      </c>
      <c r="H78" s="2445">
        <v>1</v>
      </c>
      <c r="I78" s="2442"/>
      <c r="J78" s="2442"/>
      <c r="K78" s="2442"/>
      <c r="L78" s="2442"/>
      <c r="S78" s="2385"/>
      <c r="T78" s="2354"/>
      <c r="U78" s="2354"/>
      <c r="X78" s="2434"/>
      <c r="Y78" s="2434"/>
      <c r="Z78" s="2434"/>
    </row>
    <row r="79" spans="1:26" ht="13.5" thickBot="1">
      <c r="A79" s="2367" t="s">
        <v>1082</v>
      </c>
      <c r="B79" s="2446">
        <v>106</v>
      </c>
      <c r="C79" s="2446">
        <v>107</v>
      </c>
      <c r="D79" s="2446">
        <f t="shared" si="161"/>
        <v>107</v>
      </c>
      <c r="E79" s="2446">
        <v>105</v>
      </c>
      <c r="F79" s="2447">
        <v>102</v>
      </c>
      <c r="G79" s="4925">
        <v>2002</v>
      </c>
      <c r="H79" s="2394">
        <v>4</v>
      </c>
      <c r="I79" s="2442"/>
      <c r="J79" s="2442"/>
      <c r="K79" s="2442"/>
      <c r="L79" s="2442"/>
      <c r="N79" s="2443"/>
      <c r="O79" s="2442"/>
      <c r="P79" s="2442"/>
      <c r="Q79" s="2442"/>
      <c r="S79" s="2443"/>
      <c r="T79" s="2442"/>
      <c r="U79" s="2442"/>
      <c r="V79" s="2442"/>
      <c r="X79" s="2434"/>
      <c r="Y79" s="2434"/>
      <c r="Z79" s="2434"/>
    </row>
    <row r="80" spans="1:26">
      <c r="A80" s="2367" t="s">
        <v>1083</v>
      </c>
      <c r="B80" s="2444">
        <f t="shared" ref="B80:C82" si="199">B81+(B$79-B$83)/4</f>
        <v>105</v>
      </c>
      <c r="C80" s="2444">
        <f t="shared" si="199"/>
        <v>106</v>
      </c>
      <c r="D80" s="2444">
        <f t="shared" si="161"/>
        <v>106</v>
      </c>
      <c r="E80" s="2444">
        <f t="shared" ref="E80:F82" si="200">E81+(E$79-E$83)/4</f>
        <v>104.5</v>
      </c>
      <c r="F80" s="2444">
        <f t="shared" si="200"/>
        <v>101.5</v>
      </c>
      <c r="G80" s="4926">
        <v>2002</v>
      </c>
      <c r="H80" s="2397">
        <v>3</v>
      </c>
      <c r="I80" s="2442"/>
      <c r="J80" s="2442"/>
      <c r="K80" s="2442"/>
      <c r="L80" s="2442"/>
      <c r="X80" s="2434"/>
      <c r="Y80" s="2434"/>
      <c r="Z80" s="2434"/>
    </row>
    <row r="81" spans="1:26">
      <c r="A81" s="2367" t="s">
        <v>1084</v>
      </c>
      <c r="B81" s="2444">
        <f t="shared" si="199"/>
        <v>104</v>
      </c>
      <c r="C81" s="2444">
        <f t="shared" si="199"/>
        <v>105</v>
      </c>
      <c r="D81" s="2444">
        <f t="shared" si="161"/>
        <v>105</v>
      </c>
      <c r="E81" s="2444">
        <f t="shared" si="200"/>
        <v>104</v>
      </c>
      <c r="F81" s="2444">
        <f t="shared" si="200"/>
        <v>101</v>
      </c>
      <c r="G81" s="4926">
        <v>2002</v>
      </c>
      <c r="H81" s="2387">
        <v>2</v>
      </c>
      <c r="I81" s="2442"/>
      <c r="J81" s="2442"/>
      <c r="K81" s="2442"/>
      <c r="L81" s="2442"/>
      <c r="X81" s="2434"/>
      <c r="Y81" s="2434"/>
      <c r="Z81" s="2434"/>
    </row>
    <row r="82" spans="1:26" s="2407" customFormat="1" ht="13.5" thickBot="1">
      <c r="A82" s="2403" t="s">
        <v>1085</v>
      </c>
      <c r="B82" s="2410">
        <f t="shared" si="199"/>
        <v>103</v>
      </c>
      <c r="C82" s="2410">
        <f t="shared" si="199"/>
        <v>104</v>
      </c>
      <c r="D82" s="2410">
        <f t="shared" si="161"/>
        <v>104</v>
      </c>
      <c r="E82" s="2410">
        <f t="shared" si="200"/>
        <v>103.5</v>
      </c>
      <c r="F82" s="2410">
        <f t="shared" si="200"/>
        <v>100.5</v>
      </c>
      <c r="G82" s="4927">
        <v>2002</v>
      </c>
      <c r="H82" s="2448">
        <v>1</v>
      </c>
      <c r="I82" s="2449"/>
      <c r="J82" s="2449"/>
      <c r="K82" s="2449"/>
      <c r="L82" s="2449"/>
      <c r="N82" s="2450"/>
      <c r="S82" s="2450"/>
      <c r="X82" s="2451"/>
      <c r="Y82" s="2451"/>
      <c r="Z82" s="2451"/>
    </row>
    <row r="83" spans="1:26" ht="13.5" thickBot="1">
      <c r="B83" s="2452">
        <v>102</v>
      </c>
      <c r="C83" s="2453">
        <v>103</v>
      </c>
      <c r="D83" s="2453">
        <f t="shared" si="161"/>
        <v>103</v>
      </c>
      <c r="E83" s="2453">
        <v>103</v>
      </c>
      <c r="F83" s="2454">
        <v>100</v>
      </c>
      <c r="I83" s="2442"/>
      <c r="J83" s="2442"/>
      <c r="K83" s="2442"/>
      <c r="L83" s="2442"/>
      <c r="N83" s="2443"/>
      <c r="O83" s="2442"/>
      <c r="P83" s="2442"/>
      <c r="Q83" s="2442"/>
      <c r="S83" s="2443"/>
      <c r="T83" s="2442"/>
      <c r="U83" s="2442"/>
      <c r="V83" s="2442"/>
      <c r="X83" s="2383"/>
      <c r="Y83" s="2383"/>
      <c r="Z83" s="2383"/>
    </row>
    <row r="85" spans="1:26" s="2456" customFormat="1">
      <c r="A85" s="2455" t="s">
        <v>1086</v>
      </c>
      <c r="G85" s="2457"/>
      <c r="N85" s="2457"/>
      <c r="S85" s="2457"/>
    </row>
    <row r="86" spans="1:26" s="2456" customFormat="1">
      <c r="A86" s="2456" t="s">
        <v>1087</v>
      </c>
      <c r="G86" s="2457"/>
      <c r="N86" s="2457"/>
      <c r="S86" s="2457"/>
    </row>
    <row r="87" spans="1:26" s="2456" customFormat="1">
      <c r="A87" s="2456" t="s">
        <v>1088</v>
      </c>
      <c r="G87" s="2457"/>
      <c r="I87" s="2458"/>
      <c r="J87" s="2458"/>
      <c r="K87" s="2458"/>
      <c r="L87" s="2458"/>
      <c r="N87" s="2459"/>
      <c r="O87" s="2458"/>
      <c r="P87" s="2458"/>
      <c r="Q87" s="2458"/>
      <c r="S87" s="2459"/>
      <c r="T87" s="2458"/>
      <c r="U87" s="2458"/>
      <c r="V87" s="2458"/>
    </row>
    <row r="88" spans="1:26" s="2456" customFormat="1">
      <c r="A88" s="2456" t="s">
        <v>1089</v>
      </c>
      <c r="G88" s="2457"/>
      <c r="N88" s="2457"/>
      <c r="S88" s="2457"/>
    </row>
    <row r="95" spans="1:26" ht="13.5" thickBot="1"/>
    <row r="96" spans="1:26">
      <c r="G96" s="2353"/>
      <c r="S96" s="2460" t="s">
        <v>1090</v>
      </c>
      <c r="T96" s="2461" t="s">
        <v>1091</v>
      </c>
      <c r="U96" s="2461" t="s">
        <v>1092</v>
      </c>
      <c r="V96" s="2461" t="s">
        <v>1093</v>
      </c>
    </row>
    <row r="97" spans="7:22">
      <c r="G97" s="2353"/>
      <c r="N97" s="2382"/>
      <c r="O97" s="2383"/>
      <c r="P97" s="2383"/>
      <c r="Q97" s="2383"/>
      <c r="S97" s="2462">
        <v>2006</v>
      </c>
      <c r="T97" s="2463">
        <v>15.1</v>
      </c>
      <c r="U97" s="2463">
        <v>7.43</v>
      </c>
      <c r="V97" s="2463">
        <v>26.26</v>
      </c>
    </row>
    <row r="98" spans="7:22">
      <c r="G98" s="2353"/>
      <c r="N98" s="2382"/>
      <c r="O98" s="2383"/>
      <c r="P98" s="2383"/>
      <c r="Q98" s="2383"/>
      <c r="S98" s="2464">
        <v>2005</v>
      </c>
      <c r="T98" s="2465">
        <v>13.9</v>
      </c>
      <c r="U98" s="2465">
        <v>7.49</v>
      </c>
      <c r="V98" s="2465">
        <v>24.92</v>
      </c>
    </row>
    <row r="99" spans="7:22">
      <c r="G99" s="2353"/>
      <c r="N99" s="2382"/>
      <c r="O99" s="2383"/>
      <c r="P99" s="2383"/>
      <c r="Q99" s="2383"/>
      <c r="S99" s="2462">
        <v>2004</v>
      </c>
      <c r="T99" s="2463">
        <v>9.48</v>
      </c>
      <c r="U99" s="2463">
        <v>7.2</v>
      </c>
      <c r="V99" s="2463">
        <v>14.68</v>
      </c>
    </row>
    <row r="100" spans="7:22">
      <c r="G100" s="2353"/>
      <c r="N100" s="2382"/>
      <c r="O100" s="2383"/>
      <c r="P100" s="2383"/>
      <c r="Q100" s="2383"/>
      <c r="S100" s="2464">
        <v>2003</v>
      </c>
      <c r="T100" s="2465">
        <v>4.5</v>
      </c>
      <c r="U100" s="2465">
        <v>6.12</v>
      </c>
      <c r="V100" s="2465">
        <v>2.34</v>
      </c>
    </row>
    <row r="101" spans="7:22" ht="13.5" thickBot="1">
      <c r="G101" s="2353"/>
      <c r="N101" s="2382"/>
      <c r="O101" s="2383"/>
      <c r="P101" s="2383"/>
      <c r="Q101" s="2383"/>
      <c r="S101" s="2466">
        <v>2002</v>
      </c>
      <c r="T101" s="2467">
        <v>3.59</v>
      </c>
      <c r="U101" s="2467">
        <v>4.54</v>
      </c>
      <c r="V101" s="2467">
        <v>2.5499999999999998</v>
      </c>
    </row>
    <row r="102" spans="7:22">
      <c r="G102" s="2353"/>
      <c r="N102" s="2382"/>
      <c r="O102" s="2383"/>
      <c r="P102" s="2383"/>
      <c r="Q102" s="2383"/>
    </row>
    <row r="103" spans="7:22">
      <c r="G103" s="2353"/>
      <c r="N103" s="2382"/>
      <c r="O103" s="2383"/>
      <c r="P103" s="2383"/>
      <c r="Q103" s="2383"/>
    </row>
    <row r="104" spans="7:22">
      <c r="G104" s="2353"/>
      <c r="N104" s="2382"/>
      <c r="O104" s="2383"/>
      <c r="P104" s="2383"/>
      <c r="Q104" s="2383"/>
    </row>
    <row r="105" spans="7:22">
      <c r="G105" s="2353"/>
      <c r="N105" s="2382"/>
      <c r="O105" s="2383"/>
      <c r="P105" s="2383"/>
      <c r="Q105" s="2383"/>
    </row>
    <row r="106" spans="7:22">
      <c r="G106" s="2353"/>
      <c r="N106" s="2382"/>
      <c r="O106" s="2383"/>
      <c r="P106" s="2383"/>
      <c r="Q106" s="2383"/>
    </row>
    <row r="107" spans="7:22">
      <c r="G107" s="2353"/>
      <c r="N107" s="2382"/>
      <c r="O107" s="2383"/>
      <c r="P107" s="2383"/>
      <c r="Q107" s="2383"/>
    </row>
    <row r="108" spans="7:22">
      <c r="G108" s="2353"/>
      <c r="N108" s="2382"/>
      <c r="O108" s="2383"/>
      <c r="P108" s="2383"/>
      <c r="Q108" s="2383"/>
    </row>
    <row r="109" spans="7:22">
      <c r="G109" s="2353"/>
      <c r="N109" s="2382"/>
      <c r="O109" s="2383"/>
      <c r="P109" s="2383"/>
      <c r="Q109" s="2383"/>
    </row>
    <row r="110" spans="7:22">
      <c r="G110" s="2353"/>
      <c r="N110" s="2382"/>
      <c r="O110" s="2383"/>
      <c r="P110" s="2383"/>
      <c r="Q110" s="2383"/>
    </row>
    <row r="111" spans="7:22">
      <c r="G111" s="2353"/>
      <c r="N111" s="2382"/>
      <c r="O111" s="2383"/>
      <c r="P111" s="2383"/>
      <c r="Q111" s="2383"/>
    </row>
    <row r="112" spans="7:22">
      <c r="G112" s="2353"/>
      <c r="N112" s="2382"/>
      <c r="O112" s="2383"/>
      <c r="P112" s="2383"/>
      <c r="Q112" s="2383"/>
      <c r="S112" s="2353"/>
    </row>
    <row r="113" spans="7:19">
      <c r="G113" s="2353"/>
      <c r="N113" s="2382"/>
      <c r="O113" s="2383"/>
      <c r="P113" s="2383"/>
      <c r="Q113" s="2383"/>
      <c r="S113" s="2353"/>
    </row>
    <row r="114" spans="7:19">
      <c r="G114" s="2353"/>
      <c r="N114" s="2382"/>
      <c r="O114" s="2383"/>
      <c r="P114" s="2383"/>
      <c r="Q114" s="2383"/>
      <c r="S114" s="2353"/>
    </row>
    <row r="115" spans="7:19">
      <c r="G115" s="2353"/>
      <c r="N115" s="2382"/>
      <c r="O115" s="2383"/>
      <c r="P115" s="2383"/>
      <c r="Q115" s="2383"/>
      <c r="S115" s="2353"/>
    </row>
    <row r="116" spans="7:19">
      <c r="G116" s="2353"/>
      <c r="N116" s="2382"/>
      <c r="O116" s="2383"/>
      <c r="P116" s="2383"/>
      <c r="Q116" s="2383"/>
      <c r="S116" s="2353"/>
    </row>
    <row r="117" spans="7:19">
      <c r="G117" s="2353"/>
      <c r="N117" s="2382"/>
      <c r="O117" s="2383"/>
      <c r="P117" s="2383"/>
      <c r="Q117" s="2383"/>
      <c r="S117" s="2353"/>
    </row>
  </sheetData>
  <sheetProtection password="CEE9" sheet="1" objects="1" scenarios="1" formatCells="0"/>
  <mergeCells count="23">
    <mergeCell ref="G67:G70"/>
    <mergeCell ref="G71:G74"/>
    <mergeCell ref="G75:G78"/>
    <mergeCell ref="G79:G82"/>
    <mergeCell ref="G43:G46"/>
    <mergeCell ref="G47:G50"/>
    <mergeCell ref="G51:G54"/>
    <mergeCell ref="G55:G58"/>
    <mergeCell ref="G59:G62"/>
    <mergeCell ref="G63:G66"/>
    <mergeCell ref="X1:AB1"/>
    <mergeCell ref="AD1:AH1"/>
    <mergeCell ref="G39:G42"/>
    <mergeCell ref="B1:F1"/>
    <mergeCell ref="G1:L1"/>
    <mergeCell ref="N1:Q1"/>
    <mergeCell ref="S1:V1"/>
    <mergeCell ref="G23:G26"/>
    <mergeCell ref="G27:G30"/>
    <mergeCell ref="G31:G34"/>
    <mergeCell ref="G35:G38"/>
    <mergeCell ref="G15:G18"/>
    <mergeCell ref="G19:G22"/>
  </mergeCells>
  <phoneticPr fontId="147" type="noConversion"/>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28">
    <tabColor rgb="FFFF0000"/>
  </sheetPr>
  <dimension ref="A1:I23"/>
  <sheetViews>
    <sheetView view="pageBreakPreview" zoomScale="80" zoomScaleSheetLayoutView="80" workbookViewId="0">
      <selection activeCell="C15" sqref="C15"/>
    </sheetView>
  </sheetViews>
  <sheetFormatPr defaultColWidth="14.625" defaultRowHeight="14.25"/>
  <cols>
    <col min="1" max="1" width="24.375" style="2581" customWidth="1"/>
    <col min="2" max="16384" width="14.625" style="2581"/>
  </cols>
  <sheetData>
    <row r="1" spans="1:9" ht="16.5">
      <c r="A1" s="2579" t="s">
        <v>1212</v>
      </c>
      <c r="B1" s="2579">
        <f>SUM(B14:B23)</f>
        <v>1088.48</v>
      </c>
      <c r="C1" s="1633"/>
      <c r="D1" s="1633"/>
      <c r="E1" s="1633"/>
      <c r="F1" s="1633"/>
      <c r="G1" s="2580"/>
    </row>
    <row r="2" spans="1:9" ht="16.5">
      <c r="A2" s="2579" t="s">
        <v>1213</v>
      </c>
      <c r="B2" s="2579">
        <f>SUM(C14:C23)</f>
        <v>0</v>
      </c>
      <c r="C2" s="1633"/>
      <c r="D2" s="1633"/>
      <c r="E2" s="1633"/>
      <c r="F2" s="1633"/>
      <c r="G2" s="2580"/>
    </row>
    <row r="3" spans="1:9" ht="16.5">
      <c r="A3" s="2579" t="s">
        <v>1214</v>
      </c>
      <c r="B3" s="2582">
        <f>项目基本情况!D2</f>
        <v>42402</v>
      </c>
      <c r="C3" s="1633"/>
      <c r="D3" s="1633"/>
      <c r="E3" s="1633"/>
      <c r="F3" s="1633"/>
      <c r="G3" s="2580"/>
    </row>
    <row r="4" spans="1:9" ht="33">
      <c r="A4" s="2579" t="s">
        <v>1215</v>
      </c>
      <c r="B4" s="2579" t="s">
        <v>1216</v>
      </c>
      <c r="C4" s="2579" t="s">
        <v>1217</v>
      </c>
      <c r="D4" s="2579" t="s">
        <v>1218</v>
      </c>
      <c r="E4" s="1633"/>
      <c r="F4" s="2580"/>
      <c r="G4" s="2580"/>
    </row>
    <row r="5" spans="1:9" ht="16.5">
      <c r="A5" s="2579" t="s">
        <v>1219</v>
      </c>
      <c r="B5" s="2579">
        <f ca="1">SUM(D14:D23)</f>
        <v>867.11850000000004</v>
      </c>
      <c r="C5" s="2579">
        <f ca="1">ROUND(B5*10000/$B$1,0)</f>
        <v>7966</v>
      </c>
      <c r="D5" s="2579" t="e">
        <f ca="1">ROUND(B5*10000/$B$2,0)</f>
        <v>#DIV/0!</v>
      </c>
      <c r="E5" s="1633"/>
      <c r="F5" s="2580"/>
      <c r="G5" s="2580"/>
    </row>
    <row r="6" spans="1:9" ht="16.5">
      <c r="A6" s="2579" t="s">
        <v>1220</v>
      </c>
      <c r="B6" s="2579">
        <f ca="1">SUM(G14:G23)</f>
        <v>584.84029999999996</v>
      </c>
      <c r="C6" s="2579">
        <f t="shared" ref="C6:C8" ca="1" si="0">ROUND(B6*10000/$B$1,0)</f>
        <v>5373</v>
      </c>
      <c r="D6" s="2579" t="e">
        <f t="shared" ref="D6:D8" ca="1" si="1">ROUND(B6*10000/$B$2,0)</f>
        <v>#DIV/0!</v>
      </c>
      <c r="E6" s="1633"/>
      <c r="F6" s="2580"/>
      <c r="G6" s="2580"/>
    </row>
    <row r="7" spans="1:9" ht="16.5">
      <c r="A7" s="2579" t="s">
        <v>1221</v>
      </c>
      <c r="B7" s="2579" t="e">
        <f>SUM(H14:H23)</f>
        <v>#VALUE!</v>
      </c>
      <c r="C7" s="2579" t="e">
        <f>ROUND(B7*10000/$B$1,0)</f>
        <v>#VALUE!</v>
      </c>
      <c r="D7" s="2579" t="e">
        <f t="shared" si="1"/>
        <v>#VALUE!</v>
      </c>
      <c r="E7" s="1633"/>
      <c r="F7" s="2580"/>
      <c r="G7" s="2580"/>
    </row>
    <row r="8" spans="1:9" ht="16.5">
      <c r="A8" s="2579" t="s">
        <v>1222</v>
      </c>
      <c r="B8" s="2579" t="e">
        <f>SUM(I14:I23)</f>
        <v>#VALUE!</v>
      </c>
      <c r="C8" s="2579" t="e">
        <f t="shared" si="0"/>
        <v>#VALUE!</v>
      </c>
      <c r="D8" s="2579" t="e">
        <f t="shared" si="1"/>
        <v>#VALUE!</v>
      </c>
      <c r="E8" s="1633"/>
      <c r="F8" s="2580"/>
      <c r="G8" s="2580"/>
    </row>
    <row r="9" spans="1:9" ht="16.5">
      <c r="A9" s="2579" t="s">
        <v>1223</v>
      </c>
      <c r="B9" s="2583"/>
      <c r="C9" s="1633"/>
      <c r="D9" s="1633"/>
      <c r="E9" s="1633"/>
      <c r="F9" s="2580"/>
      <c r="G9" s="2580"/>
    </row>
    <row r="10" spans="1:9" ht="16.5">
      <c r="A10" s="2579" t="s">
        <v>1224</v>
      </c>
      <c r="B10" s="2583"/>
      <c r="C10" s="1633"/>
      <c r="D10" s="1633"/>
      <c r="E10" s="1633"/>
      <c r="F10" s="2580"/>
      <c r="G10" s="2580"/>
    </row>
    <row r="11" spans="1:9" ht="16.5">
      <c r="A11" s="2579" t="s">
        <v>1239</v>
      </c>
      <c r="B11" s="2583"/>
      <c r="C11" s="1633"/>
      <c r="D11" s="1633"/>
      <c r="E11" s="1633"/>
      <c r="F11" s="2580"/>
      <c r="G11" s="2580"/>
    </row>
    <row r="12" spans="1:9" ht="16.5">
      <c r="A12" s="1633"/>
      <c r="B12" s="1633"/>
      <c r="C12" s="1633"/>
      <c r="D12" s="1633"/>
      <c r="E12" s="1633"/>
      <c r="F12" s="2580"/>
      <c r="G12" s="2580"/>
    </row>
    <row r="13" spans="1:9" ht="33">
      <c r="A13" s="2584" t="s">
        <v>1238</v>
      </c>
      <c r="B13" s="2585" t="s">
        <v>1212</v>
      </c>
      <c r="C13" s="2585" t="s">
        <v>1213</v>
      </c>
      <c r="D13" s="2585" t="s">
        <v>1225</v>
      </c>
      <c r="E13" s="2579" t="s">
        <v>1217</v>
      </c>
      <c r="F13" s="2579" t="s">
        <v>1218</v>
      </c>
      <c r="G13" s="2585" t="s">
        <v>1226</v>
      </c>
      <c r="H13" s="2585" t="s">
        <v>1227</v>
      </c>
      <c r="I13" s="2585" t="s">
        <v>1228</v>
      </c>
    </row>
    <row r="14" spans="1:9" ht="16.5">
      <c r="A14" s="2885" t="s">
        <v>2927</v>
      </c>
      <c r="B14" s="2915">
        <f>项目基本情况!C12</f>
        <v>1088.48</v>
      </c>
      <c r="C14" s="2915">
        <f>项目基本情况!C13</f>
        <v>0</v>
      </c>
      <c r="D14" s="2915">
        <f ca="1">'结果表-收益法倒推'!C3/10000</f>
        <v>867.11850000000004</v>
      </c>
      <c r="E14" s="2915">
        <f ca="1">ROUND(D14*10000/B14,0)</f>
        <v>7966</v>
      </c>
      <c r="F14" s="2915" t="e">
        <f ca="1">ROUND(D14*10000/C14,0)</f>
        <v>#DIV/0!</v>
      </c>
      <c r="G14" s="2915">
        <f ca="1">IF('数据-取费表'!B3="万元",IF(A14="估价对象1（结果表）",结果表!D125,'结果表 (1修多)'!D129),IF(A14="估价对象1（结果表）",结果表!D125,'结果表 (1修多)'!D129)/10000)</f>
        <v>584.84029999999996</v>
      </c>
      <c r="H14" s="2915" t="e">
        <f>IF('数据-取费表'!B3="万元",IF(A14="估价对象1（结果表）",结果表!D127,'结果表 (1修多)'!D131),IF(A14="估价对象1（结果表）",结果表!D127,'结果表 (1修多)'!D131)/10000)</f>
        <v>#VALUE!</v>
      </c>
      <c r="I14" s="2915" t="e">
        <f>IF('数据-取费表'!B3="万元",IF(A14="估价对象1（结果表）",结果表!D129,'结果表 (1修多)'!D133),IF(A14="估价对象1（结果表）",结果表!D129,'结果表 (1修多)'!D133)/10000)</f>
        <v>#VALUE!</v>
      </c>
    </row>
    <row r="15" spans="1:9" ht="16.5">
      <c r="A15" s="2586" t="s">
        <v>1229</v>
      </c>
      <c r="B15" s="2587"/>
      <c r="C15" s="2587"/>
      <c r="D15" s="2587"/>
      <c r="E15" s="2915" t="e">
        <f t="shared" ref="E15:E23" si="2">ROUND(D15*10000/B15,0)</f>
        <v>#DIV/0!</v>
      </c>
      <c r="F15" s="2915" t="e">
        <f t="shared" ref="F15:F23" si="3">ROUND(D15*10000/C15,0)</f>
        <v>#DIV/0!</v>
      </c>
      <c r="G15" s="1305"/>
      <c r="H15" s="1305"/>
      <c r="I15" s="2587"/>
    </row>
    <row r="16" spans="1:9" ht="16.5">
      <c r="A16" s="2586" t="s">
        <v>1230</v>
      </c>
      <c r="B16" s="2587"/>
      <c r="C16" s="2587"/>
      <c r="D16" s="2587"/>
      <c r="E16" s="2915" t="e">
        <f t="shared" si="2"/>
        <v>#DIV/0!</v>
      </c>
      <c r="F16" s="2915" t="e">
        <f t="shared" si="3"/>
        <v>#DIV/0!</v>
      </c>
      <c r="G16" s="1305"/>
      <c r="H16" s="1305"/>
      <c r="I16" s="2587"/>
    </row>
    <row r="17" spans="1:9" ht="16.5">
      <c r="A17" s="2586" t="s">
        <v>1231</v>
      </c>
      <c r="B17" s="2587"/>
      <c r="C17" s="2587"/>
      <c r="D17" s="2587"/>
      <c r="E17" s="2915" t="e">
        <f t="shared" si="2"/>
        <v>#DIV/0!</v>
      </c>
      <c r="F17" s="2915" t="e">
        <f t="shared" si="3"/>
        <v>#DIV/0!</v>
      </c>
      <c r="G17" s="1305"/>
      <c r="H17" s="1305"/>
      <c r="I17" s="2587"/>
    </row>
    <row r="18" spans="1:9" ht="16.5">
      <c r="A18" s="2586" t="s">
        <v>1232</v>
      </c>
      <c r="B18" s="2587"/>
      <c r="C18" s="2587"/>
      <c r="D18" s="2587"/>
      <c r="E18" s="2915" t="e">
        <f t="shared" si="2"/>
        <v>#DIV/0!</v>
      </c>
      <c r="F18" s="2915" t="e">
        <f t="shared" si="3"/>
        <v>#DIV/0!</v>
      </c>
      <c r="G18" s="2587"/>
      <c r="H18" s="2587"/>
      <c r="I18" s="2587"/>
    </row>
    <row r="19" spans="1:9" ht="16.5">
      <c r="A19" s="2586" t="s">
        <v>1233</v>
      </c>
      <c r="B19" s="2587"/>
      <c r="C19" s="2587"/>
      <c r="D19" s="2587"/>
      <c r="E19" s="2915" t="e">
        <f t="shared" si="2"/>
        <v>#DIV/0!</v>
      </c>
      <c r="F19" s="2915" t="e">
        <f t="shared" si="3"/>
        <v>#DIV/0!</v>
      </c>
      <c r="G19" s="2587"/>
      <c r="H19" s="2587"/>
      <c r="I19" s="2587"/>
    </row>
    <row r="20" spans="1:9" ht="16.5">
      <c r="A20" s="2586" t="s">
        <v>1234</v>
      </c>
      <c r="B20" s="2587"/>
      <c r="C20" s="2587"/>
      <c r="D20" s="2587"/>
      <c r="E20" s="2915" t="e">
        <f t="shared" si="2"/>
        <v>#DIV/0!</v>
      </c>
      <c r="F20" s="2915" t="e">
        <f t="shared" si="3"/>
        <v>#DIV/0!</v>
      </c>
      <c r="G20" s="2587"/>
      <c r="H20" s="2587"/>
      <c r="I20" s="2587"/>
    </row>
    <row r="21" spans="1:9" ht="16.5">
      <c r="A21" s="2586" t="s">
        <v>1235</v>
      </c>
      <c r="B21" s="2587"/>
      <c r="C21" s="2587"/>
      <c r="D21" s="2587"/>
      <c r="E21" s="2915" t="e">
        <f t="shared" si="2"/>
        <v>#DIV/0!</v>
      </c>
      <c r="F21" s="2915" t="e">
        <f t="shared" si="3"/>
        <v>#DIV/0!</v>
      </c>
      <c r="G21" s="2587"/>
      <c r="H21" s="2587"/>
      <c r="I21" s="2587"/>
    </row>
    <row r="22" spans="1:9" ht="16.5">
      <c r="A22" s="2586" t="s">
        <v>1236</v>
      </c>
      <c r="B22" s="2587"/>
      <c r="C22" s="2587"/>
      <c r="D22" s="2587"/>
      <c r="E22" s="2915" t="e">
        <f t="shared" si="2"/>
        <v>#DIV/0!</v>
      </c>
      <c r="F22" s="2915" t="e">
        <f t="shared" si="3"/>
        <v>#DIV/0!</v>
      </c>
      <c r="G22" s="2587"/>
      <c r="H22" s="2587"/>
      <c r="I22" s="2587"/>
    </row>
    <row r="23" spans="1:9" ht="16.5">
      <c r="A23" s="2586" t="s">
        <v>1237</v>
      </c>
      <c r="B23" s="2587"/>
      <c r="C23" s="2587"/>
      <c r="D23" s="2587"/>
      <c r="E23" s="2916" t="e">
        <f t="shared" si="2"/>
        <v>#DIV/0!</v>
      </c>
      <c r="F23" s="2916" t="e">
        <f t="shared" si="3"/>
        <v>#DIV/0!</v>
      </c>
      <c r="G23" s="2587"/>
      <c r="H23" s="2587"/>
      <c r="I23" s="2587"/>
    </row>
  </sheetData>
  <sheetProtection password="CEE9" sheet="1" objects="1" scenarios="1" formatCells="0" formatColumns="0" formatRows="0"/>
  <phoneticPr fontId="147" type="noConversion"/>
  <dataValidations count="1">
    <dataValidation type="list" allowBlank="1" showInputMessage="1" showErrorMessage="1" sqref="A14" xr:uid="{00000000-0002-0000-3B00-000000000000}">
      <formula1>"估价对象1（结果表）,估价对象1（结果表1修多）"</formula1>
    </dataValidation>
  </dataValidations>
  <pageMargins left="0.7" right="0.7" top="0.75" bottom="0.75" header="0.3" footer="0.3"/>
  <pageSetup paperSize="9" scale="94"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M7"/>
  <sheetViews>
    <sheetView workbookViewId="0">
      <selection activeCell="D17" sqref="D17"/>
    </sheetView>
  </sheetViews>
  <sheetFormatPr defaultColWidth="8.875" defaultRowHeight="14.25"/>
  <cols>
    <col min="4" max="4" width="12.125" customWidth="1"/>
  </cols>
  <sheetData>
    <row r="1" spans="1:13">
      <c r="B1" t="s">
        <v>4191</v>
      </c>
      <c r="C1" t="s">
        <v>4192</v>
      </c>
      <c r="D1" t="s">
        <v>4193</v>
      </c>
      <c r="E1">
        <v>2016</v>
      </c>
      <c r="F1">
        <v>2017</v>
      </c>
      <c r="G1">
        <v>2018</v>
      </c>
      <c r="H1">
        <v>2019</v>
      </c>
      <c r="I1">
        <v>2020</v>
      </c>
      <c r="J1">
        <v>2021</v>
      </c>
      <c r="K1">
        <v>2022</v>
      </c>
      <c r="L1">
        <v>2023</v>
      </c>
    </row>
    <row r="2" spans="1:13">
      <c r="A2" s="3750" t="s">
        <v>4194</v>
      </c>
      <c r="B2" s="3750">
        <f>[6]工作表1!E4+[6]工作表1!E5</f>
        <v>1394.67</v>
      </c>
      <c r="C2" s="3750">
        <v>30000</v>
      </c>
      <c r="D2" s="3750">
        <f>B2*C2</f>
        <v>41840100</v>
      </c>
      <c r="E2">
        <v>59972</v>
      </c>
      <c r="F2">
        <v>8000</v>
      </c>
      <c r="G2">
        <v>8000</v>
      </c>
      <c r="H2">
        <v>8000</v>
      </c>
      <c r="I2">
        <v>8000</v>
      </c>
      <c r="J2">
        <v>8000</v>
      </c>
      <c r="K2">
        <v>8000</v>
      </c>
      <c r="L2">
        <v>8000</v>
      </c>
      <c r="M2">
        <f>SUM(E2:L2)</f>
        <v>115972</v>
      </c>
    </row>
    <row r="3" spans="1:13">
      <c r="A3" s="3750" t="s">
        <v>4195</v>
      </c>
      <c r="B3" s="3750">
        <f>[6]工作表1!E6+[6]工作表1!E7</f>
        <v>1402.83</v>
      </c>
      <c r="C3" s="3750">
        <v>30000</v>
      </c>
      <c r="D3" s="3750">
        <f>B3*C3</f>
        <v>42084900</v>
      </c>
      <c r="E3">
        <v>60168</v>
      </c>
      <c r="F3">
        <v>8000</v>
      </c>
      <c r="G3">
        <v>8000</v>
      </c>
      <c r="H3">
        <v>8000</v>
      </c>
      <c r="I3">
        <v>8000</v>
      </c>
      <c r="J3">
        <v>8000</v>
      </c>
      <c r="M3">
        <f>SUM(E3:J3)</f>
        <v>100168</v>
      </c>
    </row>
    <row r="4" spans="1:13">
      <c r="M4">
        <f>M2+M3</f>
        <v>216140</v>
      </c>
    </row>
    <row r="5" spans="1:13">
      <c r="G5">
        <f>12*8000</f>
        <v>96000</v>
      </c>
    </row>
    <row r="6" spans="1:13">
      <c r="G6">
        <v>80000</v>
      </c>
    </row>
    <row r="7" spans="1:13">
      <c r="G7">
        <f>G5+G6</f>
        <v>176000</v>
      </c>
    </row>
  </sheetData>
  <phoneticPr fontId="147" type="noConversion"/>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
  <sheetViews>
    <sheetView workbookViewId="0">
      <selection activeCell="T21" sqref="T21"/>
    </sheetView>
  </sheetViews>
  <sheetFormatPr defaultColWidth="8.875" defaultRowHeight="14.25"/>
  <sheetData/>
  <phoneticPr fontId="147" type="noConversion"/>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
  <sheetViews>
    <sheetView workbookViewId="0">
      <selection activeCell="I165" sqref="I165"/>
    </sheetView>
  </sheetViews>
  <sheetFormatPr defaultColWidth="8.875" defaultRowHeight="14.25"/>
  <sheetData/>
  <phoneticPr fontId="147" type="noConversion"/>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42"/>
  <dimension ref="A1:IW68"/>
  <sheetViews>
    <sheetView workbookViewId="0">
      <selection activeCell="H13" sqref="H13"/>
    </sheetView>
  </sheetViews>
  <sheetFormatPr defaultColWidth="8.875" defaultRowHeight="14.25"/>
  <cols>
    <col min="1" max="1" width="4.875" style="1237" customWidth="1"/>
    <col min="2" max="2" width="13.125" style="1243" customWidth="1"/>
    <col min="3" max="3" width="15.625" style="1243" customWidth="1"/>
    <col min="4" max="4" width="9.375" style="1243" bestFit="1" customWidth="1"/>
    <col min="5" max="5" width="13.5" style="1243" customWidth="1"/>
    <col min="6" max="6" width="8.875" style="1243"/>
    <col min="7" max="7" width="9.375" style="1243" bestFit="1" customWidth="1"/>
    <col min="8" max="8" width="11.5" style="1243" customWidth="1"/>
    <col min="9" max="9" width="8.875" style="1243"/>
    <col min="10" max="10" width="9.375" style="1243" bestFit="1" customWidth="1"/>
    <col min="11" max="11" width="4" style="1237" customWidth="1"/>
    <col min="12" max="12" width="5.125" style="1243" customWidth="1"/>
    <col min="13" max="13" width="13.625" style="1243" customWidth="1"/>
    <col min="14" max="256" width="8.875" style="1243"/>
    <col min="257" max="257" width="4.875" style="1234" customWidth="1"/>
    <col min="258" max="258" width="13.125" style="1234" customWidth="1"/>
    <col min="259" max="259" width="15.625" style="1234" customWidth="1"/>
    <col min="260" max="260" width="9.375" style="1234" bestFit="1" customWidth="1"/>
    <col min="261" max="261" width="13.5" style="1234" customWidth="1"/>
    <col min="262" max="262" width="8.875" style="1234"/>
    <col min="263" max="263" width="9.375" style="1234" bestFit="1" customWidth="1"/>
    <col min="264" max="265" width="8.875" style="1234"/>
    <col min="266" max="266" width="9.375" style="1234" bestFit="1" customWidth="1"/>
    <col min="267" max="267" width="4" style="1234" customWidth="1"/>
    <col min="268" max="268" width="5.125" style="1234" customWidth="1"/>
    <col min="269" max="269" width="13.625" style="1234" customWidth="1"/>
    <col min="270" max="512" width="8.875" style="1234"/>
    <col min="513" max="513" width="4.875" style="1234" customWidth="1"/>
    <col min="514" max="514" width="13.125" style="1234" customWidth="1"/>
    <col min="515" max="515" width="15.625" style="1234" customWidth="1"/>
    <col min="516" max="516" width="9.375" style="1234" bestFit="1" customWidth="1"/>
    <col min="517" max="517" width="13.5" style="1234" customWidth="1"/>
    <col min="518" max="518" width="8.875" style="1234"/>
    <col min="519" max="519" width="9.375" style="1234" bestFit="1" customWidth="1"/>
    <col min="520" max="521" width="8.875" style="1234"/>
    <col min="522" max="522" width="9.375" style="1234" bestFit="1" customWidth="1"/>
    <col min="523" max="523" width="4" style="1234" customWidth="1"/>
    <col min="524" max="524" width="5.125" style="1234" customWidth="1"/>
    <col min="525" max="525" width="13.625" style="1234" customWidth="1"/>
    <col min="526" max="768" width="8.875" style="1234"/>
    <col min="769" max="769" width="4.875" style="1234" customWidth="1"/>
    <col min="770" max="770" width="13.125" style="1234" customWidth="1"/>
    <col min="771" max="771" width="15.625" style="1234" customWidth="1"/>
    <col min="772" max="772" width="9.375" style="1234" bestFit="1" customWidth="1"/>
    <col min="773" max="773" width="13.5" style="1234" customWidth="1"/>
    <col min="774" max="774" width="8.875" style="1234"/>
    <col min="775" max="775" width="9.375" style="1234" bestFit="1" customWidth="1"/>
    <col min="776" max="777" width="8.875" style="1234"/>
    <col min="778" max="778" width="9.375" style="1234" bestFit="1" customWidth="1"/>
    <col min="779" max="779" width="4" style="1234" customWidth="1"/>
    <col min="780" max="780" width="5.125" style="1234" customWidth="1"/>
    <col min="781" max="781" width="13.625" style="1234" customWidth="1"/>
    <col min="782" max="1024" width="8.875" style="1234"/>
    <col min="1025" max="1025" width="4.875" style="1234" customWidth="1"/>
    <col min="1026" max="1026" width="13.125" style="1234" customWidth="1"/>
    <col min="1027" max="1027" width="15.625" style="1234" customWidth="1"/>
    <col min="1028" max="1028" width="9.375" style="1234" bestFit="1" customWidth="1"/>
    <col min="1029" max="1029" width="13.5" style="1234" customWidth="1"/>
    <col min="1030" max="1030" width="8.875" style="1234"/>
    <col min="1031" max="1031" width="9.375" style="1234" bestFit="1" customWidth="1"/>
    <col min="1032" max="1033" width="8.875" style="1234"/>
    <col min="1034" max="1034" width="9.375" style="1234" bestFit="1" customWidth="1"/>
    <col min="1035" max="1035" width="4" style="1234" customWidth="1"/>
    <col min="1036" max="1036" width="5.125" style="1234" customWidth="1"/>
    <col min="1037" max="1037" width="13.625" style="1234" customWidth="1"/>
    <col min="1038" max="1280" width="8.875" style="1234"/>
    <col min="1281" max="1281" width="4.875" style="1234" customWidth="1"/>
    <col min="1282" max="1282" width="13.125" style="1234" customWidth="1"/>
    <col min="1283" max="1283" width="15.625" style="1234" customWidth="1"/>
    <col min="1284" max="1284" width="9.375" style="1234" bestFit="1" customWidth="1"/>
    <col min="1285" max="1285" width="13.5" style="1234" customWidth="1"/>
    <col min="1286" max="1286" width="8.875" style="1234"/>
    <col min="1287" max="1287" width="9.375" style="1234" bestFit="1" customWidth="1"/>
    <col min="1288" max="1289" width="8.875" style="1234"/>
    <col min="1290" max="1290" width="9.375" style="1234" bestFit="1" customWidth="1"/>
    <col min="1291" max="1291" width="4" style="1234" customWidth="1"/>
    <col min="1292" max="1292" width="5.125" style="1234" customWidth="1"/>
    <col min="1293" max="1293" width="13.625" style="1234" customWidth="1"/>
    <col min="1294" max="1536" width="8.875" style="1234"/>
    <col min="1537" max="1537" width="4.875" style="1234" customWidth="1"/>
    <col min="1538" max="1538" width="13.125" style="1234" customWidth="1"/>
    <col min="1539" max="1539" width="15.625" style="1234" customWidth="1"/>
    <col min="1540" max="1540" width="9.375" style="1234" bestFit="1" customWidth="1"/>
    <col min="1541" max="1541" width="13.5" style="1234" customWidth="1"/>
    <col min="1542" max="1542" width="8.875" style="1234"/>
    <col min="1543" max="1543" width="9.375" style="1234" bestFit="1" customWidth="1"/>
    <col min="1544" max="1545" width="8.875" style="1234"/>
    <col min="1546" max="1546" width="9.375" style="1234" bestFit="1" customWidth="1"/>
    <col min="1547" max="1547" width="4" style="1234" customWidth="1"/>
    <col min="1548" max="1548" width="5.125" style="1234" customWidth="1"/>
    <col min="1549" max="1549" width="13.625" style="1234" customWidth="1"/>
    <col min="1550" max="1792" width="8.875" style="1234"/>
    <col min="1793" max="1793" width="4.875" style="1234" customWidth="1"/>
    <col min="1794" max="1794" width="13.125" style="1234" customWidth="1"/>
    <col min="1795" max="1795" width="15.625" style="1234" customWidth="1"/>
    <col min="1796" max="1796" width="9.375" style="1234" bestFit="1" customWidth="1"/>
    <col min="1797" max="1797" width="13.5" style="1234" customWidth="1"/>
    <col min="1798" max="1798" width="8.875" style="1234"/>
    <col min="1799" max="1799" width="9.375" style="1234" bestFit="1" customWidth="1"/>
    <col min="1800" max="1801" width="8.875" style="1234"/>
    <col min="1802" max="1802" width="9.375" style="1234" bestFit="1" customWidth="1"/>
    <col min="1803" max="1803" width="4" style="1234" customWidth="1"/>
    <col min="1804" max="1804" width="5.125" style="1234" customWidth="1"/>
    <col min="1805" max="1805" width="13.625" style="1234" customWidth="1"/>
    <col min="1806" max="2048" width="8.875" style="1234"/>
    <col min="2049" max="2049" width="4.875" style="1234" customWidth="1"/>
    <col min="2050" max="2050" width="13.125" style="1234" customWidth="1"/>
    <col min="2051" max="2051" width="15.625" style="1234" customWidth="1"/>
    <col min="2052" max="2052" width="9.375" style="1234" bestFit="1" customWidth="1"/>
    <col min="2053" max="2053" width="13.5" style="1234" customWidth="1"/>
    <col min="2054" max="2054" width="8.875" style="1234"/>
    <col min="2055" max="2055" width="9.375" style="1234" bestFit="1" customWidth="1"/>
    <col min="2056" max="2057" width="8.875" style="1234"/>
    <col min="2058" max="2058" width="9.375" style="1234" bestFit="1" customWidth="1"/>
    <col min="2059" max="2059" width="4" style="1234" customWidth="1"/>
    <col min="2060" max="2060" width="5.125" style="1234" customWidth="1"/>
    <col min="2061" max="2061" width="13.625" style="1234" customWidth="1"/>
    <col min="2062" max="2304" width="8.875" style="1234"/>
    <col min="2305" max="2305" width="4.875" style="1234" customWidth="1"/>
    <col min="2306" max="2306" width="13.125" style="1234" customWidth="1"/>
    <col min="2307" max="2307" width="15.625" style="1234" customWidth="1"/>
    <col min="2308" max="2308" width="9.375" style="1234" bestFit="1" customWidth="1"/>
    <col min="2309" max="2309" width="13.5" style="1234" customWidth="1"/>
    <col min="2310" max="2310" width="8.875" style="1234"/>
    <col min="2311" max="2311" width="9.375" style="1234" bestFit="1" customWidth="1"/>
    <col min="2312" max="2313" width="8.875" style="1234"/>
    <col min="2314" max="2314" width="9.375" style="1234" bestFit="1" customWidth="1"/>
    <col min="2315" max="2315" width="4" style="1234" customWidth="1"/>
    <col min="2316" max="2316" width="5.125" style="1234" customWidth="1"/>
    <col min="2317" max="2317" width="13.625" style="1234" customWidth="1"/>
    <col min="2318" max="2560" width="8.875" style="1234"/>
    <col min="2561" max="2561" width="4.875" style="1234" customWidth="1"/>
    <col min="2562" max="2562" width="13.125" style="1234" customWidth="1"/>
    <col min="2563" max="2563" width="15.625" style="1234" customWidth="1"/>
    <col min="2564" max="2564" width="9.375" style="1234" bestFit="1" customWidth="1"/>
    <col min="2565" max="2565" width="13.5" style="1234" customWidth="1"/>
    <col min="2566" max="2566" width="8.875" style="1234"/>
    <col min="2567" max="2567" width="9.375" style="1234" bestFit="1" customWidth="1"/>
    <col min="2568" max="2569" width="8.875" style="1234"/>
    <col min="2570" max="2570" width="9.375" style="1234" bestFit="1" customWidth="1"/>
    <col min="2571" max="2571" width="4" style="1234" customWidth="1"/>
    <col min="2572" max="2572" width="5.125" style="1234" customWidth="1"/>
    <col min="2573" max="2573" width="13.625" style="1234" customWidth="1"/>
    <col min="2574" max="2816" width="8.875" style="1234"/>
    <col min="2817" max="2817" width="4.875" style="1234" customWidth="1"/>
    <col min="2818" max="2818" width="13.125" style="1234" customWidth="1"/>
    <col min="2819" max="2819" width="15.625" style="1234" customWidth="1"/>
    <col min="2820" max="2820" width="9.375" style="1234" bestFit="1" customWidth="1"/>
    <col min="2821" max="2821" width="13.5" style="1234" customWidth="1"/>
    <col min="2822" max="2822" width="8.875" style="1234"/>
    <col min="2823" max="2823" width="9.375" style="1234" bestFit="1" customWidth="1"/>
    <col min="2824" max="2825" width="8.875" style="1234"/>
    <col min="2826" max="2826" width="9.375" style="1234" bestFit="1" customWidth="1"/>
    <col min="2827" max="2827" width="4" style="1234" customWidth="1"/>
    <col min="2828" max="2828" width="5.125" style="1234" customWidth="1"/>
    <col min="2829" max="2829" width="13.625" style="1234" customWidth="1"/>
    <col min="2830" max="3072" width="8.875" style="1234"/>
    <col min="3073" max="3073" width="4.875" style="1234" customWidth="1"/>
    <col min="3074" max="3074" width="13.125" style="1234" customWidth="1"/>
    <col min="3075" max="3075" width="15.625" style="1234" customWidth="1"/>
    <col min="3076" max="3076" width="9.375" style="1234" bestFit="1" customWidth="1"/>
    <col min="3077" max="3077" width="13.5" style="1234" customWidth="1"/>
    <col min="3078" max="3078" width="8.875" style="1234"/>
    <col min="3079" max="3079" width="9.375" style="1234" bestFit="1" customWidth="1"/>
    <col min="3080" max="3081" width="8.875" style="1234"/>
    <col min="3082" max="3082" width="9.375" style="1234" bestFit="1" customWidth="1"/>
    <col min="3083" max="3083" width="4" style="1234" customWidth="1"/>
    <col min="3084" max="3084" width="5.125" style="1234" customWidth="1"/>
    <col min="3085" max="3085" width="13.625" style="1234" customWidth="1"/>
    <col min="3086" max="3328" width="8.875" style="1234"/>
    <col min="3329" max="3329" width="4.875" style="1234" customWidth="1"/>
    <col min="3330" max="3330" width="13.125" style="1234" customWidth="1"/>
    <col min="3331" max="3331" width="15.625" style="1234" customWidth="1"/>
    <col min="3332" max="3332" width="9.375" style="1234" bestFit="1" customWidth="1"/>
    <col min="3333" max="3333" width="13.5" style="1234" customWidth="1"/>
    <col min="3334" max="3334" width="8.875" style="1234"/>
    <col min="3335" max="3335" width="9.375" style="1234" bestFit="1" customWidth="1"/>
    <col min="3336" max="3337" width="8.875" style="1234"/>
    <col min="3338" max="3338" width="9.375" style="1234" bestFit="1" customWidth="1"/>
    <col min="3339" max="3339" width="4" style="1234" customWidth="1"/>
    <col min="3340" max="3340" width="5.125" style="1234" customWidth="1"/>
    <col min="3341" max="3341" width="13.625" style="1234" customWidth="1"/>
    <col min="3342" max="3584" width="8.875" style="1234"/>
    <col min="3585" max="3585" width="4.875" style="1234" customWidth="1"/>
    <col min="3586" max="3586" width="13.125" style="1234" customWidth="1"/>
    <col min="3587" max="3587" width="15.625" style="1234" customWidth="1"/>
    <col min="3588" max="3588" width="9.375" style="1234" bestFit="1" customWidth="1"/>
    <col min="3589" max="3589" width="13.5" style="1234" customWidth="1"/>
    <col min="3590" max="3590" width="8.875" style="1234"/>
    <col min="3591" max="3591" width="9.375" style="1234" bestFit="1" customWidth="1"/>
    <col min="3592" max="3593" width="8.875" style="1234"/>
    <col min="3594" max="3594" width="9.375" style="1234" bestFit="1" customWidth="1"/>
    <col min="3595" max="3595" width="4" style="1234" customWidth="1"/>
    <col min="3596" max="3596" width="5.125" style="1234" customWidth="1"/>
    <col min="3597" max="3597" width="13.625" style="1234" customWidth="1"/>
    <col min="3598" max="3840" width="8.875" style="1234"/>
    <col min="3841" max="3841" width="4.875" style="1234" customWidth="1"/>
    <col min="3842" max="3842" width="13.125" style="1234" customWidth="1"/>
    <col min="3843" max="3843" width="15.625" style="1234" customWidth="1"/>
    <col min="3844" max="3844" width="9.375" style="1234" bestFit="1" customWidth="1"/>
    <col min="3845" max="3845" width="13.5" style="1234" customWidth="1"/>
    <col min="3846" max="3846" width="8.875" style="1234"/>
    <col min="3847" max="3847" width="9.375" style="1234" bestFit="1" customWidth="1"/>
    <col min="3848" max="3849" width="8.875" style="1234"/>
    <col min="3850" max="3850" width="9.375" style="1234" bestFit="1" customWidth="1"/>
    <col min="3851" max="3851" width="4" style="1234" customWidth="1"/>
    <col min="3852" max="3852" width="5.125" style="1234" customWidth="1"/>
    <col min="3853" max="3853" width="13.625" style="1234" customWidth="1"/>
    <col min="3854" max="4096" width="8.875" style="1234"/>
    <col min="4097" max="4097" width="4.875" style="1234" customWidth="1"/>
    <col min="4098" max="4098" width="13.125" style="1234" customWidth="1"/>
    <col min="4099" max="4099" width="15.625" style="1234" customWidth="1"/>
    <col min="4100" max="4100" width="9.375" style="1234" bestFit="1" customWidth="1"/>
    <col min="4101" max="4101" width="13.5" style="1234" customWidth="1"/>
    <col min="4102" max="4102" width="8.875" style="1234"/>
    <col min="4103" max="4103" width="9.375" style="1234" bestFit="1" customWidth="1"/>
    <col min="4104" max="4105" width="8.875" style="1234"/>
    <col min="4106" max="4106" width="9.375" style="1234" bestFit="1" customWidth="1"/>
    <col min="4107" max="4107" width="4" style="1234" customWidth="1"/>
    <col min="4108" max="4108" width="5.125" style="1234" customWidth="1"/>
    <col min="4109" max="4109" width="13.625" style="1234" customWidth="1"/>
    <col min="4110" max="4352" width="8.875" style="1234"/>
    <col min="4353" max="4353" width="4.875" style="1234" customWidth="1"/>
    <col min="4354" max="4354" width="13.125" style="1234" customWidth="1"/>
    <col min="4355" max="4355" width="15.625" style="1234" customWidth="1"/>
    <col min="4356" max="4356" width="9.375" style="1234" bestFit="1" customWidth="1"/>
    <col min="4357" max="4357" width="13.5" style="1234" customWidth="1"/>
    <col min="4358" max="4358" width="8.875" style="1234"/>
    <col min="4359" max="4359" width="9.375" style="1234" bestFit="1" customWidth="1"/>
    <col min="4360" max="4361" width="8.875" style="1234"/>
    <col min="4362" max="4362" width="9.375" style="1234" bestFit="1" customWidth="1"/>
    <col min="4363" max="4363" width="4" style="1234" customWidth="1"/>
    <col min="4364" max="4364" width="5.125" style="1234" customWidth="1"/>
    <col min="4365" max="4365" width="13.625" style="1234" customWidth="1"/>
    <col min="4366" max="4608" width="8.875" style="1234"/>
    <col min="4609" max="4609" width="4.875" style="1234" customWidth="1"/>
    <col min="4610" max="4610" width="13.125" style="1234" customWidth="1"/>
    <col min="4611" max="4611" width="15.625" style="1234" customWidth="1"/>
    <col min="4612" max="4612" width="9.375" style="1234" bestFit="1" customWidth="1"/>
    <col min="4613" max="4613" width="13.5" style="1234" customWidth="1"/>
    <col min="4614" max="4614" width="8.875" style="1234"/>
    <col min="4615" max="4615" width="9.375" style="1234" bestFit="1" customWidth="1"/>
    <col min="4616" max="4617" width="8.875" style="1234"/>
    <col min="4618" max="4618" width="9.375" style="1234" bestFit="1" customWidth="1"/>
    <col min="4619" max="4619" width="4" style="1234" customWidth="1"/>
    <col min="4620" max="4620" width="5.125" style="1234" customWidth="1"/>
    <col min="4621" max="4621" width="13.625" style="1234" customWidth="1"/>
    <col min="4622" max="4864" width="8.875" style="1234"/>
    <col min="4865" max="4865" width="4.875" style="1234" customWidth="1"/>
    <col min="4866" max="4866" width="13.125" style="1234" customWidth="1"/>
    <col min="4867" max="4867" width="15.625" style="1234" customWidth="1"/>
    <col min="4868" max="4868" width="9.375" style="1234" bestFit="1" customWidth="1"/>
    <col min="4869" max="4869" width="13.5" style="1234" customWidth="1"/>
    <col min="4870" max="4870" width="8.875" style="1234"/>
    <col min="4871" max="4871" width="9.375" style="1234" bestFit="1" customWidth="1"/>
    <col min="4872" max="4873" width="8.875" style="1234"/>
    <col min="4874" max="4874" width="9.375" style="1234" bestFit="1" customWidth="1"/>
    <col min="4875" max="4875" width="4" style="1234" customWidth="1"/>
    <col min="4876" max="4876" width="5.125" style="1234" customWidth="1"/>
    <col min="4877" max="4877" width="13.625" style="1234" customWidth="1"/>
    <col min="4878" max="5120" width="8.875" style="1234"/>
    <col min="5121" max="5121" width="4.875" style="1234" customWidth="1"/>
    <col min="5122" max="5122" width="13.125" style="1234" customWidth="1"/>
    <col min="5123" max="5123" width="15.625" style="1234" customWidth="1"/>
    <col min="5124" max="5124" width="9.375" style="1234" bestFit="1" customWidth="1"/>
    <col min="5125" max="5125" width="13.5" style="1234" customWidth="1"/>
    <col min="5126" max="5126" width="8.875" style="1234"/>
    <col min="5127" max="5127" width="9.375" style="1234" bestFit="1" customWidth="1"/>
    <col min="5128" max="5129" width="8.875" style="1234"/>
    <col min="5130" max="5130" width="9.375" style="1234" bestFit="1" customWidth="1"/>
    <col min="5131" max="5131" width="4" style="1234" customWidth="1"/>
    <col min="5132" max="5132" width="5.125" style="1234" customWidth="1"/>
    <col min="5133" max="5133" width="13.625" style="1234" customWidth="1"/>
    <col min="5134" max="5376" width="8.875" style="1234"/>
    <col min="5377" max="5377" width="4.875" style="1234" customWidth="1"/>
    <col min="5378" max="5378" width="13.125" style="1234" customWidth="1"/>
    <col min="5379" max="5379" width="15.625" style="1234" customWidth="1"/>
    <col min="5380" max="5380" width="9.375" style="1234" bestFit="1" customWidth="1"/>
    <col min="5381" max="5381" width="13.5" style="1234" customWidth="1"/>
    <col min="5382" max="5382" width="8.875" style="1234"/>
    <col min="5383" max="5383" width="9.375" style="1234" bestFit="1" customWidth="1"/>
    <col min="5384" max="5385" width="8.875" style="1234"/>
    <col min="5386" max="5386" width="9.375" style="1234" bestFit="1" customWidth="1"/>
    <col min="5387" max="5387" width="4" style="1234" customWidth="1"/>
    <col min="5388" max="5388" width="5.125" style="1234" customWidth="1"/>
    <col min="5389" max="5389" width="13.625" style="1234" customWidth="1"/>
    <col min="5390" max="5632" width="8.875" style="1234"/>
    <col min="5633" max="5633" width="4.875" style="1234" customWidth="1"/>
    <col min="5634" max="5634" width="13.125" style="1234" customWidth="1"/>
    <col min="5635" max="5635" width="15.625" style="1234" customWidth="1"/>
    <col min="5636" max="5636" width="9.375" style="1234" bestFit="1" customWidth="1"/>
    <col min="5637" max="5637" width="13.5" style="1234" customWidth="1"/>
    <col min="5638" max="5638" width="8.875" style="1234"/>
    <col min="5639" max="5639" width="9.375" style="1234" bestFit="1" customWidth="1"/>
    <col min="5640" max="5641" width="8.875" style="1234"/>
    <col min="5642" max="5642" width="9.375" style="1234" bestFit="1" customWidth="1"/>
    <col min="5643" max="5643" width="4" style="1234" customWidth="1"/>
    <col min="5644" max="5644" width="5.125" style="1234" customWidth="1"/>
    <col min="5645" max="5645" width="13.625" style="1234" customWidth="1"/>
    <col min="5646" max="5888" width="8.875" style="1234"/>
    <col min="5889" max="5889" width="4.875" style="1234" customWidth="1"/>
    <col min="5890" max="5890" width="13.125" style="1234" customWidth="1"/>
    <col min="5891" max="5891" width="15.625" style="1234" customWidth="1"/>
    <col min="5892" max="5892" width="9.375" style="1234" bestFit="1" customWidth="1"/>
    <col min="5893" max="5893" width="13.5" style="1234" customWidth="1"/>
    <col min="5894" max="5894" width="8.875" style="1234"/>
    <col min="5895" max="5895" width="9.375" style="1234" bestFit="1" customWidth="1"/>
    <col min="5896" max="5897" width="8.875" style="1234"/>
    <col min="5898" max="5898" width="9.375" style="1234" bestFit="1" customWidth="1"/>
    <col min="5899" max="5899" width="4" style="1234" customWidth="1"/>
    <col min="5900" max="5900" width="5.125" style="1234" customWidth="1"/>
    <col min="5901" max="5901" width="13.625" style="1234" customWidth="1"/>
    <col min="5902" max="6144" width="8.875" style="1234"/>
    <col min="6145" max="6145" width="4.875" style="1234" customWidth="1"/>
    <col min="6146" max="6146" width="13.125" style="1234" customWidth="1"/>
    <col min="6147" max="6147" width="15.625" style="1234" customWidth="1"/>
    <col min="6148" max="6148" width="9.375" style="1234" bestFit="1" customWidth="1"/>
    <col min="6149" max="6149" width="13.5" style="1234" customWidth="1"/>
    <col min="6150" max="6150" width="8.875" style="1234"/>
    <col min="6151" max="6151" width="9.375" style="1234" bestFit="1" customWidth="1"/>
    <col min="6152" max="6153" width="8.875" style="1234"/>
    <col min="6154" max="6154" width="9.375" style="1234" bestFit="1" customWidth="1"/>
    <col min="6155" max="6155" width="4" style="1234" customWidth="1"/>
    <col min="6156" max="6156" width="5.125" style="1234" customWidth="1"/>
    <col min="6157" max="6157" width="13.625" style="1234" customWidth="1"/>
    <col min="6158" max="6400" width="8.875" style="1234"/>
    <col min="6401" max="6401" width="4.875" style="1234" customWidth="1"/>
    <col min="6402" max="6402" width="13.125" style="1234" customWidth="1"/>
    <col min="6403" max="6403" width="15.625" style="1234" customWidth="1"/>
    <col min="6404" max="6404" width="9.375" style="1234" bestFit="1" customWidth="1"/>
    <col min="6405" max="6405" width="13.5" style="1234" customWidth="1"/>
    <col min="6406" max="6406" width="8.875" style="1234"/>
    <col min="6407" max="6407" width="9.375" style="1234" bestFit="1" customWidth="1"/>
    <col min="6408" max="6409" width="8.875" style="1234"/>
    <col min="6410" max="6410" width="9.375" style="1234" bestFit="1" customWidth="1"/>
    <col min="6411" max="6411" width="4" style="1234" customWidth="1"/>
    <col min="6412" max="6412" width="5.125" style="1234" customWidth="1"/>
    <col min="6413" max="6413" width="13.625" style="1234" customWidth="1"/>
    <col min="6414" max="6656" width="8.875" style="1234"/>
    <col min="6657" max="6657" width="4.875" style="1234" customWidth="1"/>
    <col min="6658" max="6658" width="13.125" style="1234" customWidth="1"/>
    <col min="6659" max="6659" width="15.625" style="1234" customWidth="1"/>
    <col min="6660" max="6660" width="9.375" style="1234" bestFit="1" customWidth="1"/>
    <col min="6661" max="6661" width="13.5" style="1234" customWidth="1"/>
    <col min="6662" max="6662" width="8.875" style="1234"/>
    <col min="6663" max="6663" width="9.375" style="1234" bestFit="1" customWidth="1"/>
    <col min="6664" max="6665" width="8.875" style="1234"/>
    <col min="6666" max="6666" width="9.375" style="1234" bestFit="1" customWidth="1"/>
    <col min="6667" max="6667" width="4" style="1234" customWidth="1"/>
    <col min="6668" max="6668" width="5.125" style="1234" customWidth="1"/>
    <col min="6669" max="6669" width="13.625" style="1234" customWidth="1"/>
    <col min="6670" max="6912" width="8.875" style="1234"/>
    <col min="6913" max="6913" width="4.875" style="1234" customWidth="1"/>
    <col min="6914" max="6914" width="13.125" style="1234" customWidth="1"/>
    <col min="6915" max="6915" width="15.625" style="1234" customWidth="1"/>
    <col min="6916" max="6916" width="9.375" style="1234" bestFit="1" customWidth="1"/>
    <col min="6917" max="6917" width="13.5" style="1234" customWidth="1"/>
    <col min="6918" max="6918" width="8.875" style="1234"/>
    <col min="6919" max="6919" width="9.375" style="1234" bestFit="1" customWidth="1"/>
    <col min="6920" max="6921" width="8.875" style="1234"/>
    <col min="6922" max="6922" width="9.375" style="1234" bestFit="1" customWidth="1"/>
    <col min="6923" max="6923" width="4" style="1234" customWidth="1"/>
    <col min="6924" max="6924" width="5.125" style="1234" customWidth="1"/>
    <col min="6925" max="6925" width="13.625" style="1234" customWidth="1"/>
    <col min="6926" max="7168" width="8.875" style="1234"/>
    <col min="7169" max="7169" width="4.875" style="1234" customWidth="1"/>
    <col min="7170" max="7170" width="13.125" style="1234" customWidth="1"/>
    <col min="7171" max="7171" width="15.625" style="1234" customWidth="1"/>
    <col min="7172" max="7172" width="9.375" style="1234" bestFit="1" customWidth="1"/>
    <col min="7173" max="7173" width="13.5" style="1234" customWidth="1"/>
    <col min="7174" max="7174" width="8.875" style="1234"/>
    <col min="7175" max="7175" width="9.375" style="1234" bestFit="1" customWidth="1"/>
    <col min="7176" max="7177" width="8.875" style="1234"/>
    <col min="7178" max="7178" width="9.375" style="1234" bestFit="1" customWidth="1"/>
    <col min="7179" max="7179" width="4" style="1234" customWidth="1"/>
    <col min="7180" max="7180" width="5.125" style="1234" customWidth="1"/>
    <col min="7181" max="7181" width="13.625" style="1234" customWidth="1"/>
    <col min="7182" max="7424" width="8.875" style="1234"/>
    <col min="7425" max="7425" width="4.875" style="1234" customWidth="1"/>
    <col min="7426" max="7426" width="13.125" style="1234" customWidth="1"/>
    <col min="7427" max="7427" width="15.625" style="1234" customWidth="1"/>
    <col min="7428" max="7428" width="9.375" style="1234" bestFit="1" customWidth="1"/>
    <col min="7429" max="7429" width="13.5" style="1234" customWidth="1"/>
    <col min="7430" max="7430" width="8.875" style="1234"/>
    <col min="7431" max="7431" width="9.375" style="1234" bestFit="1" customWidth="1"/>
    <col min="7432" max="7433" width="8.875" style="1234"/>
    <col min="7434" max="7434" width="9.375" style="1234" bestFit="1" customWidth="1"/>
    <col min="7435" max="7435" width="4" style="1234" customWidth="1"/>
    <col min="7436" max="7436" width="5.125" style="1234" customWidth="1"/>
    <col min="7437" max="7437" width="13.625" style="1234" customWidth="1"/>
    <col min="7438" max="7680" width="8.875" style="1234"/>
    <col min="7681" max="7681" width="4.875" style="1234" customWidth="1"/>
    <col min="7682" max="7682" width="13.125" style="1234" customWidth="1"/>
    <col min="7683" max="7683" width="15.625" style="1234" customWidth="1"/>
    <col min="7684" max="7684" width="9.375" style="1234" bestFit="1" customWidth="1"/>
    <col min="7685" max="7685" width="13.5" style="1234" customWidth="1"/>
    <col min="7686" max="7686" width="8.875" style="1234"/>
    <col min="7687" max="7687" width="9.375" style="1234" bestFit="1" customWidth="1"/>
    <col min="7688" max="7689" width="8.875" style="1234"/>
    <col min="7690" max="7690" width="9.375" style="1234" bestFit="1" customWidth="1"/>
    <col min="7691" max="7691" width="4" style="1234" customWidth="1"/>
    <col min="7692" max="7692" width="5.125" style="1234" customWidth="1"/>
    <col min="7693" max="7693" width="13.625" style="1234" customWidth="1"/>
    <col min="7694" max="7936" width="8.875" style="1234"/>
    <col min="7937" max="7937" width="4.875" style="1234" customWidth="1"/>
    <col min="7938" max="7938" width="13.125" style="1234" customWidth="1"/>
    <col min="7939" max="7939" width="15.625" style="1234" customWidth="1"/>
    <col min="7940" max="7940" width="9.375" style="1234" bestFit="1" customWidth="1"/>
    <col min="7941" max="7941" width="13.5" style="1234" customWidth="1"/>
    <col min="7942" max="7942" width="8.875" style="1234"/>
    <col min="7943" max="7943" width="9.375" style="1234" bestFit="1" customWidth="1"/>
    <col min="7944" max="7945" width="8.875" style="1234"/>
    <col min="7946" max="7946" width="9.375" style="1234" bestFit="1" customWidth="1"/>
    <col min="7947" max="7947" width="4" style="1234" customWidth="1"/>
    <col min="7948" max="7948" width="5.125" style="1234" customWidth="1"/>
    <col min="7949" max="7949" width="13.625" style="1234" customWidth="1"/>
    <col min="7950" max="8192" width="8.875" style="1234"/>
    <col min="8193" max="8193" width="4.875" style="1234" customWidth="1"/>
    <col min="8194" max="8194" width="13.125" style="1234" customWidth="1"/>
    <col min="8195" max="8195" width="15.625" style="1234" customWidth="1"/>
    <col min="8196" max="8196" width="9.375" style="1234" bestFit="1" customWidth="1"/>
    <col min="8197" max="8197" width="13.5" style="1234" customWidth="1"/>
    <col min="8198" max="8198" width="8.875" style="1234"/>
    <col min="8199" max="8199" width="9.375" style="1234" bestFit="1" customWidth="1"/>
    <col min="8200" max="8201" width="8.875" style="1234"/>
    <col min="8202" max="8202" width="9.375" style="1234" bestFit="1" customWidth="1"/>
    <col min="8203" max="8203" width="4" style="1234" customWidth="1"/>
    <col min="8204" max="8204" width="5.125" style="1234" customWidth="1"/>
    <col min="8205" max="8205" width="13.625" style="1234" customWidth="1"/>
    <col min="8206" max="8448" width="8.875" style="1234"/>
    <col min="8449" max="8449" width="4.875" style="1234" customWidth="1"/>
    <col min="8450" max="8450" width="13.125" style="1234" customWidth="1"/>
    <col min="8451" max="8451" width="15.625" style="1234" customWidth="1"/>
    <col min="8452" max="8452" width="9.375" style="1234" bestFit="1" customWidth="1"/>
    <col min="8453" max="8453" width="13.5" style="1234" customWidth="1"/>
    <col min="8454" max="8454" width="8.875" style="1234"/>
    <col min="8455" max="8455" width="9.375" style="1234" bestFit="1" customWidth="1"/>
    <col min="8456" max="8457" width="8.875" style="1234"/>
    <col min="8458" max="8458" width="9.375" style="1234" bestFit="1" customWidth="1"/>
    <col min="8459" max="8459" width="4" style="1234" customWidth="1"/>
    <col min="8460" max="8460" width="5.125" style="1234" customWidth="1"/>
    <col min="8461" max="8461" width="13.625" style="1234" customWidth="1"/>
    <col min="8462" max="8704" width="8.875" style="1234"/>
    <col min="8705" max="8705" width="4.875" style="1234" customWidth="1"/>
    <col min="8706" max="8706" width="13.125" style="1234" customWidth="1"/>
    <col min="8707" max="8707" width="15.625" style="1234" customWidth="1"/>
    <col min="8708" max="8708" width="9.375" style="1234" bestFit="1" customWidth="1"/>
    <col min="8709" max="8709" width="13.5" style="1234" customWidth="1"/>
    <col min="8710" max="8710" width="8.875" style="1234"/>
    <col min="8711" max="8711" width="9.375" style="1234" bestFit="1" customWidth="1"/>
    <col min="8712" max="8713" width="8.875" style="1234"/>
    <col min="8714" max="8714" width="9.375" style="1234" bestFit="1" customWidth="1"/>
    <col min="8715" max="8715" width="4" style="1234" customWidth="1"/>
    <col min="8716" max="8716" width="5.125" style="1234" customWidth="1"/>
    <col min="8717" max="8717" width="13.625" style="1234" customWidth="1"/>
    <col min="8718" max="8960" width="8.875" style="1234"/>
    <col min="8961" max="8961" width="4.875" style="1234" customWidth="1"/>
    <col min="8962" max="8962" width="13.125" style="1234" customWidth="1"/>
    <col min="8963" max="8963" width="15.625" style="1234" customWidth="1"/>
    <col min="8964" max="8964" width="9.375" style="1234" bestFit="1" customWidth="1"/>
    <col min="8965" max="8965" width="13.5" style="1234" customWidth="1"/>
    <col min="8966" max="8966" width="8.875" style="1234"/>
    <col min="8967" max="8967" width="9.375" style="1234" bestFit="1" customWidth="1"/>
    <col min="8968" max="8969" width="8.875" style="1234"/>
    <col min="8970" max="8970" width="9.375" style="1234" bestFit="1" customWidth="1"/>
    <col min="8971" max="8971" width="4" style="1234" customWidth="1"/>
    <col min="8972" max="8972" width="5.125" style="1234" customWidth="1"/>
    <col min="8973" max="8973" width="13.625" style="1234" customWidth="1"/>
    <col min="8974" max="9216" width="8.875" style="1234"/>
    <col min="9217" max="9217" width="4.875" style="1234" customWidth="1"/>
    <col min="9218" max="9218" width="13.125" style="1234" customWidth="1"/>
    <col min="9219" max="9219" width="15.625" style="1234" customWidth="1"/>
    <col min="9220" max="9220" width="9.375" style="1234" bestFit="1" customWidth="1"/>
    <col min="9221" max="9221" width="13.5" style="1234" customWidth="1"/>
    <col min="9222" max="9222" width="8.875" style="1234"/>
    <col min="9223" max="9223" width="9.375" style="1234" bestFit="1" customWidth="1"/>
    <col min="9224" max="9225" width="8.875" style="1234"/>
    <col min="9226" max="9226" width="9.375" style="1234" bestFit="1" customWidth="1"/>
    <col min="9227" max="9227" width="4" style="1234" customWidth="1"/>
    <col min="9228" max="9228" width="5.125" style="1234" customWidth="1"/>
    <col min="9229" max="9229" width="13.625" style="1234" customWidth="1"/>
    <col min="9230" max="9472" width="8.875" style="1234"/>
    <col min="9473" max="9473" width="4.875" style="1234" customWidth="1"/>
    <col min="9474" max="9474" width="13.125" style="1234" customWidth="1"/>
    <col min="9475" max="9475" width="15.625" style="1234" customWidth="1"/>
    <col min="9476" max="9476" width="9.375" style="1234" bestFit="1" customWidth="1"/>
    <col min="9477" max="9477" width="13.5" style="1234" customWidth="1"/>
    <col min="9478" max="9478" width="8.875" style="1234"/>
    <col min="9479" max="9479" width="9.375" style="1234" bestFit="1" customWidth="1"/>
    <col min="9480" max="9481" width="8.875" style="1234"/>
    <col min="9482" max="9482" width="9.375" style="1234" bestFit="1" customWidth="1"/>
    <col min="9483" max="9483" width="4" style="1234" customWidth="1"/>
    <col min="9484" max="9484" width="5.125" style="1234" customWidth="1"/>
    <col min="9485" max="9485" width="13.625" style="1234" customWidth="1"/>
    <col min="9486" max="9728" width="8.875" style="1234"/>
    <col min="9729" max="9729" width="4.875" style="1234" customWidth="1"/>
    <col min="9730" max="9730" width="13.125" style="1234" customWidth="1"/>
    <col min="9731" max="9731" width="15.625" style="1234" customWidth="1"/>
    <col min="9732" max="9732" width="9.375" style="1234" bestFit="1" customWidth="1"/>
    <col min="9733" max="9733" width="13.5" style="1234" customWidth="1"/>
    <col min="9734" max="9734" width="8.875" style="1234"/>
    <col min="9735" max="9735" width="9.375" style="1234" bestFit="1" customWidth="1"/>
    <col min="9736" max="9737" width="8.875" style="1234"/>
    <col min="9738" max="9738" width="9.375" style="1234" bestFit="1" customWidth="1"/>
    <col min="9739" max="9739" width="4" style="1234" customWidth="1"/>
    <col min="9740" max="9740" width="5.125" style="1234" customWidth="1"/>
    <col min="9741" max="9741" width="13.625" style="1234" customWidth="1"/>
    <col min="9742" max="9984" width="8.875" style="1234"/>
    <col min="9985" max="9985" width="4.875" style="1234" customWidth="1"/>
    <col min="9986" max="9986" width="13.125" style="1234" customWidth="1"/>
    <col min="9987" max="9987" width="15.625" style="1234" customWidth="1"/>
    <col min="9988" max="9988" width="9.375" style="1234" bestFit="1" customWidth="1"/>
    <col min="9989" max="9989" width="13.5" style="1234" customWidth="1"/>
    <col min="9990" max="9990" width="8.875" style="1234"/>
    <col min="9991" max="9991" width="9.375" style="1234" bestFit="1" customWidth="1"/>
    <col min="9992" max="9993" width="8.875" style="1234"/>
    <col min="9994" max="9994" width="9.375" style="1234" bestFit="1" customWidth="1"/>
    <col min="9995" max="9995" width="4" style="1234" customWidth="1"/>
    <col min="9996" max="9996" width="5.125" style="1234" customWidth="1"/>
    <col min="9997" max="9997" width="13.625" style="1234" customWidth="1"/>
    <col min="9998" max="10240" width="8.875" style="1234"/>
    <col min="10241" max="10241" width="4.875" style="1234" customWidth="1"/>
    <col min="10242" max="10242" width="13.125" style="1234" customWidth="1"/>
    <col min="10243" max="10243" width="15.625" style="1234" customWidth="1"/>
    <col min="10244" max="10244" width="9.375" style="1234" bestFit="1" customWidth="1"/>
    <col min="10245" max="10245" width="13.5" style="1234" customWidth="1"/>
    <col min="10246" max="10246" width="8.875" style="1234"/>
    <col min="10247" max="10247" width="9.375" style="1234" bestFit="1" customWidth="1"/>
    <col min="10248" max="10249" width="8.875" style="1234"/>
    <col min="10250" max="10250" width="9.375" style="1234" bestFit="1" customWidth="1"/>
    <col min="10251" max="10251" width="4" style="1234" customWidth="1"/>
    <col min="10252" max="10252" width="5.125" style="1234" customWidth="1"/>
    <col min="10253" max="10253" width="13.625" style="1234" customWidth="1"/>
    <col min="10254" max="10496" width="8.875" style="1234"/>
    <col min="10497" max="10497" width="4.875" style="1234" customWidth="1"/>
    <col min="10498" max="10498" width="13.125" style="1234" customWidth="1"/>
    <col min="10499" max="10499" width="15.625" style="1234" customWidth="1"/>
    <col min="10500" max="10500" width="9.375" style="1234" bestFit="1" customWidth="1"/>
    <col min="10501" max="10501" width="13.5" style="1234" customWidth="1"/>
    <col min="10502" max="10502" width="8.875" style="1234"/>
    <col min="10503" max="10503" width="9.375" style="1234" bestFit="1" customWidth="1"/>
    <col min="10504" max="10505" width="8.875" style="1234"/>
    <col min="10506" max="10506" width="9.375" style="1234" bestFit="1" customWidth="1"/>
    <col min="10507" max="10507" width="4" style="1234" customWidth="1"/>
    <col min="10508" max="10508" width="5.125" style="1234" customWidth="1"/>
    <col min="10509" max="10509" width="13.625" style="1234" customWidth="1"/>
    <col min="10510" max="10752" width="8.875" style="1234"/>
    <col min="10753" max="10753" width="4.875" style="1234" customWidth="1"/>
    <col min="10754" max="10754" width="13.125" style="1234" customWidth="1"/>
    <col min="10755" max="10755" width="15.625" style="1234" customWidth="1"/>
    <col min="10756" max="10756" width="9.375" style="1234" bestFit="1" customWidth="1"/>
    <col min="10757" max="10757" width="13.5" style="1234" customWidth="1"/>
    <col min="10758" max="10758" width="8.875" style="1234"/>
    <col min="10759" max="10759" width="9.375" style="1234" bestFit="1" customWidth="1"/>
    <col min="10760" max="10761" width="8.875" style="1234"/>
    <col min="10762" max="10762" width="9.375" style="1234" bestFit="1" customWidth="1"/>
    <col min="10763" max="10763" width="4" style="1234" customWidth="1"/>
    <col min="10764" max="10764" width="5.125" style="1234" customWidth="1"/>
    <col min="10765" max="10765" width="13.625" style="1234" customWidth="1"/>
    <col min="10766" max="11008" width="8.875" style="1234"/>
    <col min="11009" max="11009" width="4.875" style="1234" customWidth="1"/>
    <col min="11010" max="11010" width="13.125" style="1234" customWidth="1"/>
    <col min="11011" max="11011" width="15.625" style="1234" customWidth="1"/>
    <col min="11012" max="11012" width="9.375" style="1234" bestFit="1" customWidth="1"/>
    <col min="11013" max="11013" width="13.5" style="1234" customWidth="1"/>
    <col min="11014" max="11014" width="8.875" style="1234"/>
    <col min="11015" max="11015" width="9.375" style="1234" bestFit="1" customWidth="1"/>
    <col min="11016" max="11017" width="8.875" style="1234"/>
    <col min="11018" max="11018" width="9.375" style="1234" bestFit="1" customWidth="1"/>
    <col min="11019" max="11019" width="4" style="1234" customWidth="1"/>
    <col min="11020" max="11020" width="5.125" style="1234" customWidth="1"/>
    <col min="11021" max="11021" width="13.625" style="1234" customWidth="1"/>
    <col min="11022" max="11264" width="8.875" style="1234"/>
    <col min="11265" max="11265" width="4.875" style="1234" customWidth="1"/>
    <col min="11266" max="11266" width="13.125" style="1234" customWidth="1"/>
    <col min="11267" max="11267" width="15.625" style="1234" customWidth="1"/>
    <col min="11268" max="11268" width="9.375" style="1234" bestFit="1" customWidth="1"/>
    <col min="11269" max="11269" width="13.5" style="1234" customWidth="1"/>
    <col min="11270" max="11270" width="8.875" style="1234"/>
    <col min="11271" max="11271" width="9.375" style="1234" bestFit="1" customWidth="1"/>
    <col min="11272" max="11273" width="8.875" style="1234"/>
    <col min="11274" max="11274" width="9.375" style="1234" bestFit="1" customWidth="1"/>
    <col min="11275" max="11275" width="4" style="1234" customWidth="1"/>
    <col min="11276" max="11276" width="5.125" style="1234" customWidth="1"/>
    <col min="11277" max="11277" width="13.625" style="1234" customWidth="1"/>
    <col min="11278" max="11520" width="8.875" style="1234"/>
    <col min="11521" max="11521" width="4.875" style="1234" customWidth="1"/>
    <col min="11522" max="11522" width="13.125" style="1234" customWidth="1"/>
    <col min="11523" max="11523" width="15.625" style="1234" customWidth="1"/>
    <col min="11524" max="11524" width="9.375" style="1234" bestFit="1" customWidth="1"/>
    <col min="11525" max="11525" width="13.5" style="1234" customWidth="1"/>
    <col min="11526" max="11526" width="8.875" style="1234"/>
    <col min="11527" max="11527" width="9.375" style="1234" bestFit="1" customWidth="1"/>
    <col min="11528" max="11529" width="8.875" style="1234"/>
    <col min="11530" max="11530" width="9.375" style="1234" bestFit="1" customWidth="1"/>
    <col min="11531" max="11531" width="4" style="1234" customWidth="1"/>
    <col min="11532" max="11532" width="5.125" style="1234" customWidth="1"/>
    <col min="11533" max="11533" width="13.625" style="1234" customWidth="1"/>
    <col min="11534" max="11776" width="8.875" style="1234"/>
    <col min="11777" max="11777" width="4.875" style="1234" customWidth="1"/>
    <col min="11778" max="11778" width="13.125" style="1234" customWidth="1"/>
    <col min="11779" max="11779" width="15.625" style="1234" customWidth="1"/>
    <col min="11780" max="11780" width="9.375" style="1234" bestFit="1" customWidth="1"/>
    <col min="11781" max="11781" width="13.5" style="1234" customWidth="1"/>
    <col min="11782" max="11782" width="8.875" style="1234"/>
    <col min="11783" max="11783" width="9.375" style="1234" bestFit="1" customWidth="1"/>
    <col min="11784" max="11785" width="8.875" style="1234"/>
    <col min="11786" max="11786" width="9.375" style="1234" bestFit="1" customWidth="1"/>
    <col min="11787" max="11787" width="4" style="1234" customWidth="1"/>
    <col min="11788" max="11788" width="5.125" style="1234" customWidth="1"/>
    <col min="11789" max="11789" width="13.625" style="1234" customWidth="1"/>
    <col min="11790" max="12032" width="8.875" style="1234"/>
    <col min="12033" max="12033" width="4.875" style="1234" customWidth="1"/>
    <col min="12034" max="12034" width="13.125" style="1234" customWidth="1"/>
    <col min="12035" max="12035" width="15.625" style="1234" customWidth="1"/>
    <col min="12036" max="12036" width="9.375" style="1234" bestFit="1" customWidth="1"/>
    <col min="12037" max="12037" width="13.5" style="1234" customWidth="1"/>
    <col min="12038" max="12038" width="8.875" style="1234"/>
    <col min="12039" max="12039" width="9.375" style="1234" bestFit="1" customWidth="1"/>
    <col min="12040" max="12041" width="8.875" style="1234"/>
    <col min="12042" max="12042" width="9.375" style="1234" bestFit="1" customWidth="1"/>
    <col min="12043" max="12043" width="4" style="1234" customWidth="1"/>
    <col min="12044" max="12044" width="5.125" style="1234" customWidth="1"/>
    <col min="12045" max="12045" width="13.625" style="1234" customWidth="1"/>
    <col min="12046" max="12288" width="8.875" style="1234"/>
    <col min="12289" max="12289" width="4.875" style="1234" customWidth="1"/>
    <col min="12290" max="12290" width="13.125" style="1234" customWidth="1"/>
    <col min="12291" max="12291" width="15.625" style="1234" customWidth="1"/>
    <col min="12292" max="12292" width="9.375" style="1234" bestFit="1" customWidth="1"/>
    <col min="12293" max="12293" width="13.5" style="1234" customWidth="1"/>
    <col min="12294" max="12294" width="8.875" style="1234"/>
    <col min="12295" max="12295" width="9.375" style="1234" bestFit="1" customWidth="1"/>
    <col min="12296" max="12297" width="8.875" style="1234"/>
    <col min="12298" max="12298" width="9.375" style="1234" bestFit="1" customWidth="1"/>
    <col min="12299" max="12299" width="4" style="1234" customWidth="1"/>
    <col min="12300" max="12300" width="5.125" style="1234" customWidth="1"/>
    <col min="12301" max="12301" width="13.625" style="1234" customWidth="1"/>
    <col min="12302" max="12544" width="8.875" style="1234"/>
    <col min="12545" max="12545" width="4.875" style="1234" customWidth="1"/>
    <col min="12546" max="12546" width="13.125" style="1234" customWidth="1"/>
    <col min="12547" max="12547" width="15.625" style="1234" customWidth="1"/>
    <col min="12548" max="12548" width="9.375" style="1234" bestFit="1" customWidth="1"/>
    <col min="12549" max="12549" width="13.5" style="1234" customWidth="1"/>
    <col min="12550" max="12550" width="8.875" style="1234"/>
    <col min="12551" max="12551" width="9.375" style="1234" bestFit="1" customWidth="1"/>
    <col min="12552" max="12553" width="8.875" style="1234"/>
    <col min="12554" max="12554" width="9.375" style="1234" bestFit="1" customWidth="1"/>
    <col min="12555" max="12555" width="4" style="1234" customWidth="1"/>
    <col min="12556" max="12556" width="5.125" style="1234" customWidth="1"/>
    <col min="12557" max="12557" width="13.625" style="1234" customWidth="1"/>
    <col min="12558" max="12800" width="8.875" style="1234"/>
    <col min="12801" max="12801" width="4.875" style="1234" customWidth="1"/>
    <col min="12802" max="12802" width="13.125" style="1234" customWidth="1"/>
    <col min="12803" max="12803" width="15.625" style="1234" customWidth="1"/>
    <col min="12804" max="12804" width="9.375" style="1234" bestFit="1" customWidth="1"/>
    <col min="12805" max="12805" width="13.5" style="1234" customWidth="1"/>
    <col min="12806" max="12806" width="8.875" style="1234"/>
    <col min="12807" max="12807" width="9.375" style="1234" bestFit="1" customWidth="1"/>
    <col min="12808" max="12809" width="8.875" style="1234"/>
    <col min="12810" max="12810" width="9.375" style="1234" bestFit="1" customWidth="1"/>
    <col min="12811" max="12811" width="4" style="1234" customWidth="1"/>
    <col min="12812" max="12812" width="5.125" style="1234" customWidth="1"/>
    <col min="12813" max="12813" width="13.625" style="1234" customWidth="1"/>
    <col min="12814" max="13056" width="8.875" style="1234"/>
    <col min="13057" max="13057" width="4.875" style="1234" customWidth="1"/>
    <col min="13058" max="13058" width="13.125" style="1234" customWidth="1"/>
    <col min="13059" max="13059" width="15.625" style="1234" customWidth="1"/>
    <col min="13060" max="13060" width="9.375" style="1234" bestFit="1" customWidth="1"/>
    <col min="13061" max="13061" width="13.5" style="1234" customWidth="1"/>
    <col min="13062" max="13062" width="8.875" style="1234"/>
    <col min="13063" max="13063" width="9.375" style="1234" bestFit="1" customWidth="1"/>
    <col min="13064" max="13065" width="8.875" style="1234"/>
    <col min="13066" max="13066" width="9.375" style="1234" bestFit="1" customWidth="1"/>
    <col min="13067" max="13067" width="4" style="1234" customWidth="1"/>
    <col min="13068" max="13068" width="5.125" style="1234" customWidth="1"/>
    <col min="13069" max="13069" width="13.625" style="1234" customWidth="1"/>
    <col min="13070" max="13312" width="8.875" style="1234"/>
    <col min="13313" max="13313" width="4.875" style="1234" customWidth="1"/>
    <col min="13314" max="13314" width="13.125" style="1234" customWidth="1"/>
    <col min="13315" max="13315" width="15.625" style="1234" customWidth="1"/>
    <col min="13316" max="13316" width="9.375" style="1234" bestFit="1" customWidth="1"/>
    <col min="13317" max="13317" width="13.5" style="1234" customWidth="1"/>
    <col min="13318" max="13318" width="8.875" style="1234"/>
    <col min="13319" max="13319" width="9.375" style="1234" bestFit="1" customWidth="1"/>
    <col min="13320" max="13321" width="8.875" style="1234"/>
    <col min="13322" max="13322" width="9.375" style="1234" bestFit="1" customWidth="1"/>
    <col min="13323" max="13323" width="4" style="1234" customWidth="1"/>
    <col min="13324" max="13324" width="5.125" style="1234" customWidth="1"/>
    <col min="13325" max="13325" width="13.625" style="1234" customWidth="1"/>
    <col min="13326" max="13568" width="8.875" style="1234"/>
    <col min="13569" max="13569" width="4.875" style="1234" customWidth="1"/>
    <col min="13570" max="13570" width="13.125" style="1234" customWidth="1"/>
    <col min="13571" max="13571" width="15.625" style="1234" customWidth="1"/>
    <col min="13572" max="13572" width="9.375" style="1234" bestFit="1" customWidth="1"/>
    <col min="13573" max="13573" width="13.5" style="1234" customWidth="1"/>
    <col min="13574" max="13574" width="8.875" style="1234"/>
    <col min="13575" max="13575" width="9.375" style="1234" bestFit="1" customWidth="1"/>
    <col min="13576" max="13577" width="8.875" style="1234"/>
    <col min="13578" max="13578" width="9.375" style="1234" bestFit="1" customWidth="1"/>
    <col min="13579" max="13579" width="4" style="1234" customWidth="1"/>
    <col min="13580" max="13580" width="5.125" style="1234" customWidth="1"/>
    <col min="13581" max="13581" width="13.625" style="1234" customWidth="1"/>
    <col min="13582" max="13824" width="8.875" style="1234"/>
    <col min="13825" max="13825" width="4.875" style="1234" customWidth="1"/>
    <col min="13826" max="13826" width="13.125" style="1234" customWidth="1"/>
    <col min="13827" max="13827" width="15.625" style="1234" customWidth="1"/>
    <col min="13828" max="13828" width="9.375" style="1234" bestFit="1" customWidth="1"/>
    <col min="13829" max="13829" width="13.5" style="1234" customWidth="1"/>
    <col min="13830" max="13830" width="8.875" style="1234"/>
    <col min="13831" max="13831" width="9.375" style="1234" bestFit="1" customWidth="1"/>
    <col min="13832" max="13833" width="8.875" style="1234"/>
    <col min="13834" max="13834" width="9.375" style="1234" bestFit="1" customWidth="1"/>
    <col min="13835" max="13835" width="4" style="1234" customWidth="1"/>
    <col min="13836" max="13836" width="5.125" style="1234" customWidth="1"/>
    <col min="13837" max="13837" width="13.625" style="1234" customWidth="1"/>
    <col min="13838" max="14080" width="8.875" style="1234"/>
    <col min="14081" max="14081" width="4.875" style="1234" customWidth="1"/>
    <col min="14082" max="14082" width="13.125" style="1234" customWidth="1"/>
    <col min="14083" max="14083" width="15.625" style="1234" customWidth="1"/>
    <col min="14084" max="14084" width="9.375" style="1234" bestFit="1" customWidth="1"/>
    <col min="14085" max="14085" width="13.5" style="1234" customWidth="1"/>
    <col min="14086" max="14086" width="8.875" style="1234"/>
    <col min="14087" max="14087" width="9.375" style="1234" bestFit="1" customWidth="1"/>
    <col min="14088" max="14089" width="8.875" style="1234"/>
    <col min="14090" max="14090" width="9.375" style="1234" bestFit="1" customWidth="1"/>
    <col min="14091" max="14091" width="4" style="1234" customWidth="1"/>
    <col min="14092" max="14092" width="5.125" style="1234" customWidth="1"/>
    <col min="14093" max="14093" width="13.625" style="1234" customWidth="1"/>
    <col min="14094" max="14336" width="8.875" style="1234"/>
    <col min="14337" max="14337" width="4.875" style="1234" customWidth="1"/>
    <col min="14338" max="14338" width="13.125" style="1234" customWidth="1"/>
    <col min="14339" max="14339" width="15.625" style="1234" customWidth="1"/>
    <col min="14340" max="14340" width="9.375" style="1234" bestFit="1" customWidth="1"/>
    <col min="14341" max="14341" width="13.5" style="1234" customWidth="1"/>
    <col min="14342" max="14342" width="8.875" style="1234"/>
    <col min="14343" max="14343" width="9.375" style="1234" bestFit="1" customWidth="1"/>
    <col min="14344" max="14345" width="8.875" style="1234"/>
    <col min="14346" max="14346" width="9.375" style="1234" bestFit="1" customWidth="1"/>
    <col min="14347" max="14347" width="4" style="1234" customWidth="1"/>
    <col min="14348" max="14348" width="5.125" style="1234" customWidth="1"/>
    <col min="14349" max="14349" width="13.625" style="1234" customWidth="1"/>
    <col min="14350" max="14592" width="8.875" style="1234"/>
    <col min="14593" max="14593" width="4.875" style="1234" customWidth="1"/>
    <col min="14594" max="14594" width="13.125" style="1234" customWidth="1"/>
    <col min="14595" max="14595" width="15.625" style="1234" customWidth="1"/>
    <col min="14596" max="14596" width="9.375" style="1234" bestFit="1" customWidth="1"/>
    <col min="14597" max="14597" width="13.5" style="1234" customWidth="1"/>
    <col min="14598" max="14598" width="8.875" style="1234"/>
    <col min="14599" max="14599" width="9.375" style="1234" bestFit="1" customWidth="1"/>
    <col min="14600" max="14601" width="8.875" style="1234"/>
    <col min="14602" max="14602" width="9.375" style="1234" bestFit="1" customWidth="1"/>
    <col min="14603" max="14603" width="4" style="1234" customWidth="1"/>
    <col min="14604" max="14604" width="5.125" style="1234" customWidth="1"/>
    <col min="14605" max="14605" width="13.625" style="1234" customWidth="1"/>
    <col min="14606" max="14848" width="8.875" style="1234"/>
    <col min="14849" max="14849" width="4.875" style="1234" customWidth="1"/>
    <col min="14850" max="14850" width="13.125" style="1234" customWidth="1"/>
    <col min="14851" max="14851" width="15.625" style="1234" customWidth="1"/>
    <col min="14852" max="14852" width="9.375" style="1234" bestFit="1" customWidth="1"/>
    <col min="14853" max="14853" width="13.5" style="1234" customWidth="1"/>
    <col min="14854" max="14854" width="8.875" style="1234"/>
    <col min="14855" max="14855" width="9.375" style="1234" bestFit="1" customWidth="1"/>
    <col min="14856" max="14857" width="8.875" style="1234"/>
    <col min="14858" max="14858" width="9.375" style="1234" bestFit="1" customWidth="1"/>
    <col min="14859" max="14859" width="4" style="1234" customWidth="1"/>
    <col min="14860" max="14860" width="5.125" style="1234" customWidth="1"/>
    <col min="14861" max="14861" width="13.625" style="1234" customWidth="1"/>
    <col min="14862" max="15104" width="8.875" style="1234"/>
    <col min="15105" max="15105" width="4.875" style="1234" customWidth="1"/>
    <col min="15106" max="15106" width="13.125" style="1234" customWidth="1"/>
    <col min="15107" max="15107" width="15.625" style="1234" customWidth="1"/>
    <col min="15108" max="15108" width="9.375" style="1234" bestFit="1" customWidth="1"/>
    <col min="15109" max="15109" width="13.5" style="1234" customWidth="1"/>
    <col min="15110" max="15110" width="8.875" style="1234"/>
    <col min="15111" max="15111" width="9.375" style="1234" bestFit="1" customWidth="1"/>
    <col min="15112" max="15113" width="8.875" style="1234"/>
    <col min="15114" max="15114" width="9.375" style="1234" bestFit="1" customWidth="1"/>
    <col min="15115" max="15115" width="4" style="1234" customWidth="1"/>
    <col min="15116" max="15116" width="5.125" style="1234" customWidth="1"/>
    <col min="15117" max="15117" width="13.625" style="1234" customWidth="1"/>
    <col min="15118" max="15360" width="8.875" style="1234"/>
    <col min="15361" max="15361" width="4.875" style="1234" customWidth="1"/>
    <col min="15362" max="15362" width="13.125" style="1234" customWidth="1"/>
    <col min="15363" max="15363" width="15.625" style="1234" customWidth="1"/>
    <col min="15364" max="15364" width="9.375" style="1234" bestFit="1" customWidth="1"/>
    <col min="15365" max="15365" width="13.5" style="1234" customWidth="1"/>
    <col min="15366" max="15366" width="8.875" style="1234"/>
    <col min="15367" max="15367" width="9.375" style="1234" bestFit="1" customWidth="1"/>
    <col min="15368" max="15369" width="8.875" style="1234"/>
    <col min="15370" max="15370" width="9.375" style="1234" bestFit="1" customWidth="1"/>
    <col min="15371" max="15371" width="4" style="1234" customWidth="1"/>
    <col min="15372" max="15372" width="5.125" style="1234" customWidth="1"/>
    <col min="15373" max="15373" width="13.625" style="1234" customWidth="1"/>
    <col min="15374" max="15616" width="8.875" style="1234"/>
    <col min="15617" max="15617" width="4.875" style="1234" customWidth="1"/>
    <col min="15618" max="15618" width="13.125" style="1234" customWidth="1"/>
    <col min="15619" max="15619" width="15.625" style="1234" customWidth="1"/>
    <col min="15620" max="15620" width="9.375" style="1234" bestFit="1" customWidth="1"/>
    <col min="15621" max="15621" width="13.5" style="1234" customWidth="1"/>
    <col min="15622" max="15622" width="8.875" style="1234"/>
    <col min="15623" max="15623" width="9.375" style="1234" bestFit="1" customWidth="1"/>
    <col min="15624" max="15625" width="8.875" style="1234"/>
    <col min="15626" max="15626" width="9.375" style="1234" bestFit="1" customWidth="1"/>
    <col min="15627" max="15627" width="4" style="1234" customWidth="1"/>
    <col min="15628" max="15628" width="5.125" style="1234" customWidth="1"/>
    <col min="15629" max="15629" width="13.625" style="1234" customWidth="1"/>
    <col min="15630" max="15872" width="8.875" style="1234"/>
    <col min="15873" max="15873" width="4.875" style="1234" customWidth="1"/>
    <col min="15874" max="15874" width="13.125" style="1234" customWidth="1"/>
    <col min="15875" max="15875" width="15.625" style="1234" customWidth="1"/>
    <col min="15876" max="15876" width="9.375" style="1234" bestFit="1" customWidth="1"/>
    <col min="15877" max="15877" width="13.5" style="1234" customWidth="1"/>
    <col min="15878" max="15878" width="8.875" style="1234"/>
    <col min="15879" max="15879" width="9.375" style="1234" bestFit="1" customWidth="1"/>
    <col min="15880" max="15881" width="8.875" style="1234"/>
    <col min="15882" max="15882" width="9.375" style="1234" bestFit="1" customWidth="1"/>
    <col min="15883" max="15883" width="4" style="1234" customWidth="1"/>
    <col min="15884" max="15884" width="5.125" style="1234" customWidth="1"/>
    <col min="15885" max="15885" width="13.625" style="1234" customWidth="1"/>
    <col min="15886" max="16128" width="8.875" style="1234"/>
    <col min="16129" max="16129" width="4.875" style="1234" customWidth="1"/>
    <col min="16130" max="16130" width="13.125" style="1234" customWidth="1"/>
    <col min="16131" max="16131" width="15.625" style="1234" customWidth="1"/>
    <col min="16132" max="16132" width="9.375" style="1234" bestFit="1" customWidth="1"/>
    <col min="16133" max="16133" width="13.5" style="1234" customWidth="1"/>
    <col min="16134" max="16134" width="8.875" style="1234"/>
    <col min="16135" max="16135" width="9.375" style="1234" bestFit="1" customWidth="1"/>
    <col min="16136" max="16137" width="8.875" style="1234"/>
    <col min="16138" max="16138" width="9.375" style="1234" bestFit="1" customWidth="1"/>
    <col min="16139" max="16139" width="4" style="1234" customWidth="1"/>
    <col min="16140" max="16140" width="5.125" style="1234" customWidth="1"/>
    <col min="16141" max="16141" width="13.625" style="1234" customWidth="1"/>
    <col min="16142" max="16384" width="8.875" style="1234"/>
  </cols>
  <sheetData>
    <row r="1" spans="1:257" s="1297" customFormat="1" ht="15" thickBot="1">
      <c r="A1" s="1292"/>
      <c r="B1" s="1293" t="s">
        <v>1172</v>
      </c>
      <c r="C1" s="1298">
        <f>项目基本情况!D2</f>
        <v>42402</v>
      </c>
      <c r="D1" s="1293" t="s">
        <v>1173</v>
      </c>
      <c r="E1" s="1299">
        <f>'数据-取费表'!B24</f>
        <v>2</v>
      </c>
      <c r="F1" s="1293" t="s">
        <v>1174</v>
      </c>
      <c r="G1" s="1300">
        <f ca="1">INDIRECT("d"&amp;$K$1)/100</f>
        <v>4.7500000000000001E-2</v>
      </c>
      <c r="H1" s="1293" t="s">
        <v>1204</v>
      </c>
      <c r="I1" s="1300">
        <f ca="1">F4/100</f>
        <v>1.4999999999999999E-2</v>
      </c>
      <c r="J1" s="1294">
        <f>IF(C1&gt;C13,0,MATCH(C1,C$13:C$105,-1))+IF(SUMIF(C13:C105,C1,D13:D105)=0,13,12)</f>
        <v>18</v>
      </c>
      <c r="K1" s="1294">
        <f>MATCH(E1,C3:C7,1)+IF(SUMIF(C3:C7,E1,D3:D7)=0,2,1)</f>
        <v>5</v>
      </c>
      <c r="L1" s="1294">
        <f>IF(C1&gt;M13,0,MATCH(C1,M$13:M$101,-1))+IF(SUMIF(M13:M101,C1,N13:N101)=0,13,12)</f>
        <v>13</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75" thickTop="1" thickBot="1">
      <c r="A2" s="1235"/>
      <c r="B2" s="1235"/>
      <c r="C2" s="1235"/>
      <c r="D2" s="1235" t="s">
        <v>1175</v>
      </c>
      <c r="E2" s="1235"/>
      <c r="F2" s="1235" t="s">
        <v>1176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1177</v>
      </c>
      <c r="C3" s="1239">
        <v>0</v>
      </c>
      <c r="D3" s="1240">
        <f ca="1">INDIRECT("d"&amp;$J$1)</f>
        <v>4.3499999999999996</v>
      </c>
      <c r="E3" s="1241">
        <v>0.5</v>
      </c>
      <c r="F3" s="1242">
        <f ca="1">INDIRECT("p"&amp;$L$1)</f>
        <v>1.3</v>
      </c>
      <c r="G3" s="1237"/>
      <c r="H3" s="1237"/>
      <c r="I3" s="1237"/>
      <c r="J3" s="1237"/>
      <c r="L3" s="1237"/>
      <c r="M3" s="1237"/>
      <c r="N3" s="1237"/>
      <c r="O3" s="1237"/>
      <c r="P3" s="1237"/>
      <c r="Q3" s="1237"/>
      <c r="R3" s="1237"/>
      <c r="S3" s="1237"/>
      <c r="T3" s="1237"/>
      <c r="U3" s="1237"/>
      <c r="V3" s="1237"/>
      <c r="W3" s="1237"/>
      <c r="X3" s="1237"/>
      <c r="Y3" s="1237"/>
      <c r="Z3" s="1237"/>
    </row>
    <row r="4" spans="1:257">
      <c r="B4" s="1244" t="s">
        <v>1178</v>
      </c>
      <c r="C4" s="1245">
        <v>0.5</v>
      </c>
      <c r="D4" s="1246">
        <f ca="1">INDIRECT("e"&amp;$J$1)</f>
        <v>4.3499999999999996</v>
      </c>
      <c r="E4" s="1247">
        <v>1</v>
      </c>
      <c r="F4" s="1248">
        <f ca="1">INDIRECT("q"&amp;$L$1)</f>
        <v>1.5</v>
      </c>
      <c r="G4" s="1237"/>
      <c r="H4" s="1237"/>
      <c r="I4" s="1237"/>
      <c r="J4" s="1237"/>
      <c r="L4" s="1237"/>
      <c r="M4" s="1237"/>
      <c r="N4" s="1237"/>
      <c r="O4" s="1237"/>
      <c r="P4" s="1237"/>
      <c r="Q4" s="1237"/>
      <c r="R4" s="1237"/>
      <c r="S4" s="1237"/>
      <c r="T4" s="1237"/>
      <c r="U4" s="1237"/>
      <c r="V4" s="1237"/>
      <c r="W4" s="1237"/>
      <c r="X4" s="1237"/>
      <c r="Y4" s="1237"/>
      <c r="Z4" s="1237"/>
    </row>
    <row r="5" spans="1:257">
      <c r="B5" s="1244" t="s">
        <v>1179</v>
      </c>
      <c r="C5" s="1245">
        <v>1</v>
      </c>
      <c r="D5" s="1246">
        <f ca="1">INDIRECT("f"&amp;$J$1)</f>
        <v>4.75</v>
      </c>
      <c r="E5" s="1247">
        <v>2</v>
      </c>
      <c r="F5" s="1248">
        <f ca="1">INDIRECT("r"&amp;$L$1)</f>
        <v>2.1</v>
      </c>
      <c r="G5" s="1237"/>
      <c r="H5" s="1237"/>
      <c r="I5" s="1237"/>
      <c r="J5" s="1237"/>
      <c r="L5" s="1237"/>
      <c r="M5" s="1237"/>
      <c r="N5" s="1237"/>
      <c r="O5" s="1237"/>
      <c r="P5" s="1237"/>
      <c r="Q5" s="1237"/>
      <c r="R5" s="1237"/>
      <c r="S5" s="1237"/>
      <c r="T5" s="1237"/>
      <c r="U5" s="1237"/>
      <c r="V5" s="1237"/>
      <c r="W5" s="1237"/>
      <c r="X5" s="1237"/>
      <c r="Y5" s="1237"/>
      <c r="Z5" s="1237"/>
    </row>
    <row r="6" spans="1:257">
      <c r="B6" s="1244" t="s">
        <v>1180</v>
      </c>
      <c r="C6" s="1245">
        <v>3</v>
      </c>
      <c r="D6" s="1246">
        <f ca="1">INDIRECT("g"&amp;$J$1)</f>
        <v>4.75</v>
      </c>
      <c r="E6" s="1247">
        <v>3</v>
      </c>
      <c r="F6" s="1248">
        <f ca="1">INDIRECT("s"&amp;$L$1)</f>
        <v>2.75</v>
      </c>
      <c r="G6" s="1237"/>
      <c r="H6" s="1237"/>
      <c r="I6" s="1237"/>
      <c r="J6" s="1237"/>
      <c r="L6" s="1237"/>
      <c r="M6" s="1237"/>
      <c r="N6" s="1237"/>
      <c r="O6" s="1237"/>
      <c r="P6" s="1237"/>
      <c r="Q6" s="1237"/>
      <c r="R6" s="1237"/>
      <c r="S6" s="1237"/>
      <c r="T6" s="1237"/>
      <c r="U6" s="1237"/>
      <c r="V6" s="1237"/>
      <c r="W6" s="1237"/>
      <c r="X6" s="1237"/>
      <c r="Y6" s="1237"/>
      <c r="Z6" s="1237"/>
    </row>
    <row r="7" spans="1:257" ht="15" thickBot="1">
      <c r="B7" s="1249" t="s">
        <v>1181</v>
      </c>
      <c r="C7" s="1250">
        <v>5</v>
      </c>
      <c r="D7" s="1251">
        <f ca="1">INDIRECT("h"&amp;$J$1)</f>
        <v>4.9000000000000004</v>
      </c>
      <c r="E7" s="1252">
        <v>5</v>
      </c>
      <c r="F7" s="1253">
        <f ca="1">INDIRECT("t"&amp;$L$1)</f>
        <v>0</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1182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1183</v>
      </c>
      <c r="C10" s="1263"/>
      <c r="D10" s="1263"/>
      <c r="E10" s="1263"/>
      <c r="F10" s="1263"/>
      <c r="G10" s="1263"/>
      <c r="H10" s="1263"/>
      <c r="I10" s="1237"/>
      <c r="J10" s="1237"/>
      <c r="K10" s="1263"/>
      <c r="L10" s="1264" t="s">
        <v>1184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1185</v>
      </c>
      <c r="C11" s="1268" t="s">
        <v>1186</v>
      </c>
      <c r="D11" s="1269" t="s">
        <v>1187</v>
      </c>
      <c r="E11" s="1270"/>
      <c r="F11" s="1269" t="s">
        <v>1188</v>
      </c>
      <c r="G11" s="1271"/>
      <c r="H11" s="1270"/>
      <c r="I11" s="1269" t="s">
        <v>1189</v>
      </c>
      <c r="J11" s="1270"/>
      <c r="K11" s="1266"/>
      <c r="L11" s="1267" t="s">
        <v>1185</v>
      </c>
      <c r="M11" s="1268" t="s">
        <v>1186</v>
      </c>
      <c r="N11" s="1267" t="s">
        <v>1190</v>
      </c>
      <c r="O11" s="1269" t="s">
        <v>1191</v>
      </c>
      <c r="P11" s="1271"/>
      <c r="Q11" s="1271"/>
      <c r="R11" s="1271"/>
      <c r="S11" s="1271"/>
      <c r="T11" s="1270"/>
      <c r="U11" s="1269" t="s">
        <v>1192</v>
      </c>
      <c r="V11" s="1271"/>
      <c r="W11" s="1270"/>
      <c r="X11" s="1267" t="s">
        <v>1193</v>
      </c>
      <c r="Y11" s="1267" t="s">
        <v>1194</v>
      </c>
      <c r="Z11" s="1267" t="s">
        <v>1195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1196</v>
      </c>
      <c r="E12" s="1276" t="s">
        <v>1197</v>
      </c>
      <c r="F12" s="1276" t="s">
        <v>1198</v>
      </c>
      <c r="G12" s="1276" t="s">
        <v>1199</v>
      </c>
      <c r="H12" s="1276" t="s">
        <v>1181</v>
      </c>
      <c r="I12" s="1277" t="s">
        <v>1200</v>
      </c>
      <c r="J12" s="1277" t="s">
        <v>1200</v>
      </c>
      <c r="K12" s="1273"/>
      <c r="L12" s="1274"/>
      <c r="M12" s="1275"/>
      <c r="N12" s="1274"/>
      <c r="O12" s="1277" t="s">
        <v>1201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5">
      <c r="A13" s="1279"/>
      <c r="B13" s="1280" t="s">
        <v>1202</v>
      </c>
      <c r="C13" s="1281">
        <v>43941</v>
      </c>
      <c r="D13" s="1282">
        <v>3.85</v>
      </c>
      <c r="E13" s="1282">
        <f>D13</f>
        <v>3.85</v>
      </c>
      <c r="F13" s="1282">
        <f>D13</f>
        <v>3.85</v>
      </c>
      <c r="G13" s="1282">
        <f>D13</f>
        <v>3.85</v>
      </c>
      <c r="H13" s="1282">
        <v>4.6500000000000004</v>
      </c>
      <c r="I13" s="1282"/>
      <c r="J13" s="1282"/>
      <c r="K13" s="1279"/>
      <c r="L13" s="1280" t="s">
        <v>1202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43881</v>
      </c>
      <c r="D14" s="1286">
        <v>4.05</v>
      </c>
      <c r="E14" s="1286">
        <f>D14</f>
        <v>4.05</v>
      </c>
      <c r="F14" s="1286">
        <f>D14</f>
        <v>4.05</v>
      </c>
      <c r="G14" s="1286">
        <f>D14</f>
        <v>4.05</v>
      </c>
      <c r="H14" s="1286">
        <v>4.75</v>
      </c>
      <c r="I14" s="1286"/>
      <c r="J14" s="1286"/>
      <c r="L14" s="1286"/>
      <c r="M14" s="1287">
        <v>42301</v>
      </c>
      <c r="N14" s="1286">
        <v>0.35</v>
      </c>
      <c r="O14" s="1286">
        <v>1.1000000000000001</v>
      </c>
      <c r="P14" s="1286">
        <v>1.3</v>
      </c>
      <c r="Q14" s="1286">
        <v>1.5</v>
      </c>
      <c r="R14" s="1286">
        <v>2.1</v>
      </c>
      <c r="S14" s="1286">
        <v>2.75</v>
      </c>
      <c r="T14" s="1286"/>
      <c r="U14" s="1286"/>
      <c r="V14" s="1286"/>
      <c r="W14" s="1286"/>
      <c r="X14" s="1286"/>
      <c r="Y14" s="1286"/>
      <c r="Z14" s="1286"/>
    </row>
    <row r="15" spans="1:257">
      <c r="B15" s="1286"/>
      <c r="C15" s="1287">
        <v>43789</v>
      </c>
      <c r="D15" s="1286">
        <v>4.1500000000000004</v>
      </c>
      <c r="E15" s="1286">
        <f>D15</f>
        <v>4.1500000000000004</v>
      </c>
      <c r="F15" s="1286">
        <f>D15</f>
        <v>4.1500000000000004</v>
      </c>
      <c r="G15" s="1286">
        <f>D15</f>
        <v>4.1500000000000004</v>
      </c>
      <c r="H15" s="1286">
        <v>4.8</v>
      </c>
      <c r="I15" s="1286"/>
      <c r="J15" s="1286"/>
      <c r="L15" s="1286"/>
      <c r="M15" s="1287">
        <v>42242</v>
      </c>
      <c r="N15" s="1286">
        <v>0.35</v>
      </c>
      <c r="O15" s="1286">
        <v>1.35</v>
      </c>
      <c r="P15" s="1286">
        <v>1.55</v>
      </c>
      <c r="Q15" s="1286">
        <v>1.75</v>
      </c>
      <c r="R15" s="1286">
        <v>2.35</v>
      </c>
      <c r="S15" s="1286">
        <v>3</v>
      </c>
      <c r="T15" s="1286"/>
      <c r="U15" s="1286"/>
      <c r="V15" s="1286"/>
      <c r="W15" s="1286"/>
      <c r="X15" s="1286"/>
      <c r="Y15" s="1286"/>
      <c r="Z15" s="1286"/>
    </row>
    <row r="16" spans="1:257">
      <c r="B16" s="1286"/>
      <c r="C16" s="1287">
        <v>43728</v>
      </c>
      <c r="D16" s="1286">
        <v>4.2</v>
      </c>
      <c r="E16" s="1286">
        <f>D16</f>
        <v>4.2</v>
      </c>
      <c r="F16" s="1286">
        <f>D16</f>
        <v>4.2</v>
      </c>
      <c r="G16" s="1286">
        <f>D16</f>
        <v>4.2</v>
      </c>
      <c r="H16" s="1286">
        <v>4.8499999999999996</v>
      </c>
      <c r="I16" s="1286"/>
      <c r="J16" s="1286"/>
      <c r="L16" s="1286"/>
      <c r="M16" s="1287">
        <v>42183</v>
      </c>
      <c r="N16" s="1286">
        <v>0.35</v>
      </c>
      <c r="O16" s="1286">
        <v>1.6</v>
      </c>
      <c r="P16" s="1286">
        <v>1.8</v>
      </c>
      <c r="Q16" s="1286">
        <v>2</v>
      </c>
      <c r="R16" s="1286">
        <v>2.6</v>
      </c>
      <c r="S16" s="1286">
        <v>3.25</v>
      </c>
      <c r="T16" s="1286"/>
      <c r="U16" s="1286"/>
      <c r="V16" s="1286"/>
      <c r="W16" s="1286"/>
      <c r="X16" s="1286"/>
      <c r="Y16" s="1286"/>
      <c r="Z16" s="1286"/>
    </row>
    <row r="17" spans="1:256" s="3149" customFormat="1">
      <c r="A17" s="3146"/>
      <c r="B17" s="1280" t="s">
        <v>2876</v>
      </c>
      <c r="C17" s="1289">
        <v>43697</v>
      </c>
      <c r="D17" s="3147">
        <v>4.25</v>
      </c>
      <c r="E17" s="3147">
        <f>D17</f>
        <v>4.25</v>
      </c>
      <c r="F17" s="3147">
        <f>D17</f>
        <v>4.25</v>
      </c>
      <c r="G17" s="3147">
        <f>D17</f>
        <v>4.25</v>
      </c>
      <c r="H17" s="3147">
        <v>4.8499999999999996</v>
      </c>
      <c r="I17" s="3147"/>
      <c r="J17" s="3147"/>
      <c r="K17" s="3146"/>
      <c r="L17" s="1286"/>
      <c r="M17" s="1287">
        <v>42135</v>
      </c>
      <c r="N17" s="1286">
        <v>0.35</v>
      </c>
      <c r="O17" s="1286">
        <v>1.85</v>
      </c>
      <c r="P17" s="1286">
        <v>2.0499999999999998</v>
      </c>
      <c r="Q17" s="1286">
        <v>2.25</v>
      </c>
      <c r="R17" s="1286">
        <v>2.85</v>
      </c>
      <c r="S17" s="1286">
        <v>3.5</v>
      </c>
      <c r="T17" s="1286"/>
      <c r="U17" s="1286"/>
      <c r="V17" s="1286"/>
      <c r="W17" s="1286"/>
      <c r="X17" s="1286"/>
      <c r="Y17" s="1286"/>
      <c r="Z17" s="1286"/>
      <c r="AA17" s="3148"/>
      <c r="AB17" s="3148"/>
      <c r="AC17" s="3148"/>
      <c r="AD17" s="3148"/>
      <c r="AE17" s="3148"/>
      <c r="AF17" s="3148"/>
      <c r="AG17" s="3148"/>
      <c r="AH17" s="3148"/>
      <c r="AI17" s="3148"/>
      <c r="AJ17" s="3148"/>
      <c r="AK17" s="3148"/>
      <c r="AL17" s="3148"/>
      <c r="AM17" s="3148"/>
      <c r="AN17" s="3148"/>
      <c r="AO17" s="3148"/>
      <c r="AP17" s="3148"/>
      <c r="AQ17" s="3148"/>
      <c r="AR17" s="3148"/>
      <c r="AS17" s="3148"/>
      <c r="AT17" s="3148"/>
      <c r="AU17" s="3148"/>
      <c r="AV17" s="3148"/>
      <c r="AW17" s="3148"/>
      <c r="AX17" s="3148"/>
      <c r="AY17" s="3148"/>
      <c r="AZ17" s="3148"/>
      <c r="BA17" s="3148"/>
      <c r="BB17" s="3148"/>
      <c r="BC17" s="3148"/>
      <c r="BD17" s="3148"/>
      <c r="BE17" s="3148"/>
      <c r="BF17" s="3148"/>
      <c r="BG17" s="3148"/>
      <c r="BH17" s="3148"/>
      <c r="BI17" s="3148"/>
      <c r="BJ17" s="3148"/>
      <c r="BK17" s="3148"/>
      <c r="BL17" s="3148"/>
      <c r="BM17" s="3148"/>
      <c r="BN17" s="3148"/>
      <c r="BO17" s="3148"/>
      <c r="BP17" s="3148"/>
      <c r="BQ17" s="3148"/>
      <c r="BR17" s="3148"/>
      <c r="BS17" s="3148"/>
      <c r="BT17" s="3148"/>
      <c r="BU17" s="3148"/>
      <c r="BV17" s="3148"/>
      <c r="BW17" s="3148"/>
      <c r="BX17" s="3148"/>
      <c r="BY17" s="3148"/>
      <c r="BZ17" s="3148"/>
      <c r="CA17" s="3148"/>
      <c r="CB17" s="3148"/>
      <c r="CC17" s="3148"/>
      <c r="CD17" s="3148"/>
      <c r="CE17" s="3148"/>
      <c r="CF17" s="3148"/>
      <c r="CG17" s="3148"/>
      <c r="CH17" s="3148"/>
      <c r="CI17" s="3148"/>
      <c r="CJ17" s="3148"/>
      <c r="CK17" s="3148"/>
      <c r="CL17" s="3148"/>
      <c r="CM17" s="3148"/>
      <c r="CN17" s="3148"/>
      <c r="CO17" s="3148"/>
      <c r="CP17" s="3148"/>
      <c r="CQ17" s="3148"/>
      <c r="CR17" s="3148"/>
      <c r="CS17" s="3148"/>
      <c r="CT17" s="3148"/>
      <c r="CU17" s="3148"/>
      <c r="CV17" s="3148"/>
      <c r="CW17" s="3148"/>
      <c r="CX17" s="3148"/>
      <c r="CY17" s="3148"/>
      <c r="CZ17" s="3148"/>
      <c r="DA17" s="3148"/>
      <c r="DB17" s="3148"/>
      <c r="DC17" s="3148"/>
      <c r="DD17" s="3148"/>
      <c r="DE17" s="3148"/>
      <c r="DF17" s="3148"/>
      <c r="DG17" s="3148"/>
      <c r="DH17" s="3148"/>
      <c r="DI17" s="3148"/>
      <c r="DJ17" s="3148"/>
      <c r="DK17" s="3148"/>
      <c r="DL17" s="3148"/>
      <c r="DM17" s="3148"/>
      <c r="DN17" s="3148"/>
      <c r="DO17" s="3148"/>
      <c r="DP17" s="3148"/>
      <c r="DQ17" s="3148"/>
      <c r="DR17" s="3148"/>
      <c r="DS17" s="3148"/>
      <c r="DT17" s="3148"/>
      <c r="DU17" s="3148"/>
      <c r="DV17" s="3148"/>
      <c r="DW17" s="3148"/>
      <c r="DX17" s="3148"/>
      <c r="DY17" s="3148"/>
      <c r="DZ17" s="3148"/>
      <c r="EA17" s="3148"/>
      <c r="EB17" s="3148"/>
      <c r="EC17" s="3148"/>
      <c r="ED17" s="3148"/>
      <c r="EE17" s="3148"/>
      <c r="EF17" s="3148"/>
      <c r="EG17" s="3148"/>
      <c r="EH17" s="3148"/>
      <c r="EI17" s="3148"/>
      <c r="EJ17" s="3148"/>
      <c r="EK17" s="3148"/>
      <c r="EL17" s="3148"/>
      <c r="EM17" s="3148"/>
      <c r="EN17" s="3148"/>
      <c r="EO17" s="3148"/>
      <c r="EP17" s="3148"/>
      <c r="EQ17" s="3148"/>
      <c r="ER17" s="3148"/>
      <c r="ES17" s="3148"/>
      <c r="ET17" s="3148"/>
      <c r="EU17" s="3148"/>
      <c r="EV17" s="3148"/>
      <c r="EW17" s="3148"/>
      <c r="EX17" s="3148"/>
      <c r="EY17" s="3148"/>
      <c r="EZ17" s="3148"/>
      <c r="FA17" s="3148"/>
      <c r="FB17" s="3148"/>
      <c r="FC17" s="3148"/>
      <c r="FD17" s="3148"/>
      <c r="FE17" s="3148"/>
      <c r="FF17" s="3148"/>
      <c r="FG17" s="3148"/>
      <c r="FH17" s="3148"/>
      <c r="FI17" s="3148"/>
      <c r="FJ17" s="3148"/>
      <c r="FK17" s="3148"/>
      <c r="FL17" s="3148"/>
      <c r="FM17" s="3148"/>
      <c r="FN17" s="3148"/>
      <c r="FO17" s="3148"/>
      <c r="FP17" s="3148"/>
      <c r="FQ17" s="3148"/>
      <c r="FR17" s="3148"/>
      <c r="FS17" s="3148"/>
      <c r="FT17" s="3148"/>
      <c r="FU17" s="3148"/>
      <c r="FV17" s="3148"/>
      <c r="FW17" s="3148"/>
      <c r="FX17" s="3148"/>
      <c r="FY17" s="3148"/>
      <c r="FZ17" s="3148"/>
      <c r="GA17" s="3148"/>
      <c r="GB17" s="3148"/>
      <c r="GC17" s="3148"/>
      <c r="GD17" s="3148"/>
      <c r="GE17" s="3148"/>
      <c r="GF17" s="3148"/>
      <c r="GG17" s="3148"/>
      <c r="GH17" s="3148"/>
      <c r="GI17" s="3148"/>
      <c r="GJ17" s="3148"/>
      <c r="GK17" s="3148"/>
      <c r="GL17" s="3148"/>
      <c r="GM17" s="3148"/>
      <c r="GN17" s="3148"/>
      <c r="GO17" s="3148"/>
      <c r="GP17" s="3148"/>
      <c r="GQ17" s="3148"/>
      <c r="GR17" s="3148"/>
      <c r="GS17" s="3148"/>
      <c r="GT17" s="3148"/>
      <c r="GU17" s="3148"/>
      <c r="GV17" s="3148"/>
      <c r="GW17" s="3148"/>
      <c r="GX17" s="3148"/>
      <c r="GY17" s="3148"/>
      <c r="GZ17" s="3148"/>
      <c r="HA17" s="3148"/>
      <c r="HB17" s="3148"/>
      <c r="HC17" s="3148"/>
      <c r="HD17" s="3148"/>
      <c r="HE17" s="3148"/>
      <c r="HF17" s="3148"/>
      <c r="HG17" s="3148"/>
      <c r="HH17" s="3148"/>
      <c r="HI17" s="3148"/>
      <c r="HJ17" s="3148"/>
      <c r="HK17" s="3148"/>
      <c r="HL17" s="3148"/>
      <c r="HM17" s="3148"/>
      <c r="HN17" s="3148"/>
      <c r="HO17" s="3148"/>
      <c r="HP17" s="3148"/>
      <c r="HQ17" s="3148"/>
      <c r="HR17" s="3148"/>
      <c r="HS17" s="3148"/>
      <c r="HT17" s="3148"/>
      <c r="HU17" s="3148"/>
      <c r="HV17" s="3148"/>
      <c r="HW17" s="3148"/>
      <c r="HX17" s="3148"/>
      <c r="HY17" s="3148"/>
      <c r="HZ17" s="3148"/>
      <c r="IA17" s="3148"/>
      <c r="IB17" s="3148"/>
      <c r="IC17" s="3148"/>
      <c r="ID17" s="3148"/>
      <c r="IE17" s="3148"/>
      <c r="IF17" s="3148"/>
      <c r="IG17" s="3148"/>
      <c r="IH17" s="3148"/>
      <c r="II17" s="3148"/>
      <c r="IJ17" s="3148"/>
      <c r="IK17" s="3148"/>
      <c r="IL17" s="3148"/>
      <c r="IM17" s="3148"/>
      <c r="IN17" s="3148"/>
      <c r="IO17" s="3148"/>
      <c r="IP17" s="3148"/>
      <c r="IQ17" s="3148"/>
      <c r="IR17" s="3148"/>
      <c r="IS17" s="3148"/>
      <c r="IT17" s="3148"/>
      <c r="IU17" s="3148"/>
      <c r="IV17" s="3148"/>
    </row>
    <row r="18" spans="1:256">
      <c r="B18" s="1286"/>
      <c r="C18" s="1287">
        <v>42301</v>
      </c>
      <c r="D18" s="1286">
        <v>4.3499999999999996</v>
      </c>
      <c r="E18" s="1286">
        <v>4.3499999999999996</v>
      </c>
      <c r="F18" s="1286">
        <v>4.75</v>
      </c>
      <c r="G18" s="1286">
        <v>4.75</v>
      </c>
      <c r="H18" s="1286">
        <v>4.9000000000000004</v>
      </c>
      <c r="I18" s="1286">
        <v>2.75</v>
      </c>
      <c r="J18" s="1286">
        <v>3.25</v>
      </c>
      <c r="L18" s="1286"/>
      <c r="M18" s="1287">
        <v>42064</v>
      </c>
      <c r="N18" s="1286">
        <v>0.35</v>
      </c>
      <c r="O18" s="1286">
        <v>2.1</v>
      </c>
      <c r="P18" s="1286">
        <v>2.2999999999999998</v>
      </c>
      <c r="Q18" s="1286">
        <v>2.5</v>
      </c>
      <c r="R18" s="1286">
        <v>3.1</v>
      </c>
      <c r="S18" s="1286">
        <v>3.75</v>
      </c>
      <c r="T18" s="1286">
        <v>4.5</v>
      </c>
      <c r="U18" s="1286">
        <v>2.35</v>
      </c>
      <c r="V18" s="1286">
        <v>2.5499999999999998</v>
      </c>
      <c r="W18" s="1286">
        <v>2.75</v>
      </c>
      <c r="X18" s="1286"/>
      <c r="Y18" s="1286">
        <v>0.8</v>
      </c>
      <c r="Z18" s="1286">
        <v>1.35</v>
      </c>
    </row>
    <row r="19" spans="1:256" ht="15.75">
      <c r="B19" s="1286"/>
      <c r="C19" s="1287">
        <v>42242</v>
      </c>
      <c r="D19" s="1286">
        <v>4.5999999999999996</v>
      </c>
      <c r="E19" s="1286">
        <v>4.5999999999999996</v>
      </c>
      <c r="F19" s="1286">
        <v>5</v>
      </c>
      <c r="G19" s="1286">
        <v>5</v>
      </c>
      <c r="H19" s="1286">
        <v>5.15</v>
      </c>
      <c r="I19" s="1286">
        <v>2.75</v>
      </c>
      <c r="J19" s="1286">
        <v>3.25</v>
      </c>
      <c r="L19" s="1286"/>
      <c r="M19" s="1287">
        <v>41965</v>
      </c>
      <c r="N19" s="1286">
        <v>0.35</v>
      </c>
      <c r="O19" s="1286">
        <v>2.35</v>
      </c>
      <c r="P19" s="1286">
        <v>2.5499999999999998</v>
      </c>
      <c r="Q19" s="1286">
        <v>2.75</v>
      </c>
      <c r="R19" s="1286">
        <v>3.35</v>
      </c>
      <c r="S19" s="1286">
        <v>4</v>
      </c>
      <c r="T19" s="1286">
        <v>4.75</v>
      </c>
      <c r="U19" s="1288">
        <v>2.35</v>
      </c>
      <c r="V19" s="1288">
        <v>2.5499999999999998</v>
      </c>
      <c r="W19" s="1288">
        <v>2.75</v>
      </c>
      <c r="X19" s="1286"/>
      <c r="Y19" s="1288">
        <v>0.8</v>
      </c>
      <c r="Z19" s="1288">
        <v>1.35</v>
      </c>
    </row>
    <row r="20" spans="1:256">
      <c r="B20" s="1286"/>
      <c r="C20" s="1287">
        <v>42183</v>
      </c>
      <c r="D20" s="1286">
        <v>4.8499999999999996</v>
      </c>
      <c r="E20" s="1286">
        <v>4.8499999999999996</v>
      </c>
      <c r="F20" s="1286">
        <v>5.25</v>
      </c>
      <c r="G20" s="1286">
        <v>5.25</v>
      </c>
      <c r="H20" s="1286">
        <v>5.4</v>
      </c>
      <c r="I20" s="1286">
        <v>3</v>
      </c>
      <c r="J20" s="1286">
        <v>3.5</v>
      </c>
      <c r="L20" s="1286"/>
      <c r="M20" s="1287">
        <v>41096</v>
      </c>
      <c r="N20" s="1286">
        <v>0.35</v>
      </c>
      <c r="O20" s="1286">
        <v>2.6</v>
      </c>
      <c r="P20" s="1286">
        <v>2.8</v>
      </c>
      <c r="Q20" s="1286">
        <v>3</v>
      </c>
      <c r="R20" s="1286">
        <v>3.75</v>
      </c>
      <c r="S20" s="1286">
        <v>4.25</v>
      </c>
      <c r="T20" s="1286">
        <v>4.75</v>
      </c>
      <c r="U20" s="1286">
        <v>2.85</v>
      </c>
      <c r="V20" s="1286">
        <v>2.9</v>
      </c>
      <c r="W20" s="1286">
        <v>3</v>
      </c>
      <c r="X20" s="1286">
        <v>1.1499999999999999</v>
      </c>
      <c r="Y20" s="1286">
        <v>0.8</v>
      </c>
      <c r="Z20" s="1286">
        <v>1.35</v>
      </c>
    </row>
    <row r="21" spans="1:256">
      <c r="B21" s="1286"/>
      <c r="C21" s="1287">
        <v>42135</v>
      </c>
      <c r="D21" s="1286">
        <v>5.0999999999999996</v>
      </c>
      <c r="E21" s="1286">
        <v>5.0999999999999996</v>
      </c>
      <c r="F21" s="1286">
        <v>5.5</v>
      </c>
      <c r="G21" s="1286">
        <v>5.5</v>
      </c>
      <c r="H21" s="1286">
        <v>5.65</v>
      </c>
      <c r="I21" s="1286">
        <v>3.25</v>
      </c>
      <c r="J21" s="1286">
        <v>3.75</v>
      </c>
      <c r="L21" s="1286"/>
      <c r="M21" s="1287">
        <v>41068</v>
      </c>
      <c r="N21" s="1286">
        <v>0.4</v>
      </c>
      <c r="O21" s="1286">
        <v>2.85</v>
      </c>
      <c r="P21" s="1286">
        <v>3.05</v>
      </c>
      <c r="Q21" s="1286">
        <v>3.25</v>
      </c>
      <c r="R21" s="1286">
        <v>4.0999999999999996</v>
      </c>
      <c r="S21" s="1286">
        <v>4.6500000000000004</v>
      </c>
      <c r="T21" s="1286">
        <v>5.0999999999999996</v>
      </c>
      <c r="U21" s="1286">
        <v>3.1</v>
      </c>
      <c r="V21" s="1286">
        <v>3.15</v>
      </c>
      <c r="W21" s="1286">
        <v>3.25</v>
      </c>
      <c r="X21" s="1286">
        <v>1.31</v>
      </c>
      <c r="Y21" s="1286">
        <v>0.94</v>
      </c>
      <c r="Z21" s="1286">
        <v>1.49</v>
      </c>
    </row>
    <row r="22" spans="1:256">
      <c r="B22" s="1286"/>
      <c r="C22" s="1287">
        <v>42064</v>
      </c>
      <c r="D22" s="1286">
        <v>5.35</v>
      </c>
      <c r="E22" s="1286">
        <v>5.35</v>
      </c>
      <c r="F22" s="1286">
        <v>5.75</v>
      </c>
      <c r="G22" s="1286">
        <v>5.75</v>
      </c>
      <c r="H22" s="1286">
        <v>5.9</v>
      </c>
      <c r="I22" s="1286"/>
      <c r="J22" s="1286"/>
      <c r="L22" s="1286"/>
      <c r="M22" s="1287">
        <v>40731</v>
      </c>
      <c r="N22" s="1286">
        <v>0.5</v>
      </c>
      <c r="O22" s="1286">
        <v>3.1</v>
      </c>
      <c r="P22" s="1286">
        <v>3.3</v>
      </c>
      <c r="Q22" s="1286">
        <v>3.5</v>
      </c>
      <c r="R22" s="1286">
        <v>4.4000000000000004</v>
      </c>
      <c r="S22" s="1286">
        <v>5</v>
      </c>
      <c r="T22" s="1286">
        <v>5.5</v>
      </c>
      <c r="U22" s="1286">
        <v>3.1</v>
      </c>
      <c r="V22" s="1286">
        <v>3.3</v>
      </c>
      <c r="W22" s="1286">
        <v>3.5</v>
      </c>
      <c r="X22" s="1286">
        <v>1.31</v>
      </c>
      <c r="Y22" s="1286">
        <v>0.95</v>
      </c>
      <c r="Z22" s="1286">
        <v>1.49</v>
      </c>
    </row>
    <row r="23" spans="1:256">
      <c r="B23" s="1286"/>
      <c r="C23" s="1287">
        <v>41965</v>
      </c>
      <c r="D23" s="1286">
        <v>5.6</v>
      </c>
      <c r="E23" s="1286">
        <v>5.6</v>
      </c>
      <c r="F23" s="1286">
        <v>6</v>
      </c>
      <c r="G23" s="1286">
        <v>6</v>
      </c>
      <c r="H23" s="1286">
        <v>6.15</v>
      </c>
      <c r="I23" s="1286"/>
      <c r="J23" s="1286"/>
      <c r="L23" s="1286"/>
      <c r="M23" s="1287">
        <v>40639</v>
      </c>
      <c r="N23" s="1286">
        <v>0.5</v>
      </c>
      <c r="O23" s="1286">
        <v>2.85</v>
      </c>
      <c r="P23" s="1286">
        <v>3.05</v>
      </c>
      <c r="Q23" s="1286">
        <v>3.25</v>
      </c>
      <c r="R23" s="1286">
        <v>4.1500000000000004</v>
      </c>
      <c r="S23" s="1286">
        <v>4.75</v>
      </c>
      <c r="T23" s="1286">
        <v>5.25</v>
      </c>
      <c r="U23" s="1286">
        <v>2.85</v>
      </c>
      <c r="V23" s="1286">
        <v>3.05</v>
      </c>
      <c r="W23" s="1286">
        <v>3.25</v>
      </c>
      <c r="X23" s="1286">
        <v>1.31</v>
      </c>
      <c r="Y23" s="1286">
        <v>0.95</v>
      </c>
      <c r="Z23" s="1286">
        <v>1.49</v>
      </c>
    </row>
    <row r="24" spans="1:256">
      <c r="B24" s="1286"/>
      <c r="C24" s="1287">
        <v>41096</v>
      </c>
      <c r="D24" s="1286">
        <v>5.6</v>
      </c>
      <c r="E24" s="1286">
        <v>6</v>
      </c>
      <c r="F24" s="1286">
        <v>6.15</v>
      </c>
      <c r="G24" s="1286">
        <v>6.4</v>
      </c>
      <c r="H24" s="1286">
        <v>6.55</v>
      </c>
      <c r="I24" s="1286">
        <v>4</v>
      </c>
      <c r="J24" s="1286">
        <v>4.5</v>
      </c>
      <c r="L24" s="1286"/>
      <c r="M24" s="1287">
        <v>40583</v>
      </c>
      <c r="N24" s="1286">
        <v>0.4</v>
      </c>
      <c r="O24" s="1286">
        <v>2.6</v>
      </c>
      <c r="P24" s="1286">
        <v>2.8</v>
      </c>
      <c r="Q24" s="1286">
        <v>3</v>
      </c>
      <c r="R24" s="1286">
        <v>3.9</v>
      </c>
      <c r="S24" s="1286">
        <v>4.5</v>
      </c>
      <c r="T24" s="1286">
        <v>5</v>
      </c>
      <c r="U24" s="1286">
        <v>2.6</v>
      </c>
      <c r="V24" s="1286">
        <v>2.8</v>
      </c>
      <c r="W24" s="1286">
        <v>3</v>
      </c>
      <c r="X24" s="1286">
        <v>1.21</v>
      </c>
      <c r="Y24" s="1286">
        <v>0.85</v>
      </c>
      <c r="Z24" s="1286">
        <v>1.39</v>
      </c>
    </row>
    <row r="25" spans="1:256">
      <c r="B25" s="1286"/>
      <c r="C25" s="1287">
        <v>41068</v>
      </c>
      <c r="D25" s="1286">
        <v>5.85</v>
      </c>
      <c r="E25" s="1286">
        <v>6.31</v>
      </c>
      <c r="F25" s="1286">
        <v>6.4</v>
      </c>
      <c r="G25" s="1286">
        <v>6.65</v>
      </c>
      <c r="H25" s="1286">
        <v>6.8</v>
      </c>
      <c r="I25" s="1286">
        <v>4.2</v>
      </c>
      <c r="J25" s="1286">
        <v>4.7</v>
      </c>
      <c r="L25" s="1286"/>
      <c r="M25" s="1287">
        <v>40538</v>
      </c>
      <c r="N25" s="1286">
        <v>0.36</v>
      </c>
      <c r="O25" s="1286">
        <v>2.25</v>
      </c>
      <c r="P25" s="1286">
        <v>2.5</v>
      </c>
      <c r="Q25" s="1286">
        <v>2.75</v>
      </c>
      <c r="R25" s="1286">
        <v>3.55</v>
      </c>
      <c r="S25" s="1286">
        <v>4.1500000000000004</v>
      </c>
      <c r="T25" s="1286">
        <v>4.55</v>
      </c>
      <c r="U25" s="1286">
        <v>2.16</v>
      </c>
      <c r="V25" s="1286">
        <v>2.5</v>
      </c>
      <c r="W25" s="1286">
        <v>2.85</v>
      </c>
      <c r="X25" s="1286">
        <v>1.17</v>
      </c>
      <c r="Y25" s="1286">
        <v>0.81</v>
      </c>
      <c r="Z25" s="1286">
        <v>1.35</v>
      </c>
    </row>
    <row r="26" spans="1:256">
      <c r="B26" s="1286"/>
      <c r="C26" s="1287">
        <v>40731</v>
      </c>
      <c r="D26" s="1286">
        <v>6.1</v>
      </c>
      <c r="E26" s="1286">
        <v>6.56</v>
      </c>
      <c r="F26" s="1286">
        <v>6.65</v>
      </c>
      <c r="G26" s="1286">
        <v>6.9</v>
      </c>
      <c r="H26" s="1286">
        <v>7.05</v>
      </c>
      <c r="I26" s="1286">
        <v>4.45</v>
      </c>
      <c r="J26" s="1286">
        <v>4.9000000000000004</v>
      </c>
      <c r="L26" s="1286"/>
      <c r="M26" s="1287">
        <v>40471</v>
      </c>
      <c r="N26" s="1286">
        <v>0.36</v>
      </c>
      <c r="O26" s="1286">
        <v>1.91</v>
      </c>
      <c r="P26" s="1286">
        <v>2.2000000000000002</v>
      </c>
      <c r="Q26" s="1286">
        <v>2.5</v>
      </c>
      <c r="R26" s="1286">
        <v>3.25</v>
      </c>
      <c r="S26" s="1286">
        <v>3.85</v>
      </c>
      <c r="T26" s="1286">
        <v>4.2</v>
      </c>
      <c r="U26" s="1286">
        <v>1.91</v>
      </c>
      <c r="V26" s="1286">
        <v>2.2000000000000002</v>
      </c>
      <c r="W26" s="1286">
        <v>2.5</v>
      </c>
      <c r="X26" s="1286">
        <v>1.17</v>
      </c>
      <c r="Y26" s="1286">
        <v>0.81</v>
      </c>
      <c r="Z26" s="1286">
        <v>1.35</v>
      </c>
    </row>
    <row r="27" spans="1:256">
      <c r="B27" s="1286"/>
      <c r="C27" s="1287">
        <v>40639</v>
      </c>
      <c r="D27" s="1286">
        <v>5.85</v>
      </c>
      <c r="E27" s="1286">
        <v>6.31</v>
      </c>
      <c r="F27" s="1286">
        <v>6.4</v>
      </c>
      <c r="G27" s="1286">
        <v>6.65</v>
      </c>
      <c r="H27" s="1286">
        <v>6.8</v>
      </c>
      <c r="I27" s="1286">
        <v>4.2</v>
      </c>
      <c r="J27" s="1286">
        <v>4.7</v>
      </c>
      <c r="L27" s="1286"/>
      <c r="M27" s="1287">
        <v>39805</v>
      </c>
      <c r="N27" s="1286">
        <v>0.36</v>
      </c>
      <c r="O27" s="1286">
        <v>1.71</v>
      </c>
      <c r="P27" s="1286">
        <v>1.98</v>
      </c>
      <c r="Q27" s="1286">
        <v>2.25</v>
      </c>
      <c r="R27" s="1286">
        <v>2.79</v>
      </c>
      <c r="S27" s="1286">
        <v>3.33</v>
      </c>
      <c r="T27" s="1286">
        <v>3.6</v>
      </c>
      <c r="U27" s="1286">
        <v>1.71</v>
      </c>
      <c r="V27" s="1286">
        <v>1.98</v>
      </c>
      <c r="W27" s="1286">
        <v>2.25</v>
      </c>
      <c r="X27" s="1286">
        <v>1.17</v>
      </c>
      <c r="Y27" s="1286">
        <v>0.81</v>
      </c>
      <c r="Z27" s="1286">
        <v>1.35</v>
      </c>
    </row>
    <row r="28" spans="1:256">
      <c r="B28" s="1286"/>
      <c r="C28" s="1287">
        <v>40583</v>
      </c>
      <c r="D28" s="1286">
        <v>5.6</v>
      </c>
      <c r="E28" s="1286">
        <v>6.06</v>
      </c>
      <c r="F28" s="1286">
        <v>6.1</v>
      </c>
      <c r="G28" s="1286">
        <v>6.45</v>
      </c>
      <c r="H28" s="1286">
        <v>6.6</v>
      </c>
      <c r="I28" s="1286">
        <v>4</v>
      </c>
      <c r="J28" s="1286">
        <v>4.5</v>
      </c>
      <c r="L28" s="1286"/>
      <c r="M28" s="1287">
        <v>39779</v>
      </c>
      <c r="N28" s="1286">
        <v>0.36</v>
      </c>
      <c r="O28" s="1286">
        <v>1.98</v>
      </c>
      <c r="P28" s="1286">
        <v>2.25</v>
      </c>
      <c r="Q28" s="1286">
        <v>2.52</v>
      </c>
      <c r="R28" s="1286">
        <v>3.06</v>
      </c>
      <c r="S28" s="1286">
        <v>3.6</v>
      </c>
      <c r="T28" s="1286">
        <v>3.87</v>
      </c>
      <c r="U28" s="1286">
        <v>1.98</v>
      </c>
      <c r="V28" s="1286">
        <v>2.25</v>
      </c>
      <c r="W28" s="1286">
        <v>2.52</v>
      </c>
      <c r="X28" s="1286">
        <v>1.17</v>
      </c>
      <c r="Y28" s="1286">
        <v>0.81</v>
      </c>
      <c r="Z28" s="1286">
        <v>1.35</v>
      </c>
    </row>
    <row r="29" spans="1:256">
      <c r="B29" s="1286"/>
      <c r="C29" s="1287">
        <v>40538</v>
      </c>
      <c r="D29" s="1286">
        <v>5.35</v>
      </c>
      <c r="E29" s="1286">
        <v>5.81</v>
      </c>
      <c r="F29" s="1286">
        <v>5.85</v>
      </c>
      <c r="G29" s="1286">
        <v>6.22</v>
      </c>
      <c r="H29" s="1286">
        <v>6.4</v>
      </c>
      <c r="I29" s="1286">
        <v>3.75</v>
      </c>
      <c r="J29" s="1286">
        <v>4.3</v>
      </c>
      <c r="L29" s="1286"/>
      <c r="M29" s="1287">
        <v>39751</v>
      </c>
      <c r="N29" s="1286">
        <v>0.72</v>
      </c>
      <c r="O29" s="1286">
        <v>2.88</v>
      </c>
      <c r="P29" s="1286">
        <v>3.24</v>
      </c>
      <c r="Q29" s="1286">
        <v>3.6</v>
      </c>
      <c r="R29" s="1286">
        <v>4.1399999999999997</v>
      </c>
      <c r="S29" s="1286">
        <v>4.7699999999999996</v>
      </c>
      <c r="T29" s="1286">
        <v>5.13</v>
      </c>
      <c r="U29" s="1286">
        <v>2.88</v>
      </c>
      <c r="V29" s="1286">
        <v>3.24</v>
      </c>
      <c r="W29" s="1286">
        <v>3.6</v>
      </c>
      <c r="X29" s="1286">
        <v>1.53</v>
      </c>
      <c r="Y29" s="1286">
        <v>1.17</v>
      </c>
      <c r="Z29" s="1286">
        <v>1.71</v>
      </c>
    </row>
    <row r="30" spans="1:256">
      <c r="B30" s="1286"/>
      <c r="C30" s="1287">
        <v>40471</v>
      </c>
      <c r="D30" s="1286">
        <v>5.0999999999999996</v>
      </c>
      <c r="E30" s="1286">
        <v>5.56</v>
      </c>
      <c r="F30" s="1286">
        <v>5.6</v>
      </c>
      <c r="G30" s="1286">
        <v>5.96</v>
      </c>
      <c r="H30" s="1286">
        <v>6.14</v>
      </c>
      <c r="I30" s="1286">
        <v>3.5</v>
      </c>
      <c r="J30" s="1286">
        <v>4.05</v>
      </c>
      <c r="L30" s="1286"/>
      <c r="M30" s="1289">
        <v>39736</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39805</v>
      </c>
      <c r="D31" s="1286">
        <v>4.8600000000000003</v>
      </c>
      <c r="E31" s="1286">
        <v>5.31</v>
      </c>
      <c r="F31" s="1286">
        <v>5.4</v>
      </c>
      <c r="G31" s="1286">
        <v>5.76</v>
      </c>
      <c r="H31" s="1286">
        <v>5.94</v>
      </c>
      <c r="I31" s="1286">
        <v>3.33</v>
      </c>
      <c r="J31" s="1286">
        <v>3.87</v>
      </c>
      <c r="L31" s="1286"/>
      <c r="M31" s="1287">
        <v>39730</v>
      </c>
      <c r="N31" s="1286">
        <v>0.72</v>
      </c>
      <c r="O31" s="1286">
        <v>3.15</v>
      </c>
      <c r="P31" s="1286">
        <v>3.51</v>
      </c>
      <c r="Q31" s="1286">
        <v>3.87</v>
      </c>
      <c r="R31" s="1286">
        <v>4.41</v>
      </c>
      <c r="S31" s="1286">
        <v>5.13</v>
      </c>
      <c r="T31" s="1286">
        <v>5.58</v>
      </c>
      <c r="U31" s="1286">
        <v>3.15</v>
      </c>
      <c r="V31" s="1286">
        <v>3.51</v>
      </c>
      <c r="W31" s="1286">
        <v>3.87</v>
      </c>
      <c r="X31" s="1286">
        <v>1.53</v>
      </c>
      <c r="Y31" s="1286">
        <v>1.17</v>
      </c>
      <c r="Z31" s="1286">
        <v>1.71</v>
      </c>
    </row>
    <row r="32" spans="1:256">
      <c r="B32" s="1286"/>
      <c r="C32" s="1287">
        <v>39779</v>
      </c>
      <c r="D32" s="1286">
        <v>5.04</v>
      </c>
      <c r="E32" s="1286">
        <v>5.58</v>
      </c>
      <c r="F32" s="1286">
        <v>5.67</v>
      </c>
      <c r="G32" s="1286">
        <v>5.94</v>
      </c>
      <c r="H32" s="1286">
        <v>6.12</v>
      </c>
      <c r="I32" s="1286">
        <v>3.51</v>
      </c>
      <c r="J32" s="1286">
        <v>4.05</v>
      </c>
      <c r="L32" s="1286"/>
      <c r="M32" s="1287">
        <v>39437</v>
      </c>
      <c r="N32" s="1286">
        <v>0.72</v>
      </c>
      <c r="O32" s="1286">
        <v>3.33</v>
      </c>
      <c r="P32" s="1286">
        <v>3.78</v>
      </c>
      <c r="Q32" s="1286">
        <v>4.1399999999999997</v>
      </c>
      <c r="R32" s="1286">
        <v>4.68</v>
      </c>
      <c r="S32" s="1286">
        <v>5.4</v>
      </c>
      <c r="T32" s="1286">
        <v>5.85</v>
      </c>
      <c r="U32" s="1286">
        <v>3.33</v>
      </c>
      <c r="V32" s="1286">
        <v>3.78</v>
      </c>
      <c r="W32" s="1286">
        <v>4.1399999999999997</v>
      </c>
      <c r="X32" s="1286">
        <v>1.53</v>
      </c>
      <c r="Y32" s="1286">
        <v>1.17</v>
      </c>
      <c r="Z32" s="1286">
        <v>1.71</v>
      </c>
    </row>
    <row r="33" spans="2:26">
      <c r="B33" s="1286"/>
      <c r="C33" s="1287">
        <v>39751</v>
      </c>
      <c r="D33" s="1286">
        <v>6.03</v>
      </c>
      <c r="E33" s="1286">
        <v>6.66</v>
      </c>
      <c r="F33" s="1286">
        <v>6.75</v>
      </c>
      <c r="G33" s="1286">
        <v>7.02</v>
      </c>
      <c r="H33" s="1286">
        <v>7.2</v>
      </c>
      <c r="I33" s="1286">
        <v>4.05</v>
      </c>
      <c r="J33" s="1286">
        <v>4.59</v>
      </c>
      <c r="L33" s="1286"/>
      <c r="M33" s="1287">
        <v>39340</v>
      </c>
      <c r="N33" s="1286">
        <v>0.81</v>
      </c>
      <c r="O33" s="1286">
        <v>2.88</v>
      </c>
      <c r="P33" s="1286">
        <v>3.42</v>
      </c>
      <c r="Q33" s="1286">
        <v>3.87</v>
      </c>
      <c r="R33" s="1286">
        <v>4.5</v>
      </c>
      <c r="S33" s="1286">
        <v>5.22</v>
      </c>
      <c r="T33" s="1286">
        <v>5.76</v>
      </c>
      <c r="U33" s="1286">
        <v>2.88</v>
      </c>
      <c r="V33" s="1286">
        <v>3.42</v>
      </c>
      <c r="W33" s="1286">
        <v>3.87</v>
      </c>
      <c r="X33" s="1286">
        <v>1.53</v>
      </c>
      <c r="Y33" s="1286">
        <v>1.17</v>
      </c>
      <c r="Z33" s="1286">
        <v>1.71</v>
      </c>
    </row>
    <row r="34" spans="2:26">
      <c r="B34" s="1286"/>
      <c r="C34" s="1289">
        <v>39748</v>
      </c>
      <c r="D34" s="1286">
        <v>6.12</v>
      </c>
      <c r="E34" s="1286">
        <v>6.93</v>
      </c>
      <c r="F34" s="1286">
        <v>7.02</v>
      </c>
      <c r="G34" s="1286">
        <v>7.29</v>
      </c>
      <c r="H34" s="1286">
        <v>7.47</v>
      </c>
      <c r="I34" s="1286">
        <v>4.05</v>
      </c>
      <c r="J34" s="1286">
        <v>4.59</v>
      </c>
      <c r="L34" s="1286"/>
      <c r="M34" s="1287">
        <v>39316</v>
      </c>
      <c r="N34" s="1286">
        <v>0.81</v>
      </c>
      <c r="O34" s="1286">
        <v>2.61</v>
      </c>
      <c r="P34" s="1286">
        <v>3.15</v>
      </c>
      <c r="Q34" s="1286">
        <v>3.6</v>
      </c>
      <c r="R34" s="1286">
        <v>4.2300000000000004</v>
      </c>
      <c r="S34" s="1286">
        <v>4.95</v>
      </c>
      <c r="T34" s="1286">
        <v>5.49</v>
      </c>
      <c r="U34" s="1286">
        <v>2.61</v>
      </c>
      <c r="V34" s="1286">
        <v>3.15</v>
      </c>
      <c r="W34" s="1286">
        <v>3.6</v>
      </c>
      <c r="X34" s="1286">
        <v>1.53</v>
      </c>
      <c r="Y34" s="1286">
        <v>1.17</v>
      </c>
      <c r="Z34" s="1286">
        <v>1.71</v>
      </c>
    </row>
    <row r="35" spans="2:26">
      <c r="B35" s="1286"/>
      <c r="C35" s="1287">
        <v>39730</v>
      </c>
      <c r="D35" s="1286">
        <v>6.12</v>
      </c>
      <c r="E35" s="1286">
        <v>6.93</v>
      </c>
      <c r="F35" s="1286">
        <v>7.02</v>
      </c>
      <c r="G35" s="1286">
        <v>7.29</v>
      </c>
      <c r="H35" s="1286">
        <v>7.47</v>
      </c>
      <c r="I35" s="1286">
        <v>4.32</v>
      </c>
      <c r="J35" s="1286">
        <v>4.8600000000000003</v>
      </c>
      <c r="L35" s="1286"/>
      <c r="M35" s="1287">
        <v>39284</v>
      </c>
      <c r="N35" s="1286">
        <v>0.81</v>
      </c>
      <c r="O35" s="1286">
        <v>2.34</v>
      </c>
      <c r="P35" s="1286">
        <v>2.88</v>
      </c>
      <c r="Q35" s="1286">
        <v>3.33</v>
      </c>
      <c r="R35" s="1286">
        <v>3.96</v>
      </c>
      <c r="S35" s="1286">
        <v>4.68</v>
      </c>
      <c r="T35" s="1286">
        <v>5.22</v>
      </c>
      <c r="U35" s="1286">
        <v>2.34</v>
      </c>
      <c r="V35" s="1286">
        <v>2.88</v>
      </c>
      <c r="W35" s="1286">
        <v>3.33</v>
      </c>
      <c r="X35" s="1286">
        <v>1.53</v>
      </c>
      <c r="Y35" s="1286">
        <v>1.17</v>
      </c>
      <c r="Z35" s="1286">
        <v>1.71</v>
      </c>
    </row>
    <row r="36" spans="2:26">
      <c r="B36" s="1286"/>
      <c r="C36" s="1287">
        <v>39707</v>
      </c>
      <c r="D36" s="1286">
        <v>6.21</v>
      </c>
      <c r="E36" s="1286">
        <v>7.2</v>
      </c>
      <c r="F36" s="1286">
        <v>7.29</v>
      </c>
      <c r="G36" s="1286">
        <v>7.56</v>
      </c>
      <c r="H36" s="1286">
        <v>7.74</v>
      </c>
      <c r="I36" s="1286">
        <v>4.59</v>
      </c>
      <c r="J36" s="1286">
        <v>5.13</v>
      </c>
      <c r="L36" s="1286"/>
      <c r="M36" s="1287">
        <v>39221</v>
      </c>
      <c r="N36" s="1286">
        <v>0.72</v>
      </c>
      <c r="O36" s="1286">
        <v>2.0699999999999998</v>
      </c>
      <c r="P36" s="1286">
        <v>2.61</v>
      </c>
      <c r="Q36" s="1286">
        <v>3.06</v>
      </c>
      <c r="R36" s="1286">
        <v>3.69</v>
      </c>
      <c r="S36" s="1286">
        <v>4.41</v>
      </c>
      <c r="T36" s="1286">
        <v>4.95</v>
      </c>
      <c r="U36" s="1286">
        <v>2.0699999999999998</v>
      </c>
      <c r="V36" s="1286">
        <v>2.61</v>
      </c>
      <c r="W36" s="1286">
        <v>3.06</v>
      </c>
      <c r="X36" s="1286">
        <v>1.44</v>
      </c>
      <c r="Y36" s="1286">
        <v>1.08</v>
      </c>
      <c r="Z36" s="1286">
        <v>1.62</v>
      </c>
    </row>
    <row r="37" spans="2:26">
      <c r="B37" s="1286"/>
      <c r="C37" s="1287">
        <v>39437</v>
      </c>
      <c r="D37" s="1286">
        <v>6.57</v>
      </c>
      <c r="E37" s="1286">
        <v>7.47</v>
      </c>
      <c r="F37" s="1286">
        <v>7.56</v>
      </c>
      <c r="G37" s="1286">
        <v>7.74</v>
      </c>
      <c r="H37" s="1286">
        <v>7.83</v>
      </c>
      <c r="I37" s="1286">
        <v>4.7699999999999996</v>
      </c>
      <c r="J37" s="1286">
        <v>5.22</v>
      </c>
      <c r="L37" s="1286"/>
      <c r="M37" s="1287">
        <v>39159</v>
      </c>
      <c r="N37" s="1286">
        <v>0.72</v>
      </c>
      <c r="O37" s="1286">
        <v>1.98</v>
      </c>
      <c r="P37" s="1286">
        <v>2.4300000000000002</v>
      </c>
      <c r="Q37" s="1286">
        <v>2.79</v>
      </c>
      <c r="R37" s="1286">
        <v>3.33</v>
      </c>
      <c r="S37" s="1286">
        <v>3.96</v>
      </c>
      <c r="T37" s="1286">
        <v>4.41</v>
      </c>
      <c r="U37" s="1286">
        <v>1.98</v>
      </c>
      <c r="V37" s="1286">
        <v>2.4300000000000002</v>
      </c>
      <c r="W37" s="1286">
        <v>2.79</v>
      </c>
      <c r="X37" s="1286">
        <v>1.44</v>
      </c>
      <c r="Y37" s="1286">
        <v>1.08</v>
      </c>
      <c r="Z37" s="1286">
        <v>1.62</v>
      </c>
    </row>
    <row r="38" spans="2:26">
      <c r="B38" s="1286"/>
      <c r="C38" s="1287">
        <v>39340</v>
      </c>
      <c r="D38" s="1286">
        <v>6.48</v>
      </c>
      <c r="E38" s="1286">
        <v>7.29</v>
      </c>
      <c r="F38" s="1286">
        <v>7.47</v>
      </c>
      <c r="G38" s="1286">
        <v>7.65</v>
      </c>
      <c r="H38" s="1286">
        <v>7.83</v>
      </c>
      <c r="I38" s="1286">
        <v>4.7699999999999996</v>
      </c>
      <c r="J38" s="1286">
        <v>5.22</v>
      </c>
      <c r="L38" s="1286"/>
      <c r="M38" s="1287">
        <v>38948</v>
      </c>
      <c r="N38" s="1286">
        <v>0.72</v>
      </c>
      <c r="O38" s="1286">
        <v>1.8</v>
      </c>
      <c r="P38" s="1286">
        <v>2.25</v>
      </c>
      <c r="Q38" s="1286">
        <v>2.52</v>
      </c>
      <c r="R38" s="1286">
        <v>3.06</v>
      </c>
      <c r="S38" s="1286">
        <v>3.69</v>
      </c>
      <c r="T38" s="1286">
        <v>4.1399999999999997</v>
      </c>
      <c r="U38" s="1286">
        <v>1.8</v>
      </c>
      <c r="V38" s="1286">
        <v>2.25</v>
      </c>
      <c r="W38" s="1286">
        <v>2.52</v>
      </c>
      <c r="X38" s="1286">
        <v>1.44</v>
      </c>
      <c r="Y38" s="1286">
        <v>1.08</v>
      </c>
      <c r="Z38" s="1286">
        <v>1.62</v>
      </c>
    </row>
    <row r="39" spans="2:26">
      <c r="B39" s="1286"/>
      <c r="C39" s="1287">
        <v>39316</v>
      </c>
      <c r="D39" s="1286">
        <v>6.21</v>
      </c>
      <c r="E39" s="1286">
        <v>7.02</v>
      </c>
      <c r="F39" s="1286">
        <v>7.2</v>
      </c>
      <c r="G39" s="1286">
        <v>7.38</v>
      </c>
      <c r="H39" s="1286">
        <v>7.56</v>
      </c>
      <c r="I39" s="1286">
        <v>4.59</v>
      </c>
      <c r="J39" s="1286">
        <v>5.04</v>
      </c>
      <c r="L39" s="1286"/>
      <c r="M39" s="1287">
        <v>38289</v>
      </c>
      <c r="N39" s="1286">
        <v>0.72</v>
      </c>
      <c r="O39" s="1286">
        <v>1.71</v>
      </c>
      <c r="P39" s="1286">
        <v>2.0699999999999998</v>
      </c>
      <c r="Q39" s="1286">
        <v>2.25</v>
      </c>
      <c r="R39" s="1286">
        <v>2.7</v>
      </c>
      <c r="S39" s="1286">
        <v>3.24</v>
      </c>
      <c r="T39" s="1286">
        <v>3.6</v>
      </c>
      <c r="U39" s="1286">
        <v>1.71</v>
      </c>
      <c r="V39" s="1286">
        <v>2.0699999999999998</v>
      </c>
      <c r="W39" s="1286">
        <v>2.25</v>
      </c>
      <c r="X39" s="1286">
        <v>1.44</v>
      </c>
      <c r="Y39" s="1286">
        <v>1.08</v>
      </c>
      <c r="Z39" s="1286">
        <v>1.62</v>
      </c>
    </row>
    <row r="40" spans="2:26">
      <c r="B40" s="1286"/>
      <c r="C40" s="1287">
        <v>39284</v>
      </c>
      <c r="D40" s="1286">
        <v>6.03</v>
      </c>
      <c r="E40" s="1286">
        <v>6.84</v>
      </c>
      <c r="F40" s="1286">
        <v>7.02</v>
      </c>
      <c r="G40" s="1286">
        <v>7.2</v>
      </c>
      <c r="H40" s="1286">
        <v>7.38</v>
      </c>
      <c r="I40" s="1286">
        <v>4.5</v>
      </c>
      <c r="J40" s="1286">
        <v>4.95</v>
      </c>
      <c r="L40" s="1286"/>
      <c r="M40" s="1287">
        <v>37308</v>
      </c>
      <c r="N40" s="1286">
        <v>0.72</v>
      </c>
      <c r="O40" s="1286">
        <v>1.71</v>
      </c>
      <c r="P40" s="1286">
        <v>1.89</v>
      </c>
      <c r="Q40" s="1286">
        <v>1.98</v>
      </c>
      <c r="R40" s="1286">
        <v>2.25</v>
      </c>
      <c r="S40" s="1286">
        <v>2.52</v>
      </c>
      <c r="T40" s="1286">
        <v>2.79</v>
      </c>
      <c r="U40" s="1286">
        <v>1.71</v>
      </c>
      <c r="V40" s="1286">
        <v>1.89</v>
      </c>
      <c r="W40" s="1286">
        <v>1.98</v>
      </c>
      <c r="X40" s="1286">
        <v>1.44</v>
      </c>
      <c r="Y40" s="1286">
        <v>1.08</v>
      </c>
      <c r="Z40" s="1286">
        <v>1.62</v>
      </c>
    </row>
    <row r="41" spans="2:26">
      <c r="B41" s="1286"/>
      <c r="C41" s="1287">
        <v>39221</v>
      </c>
      <c r="D41" s="1286">
        <v>5.85</v>
      </c>
      <c r="E41" s="1286">
        <v>6.57</v>
      </c>
      <c r="F41" s="1286">
        <v>6.75</v>
      </c>
      <c r="G41" s="1286">
        <v>6.93</v>
      </c>
      <c r="H41" s="1286">
        <v>7.2</v>
      </c>
      <c r="I41" s="1286">
        <v>4.41</v>
      </c>
      <c r="J41" s="1286">
        <v>4.8600000000000003</v>
      </c>
      <c r="L41" s="1286"/>
      <c r="M41" s="1287">
        <v>36321</v>
      </c>
      <c r="N41" s="1286">
        <v>0.99</v>
      </c>
      <c r="O41" s="1286">
        <v>1.98</v>
      </c>
      <c r="P41" s="1286">
        <v>2.16</v>
      </c>
      <c r="Q41" s="1286">
        <v>2.25</v>
      </c>
      <c r="R41" s="1286">
        <v>2.4300000000000002</v>
      </c>
      <c r="S41" s="1286">
        <v>2.7</v>
      </c>
      <c r="T41" s="1286">
        <v>2.88</v>
      </c>
      <c r="U41" s="1286">
        <v>1.98</v>
      </c>
      <c r="V41" s="1286">
        <v>2.16</v>
      </c>
      <c r="W41" s="1286">
        <v>2.25</v>
      </c>
      <c r="X41" s="1286">
        <v>1.71</v>
      </c>
      <c r="Y41" s="1286">
        <v>1.35</v>
      </c>
      <c r="Z41" s="1286">
        <v>1.89</v>
      </c>
    </row>
    <row r="42" spans="2:26">
      <c r="B42" s="1286"/>
      <c r="C42" s="1287">
        <v>39159</v>
      </c>
      <c r="D42" s="1286">
        <v>5.67</v>
      </c>
      <c r="E42" s="1286">
        <v>6.39</v>
      </c>
      <c r="F42" s="1286">
        <v>6.57</v>
      </c>
      <c r="G42" s="1286">
        <v>6.75</v>
      </c>
      <c r="H42" s="1286">
        <v>7.11</v>
      </c>
      <c r="I42" s="1286">
        <v>4.32</v>
      </c>
      <c r="J42" s="1286">
        <v>4.7699999999999996</v>
      </c>
      <c r="L42" s="1286"/>
      <c r="M42" s="1287">
        <v>36136</v>
      </c>
      <c r="N42" s="1286">
        <v>1.44</v>
      </c>
      <c r="O42" s="1286">
        <v>2.79</v>
      </c>
      <c r="P42" s="1286">
        <v>3.33</v>
      </c>
      <c r="Q42" s="1286">
        <v>3.78</v>
      </c>
      <c r="R42" s="1286">
        <v>3.96</v>
      </c>
      <c r="S42" s="1286">
        <v>4.1399999999999997</v>
      </c>
      <c r="T42" s="1286">
        <v>4.5</v>
      </c>
      <c r="U42" s="1286">
        <v>3.33</v>
      </c>
      <c r="V42" s="1286">
        <v>3.78</v>
      </c>
      <c r="W42" s="1286">
        <v>4.1399999999999997</v>
      </c>
      <c r="X42" s="1286">
        <v>2.16</v>
      </c>
      <c r="Y42" s="1286">
        <v>1.8</v>
      </c>
      <c r="Z42" s="1286">
        <v>2.34</v>
      </c>
    </row>
    <row r="43" spans="2:26">
      <c r="B43" s="1286"/>
      <c r="C43" s="1287">
        <v>38948</v>
      </c>
      <c r="D43" s="1286">
        <v>5.58</v>
      </c>
      <c r="E43" s="1286">
        <v>6.12</v>
      </c>
      <c r="F43" s="1286">
        <v>6.3</v>
      </c>
      <c r="G43" s="1286">
        <v>6.48</v>
      </c>
      <c r="H43" s="1286">
        <v>6.84</v>
      </c>
      <c r="I43" s="1286">
        <v>4.1399999999999997</v>
      </c>
      <c r="J43" s="1286">
        <v>4.59</v>
      </c>
      <c r="L43" s="1286"/>
      <c r="M43" s="1287">
        <v>35977</v>
      </c>
      <c r="N43" s="1286">
        <v>1.44</v>
      </c>
      <c r="O43" s="1286">
        <v>2.79</v>
      </c>
      <c r="P43" s="1286">
        <v>3.96</v>
      </c>
      <c r="Q43" s="1286">
        <v>4.7699999999999996</v>
      </c>
      <c r="R43" s="1286">
        <v>4.8600000000000003</v>
      </c>
      <c r="S43" s="1286">
        <v>4.95</v>
      </c>
      <c r="T43" s="1286">
        <v>5.22</v>
      </c>
      <c r="U43" s="1286">
        <v>3.96</v>
      </c>
      <c r="V43" s="1286">
        <v>4.7699999999999996</v>
      </c>
      <c r="W43" s="1286">
        <v>4.95</v>
      </c>
      <c r="X43" s="1286" t="s">
        <v>1203</v>
      </c>
      <c r="Y43" s="1286" t="s">
        <v>1203</v>
      </c>
      <c r="Z43" s="1286" t="s">
        <v>1203</v>
      </c>
    </row>
    <row r="44" spans="2:26">
      <c r="B44" s="1286"/>
      <c r="C44" s="1287">
        <v>38835</v>
      </c>
      <c r="D44" s="1286">
        <v>5.4</v>
      </c>
      <c r="E44" s="1286">
        <v>5.85</v>
      </c>
      <c r="F44" s="1286">
        <v>6.03</v>
      </c>
      <c r="G44" s="1286">
        <v>6.12</v>
      </c>
      <c r="H44" s="1286">
        <v>6.39</v>
      </c>
      <c r="I44" s="1286">
        <v>4.1399999999999997</v>
      </c>
      <c r="J44" s="1286">
        <v>4.59</v>
      </c>
      <c r="L44" s="1286"/>
      <c r="M44" s="1287">
        <v>35879</v>
      </c>
      <c r="N44" s="1286">
        <v>1.71</v>
      </c>
      <c r="O44" s="1286">
        <v>2.88</v>
      </c>
      <c r="P44" s="1286">
        <v>4.1399999999999997</v>
      </c>
      <c r="Q44" s="1286">
        <v>5.22</v>
      </c>
      <c r="R44" s="1286">
        <v>5.58</v>
      </c>
      <c r="S44" s="1286">
        <v>6.21</v>
      </c>
      <c r="T44" s="1286">
        <v>6.66</v>
      </c>
      <c r="U44" s="1286">
        <v>4.1399999999999997</v>
      </c>
      <c r="V44" s="1286">
        <v>5.22</v>
      </c>
      <c r="W44" s="1286">
        <v>6.21</v>
      </c>
      <c r="X44" s="1286" t="s">
        <v>1203</v>
      </c>
      <c r="Y44" s="1286" t="s">
        <v>1203</v>
      </c>
      <c r="Z44" s="1286" t="s">
        <v>1203</v>
      </c>
    </row>
    <row r="45" spans="2:26">
      <c r="B45" s="1286"/>
      <c r="C45" s="1287">
        <v>38428</v>
      </c>
      <c r="D45" s="1286">
        <v>5.22</v>
      </c>
      <c r="E45" s="1286">
        <v>5.58</v>
      </c>
      <c r="F45" s="1286">
        <v>5.76</v>
      </c>
      <c r="G45" s="1286">
        <v>5.85</v>
      </c>
      <c r="H45" s="1286">
        <v>6.12</v>
      </c>
      <c r="I45" s="1286">
        <v>3.96</v>
      </c>
      <c r="J45" s="1286">
        <v>4.41</v>
      </c>
      <c r="L45" s="1286"/>
      <c r="M45" s="1287">
        <v>35726</v>
      </c>
      <c r="N45" s="1286">
        <v>1.71</v>
      </c>
      <c r="O45" s="1286">
        <v>2.88</v>
      </c>
      <c r="P45" s="1286">
        <v>4.1399999999999997</v>
      </c>
      <c r="Q45" s="1286">
        <v>5.67</v>
      </c>
      <c r="R45" s="1286">
        <v>5.94</v>
      </c>
      <c r="S45" s="1286">
        <v>6.21</v>
      </c>
      <c r="T45" s="1286">
        <v>6.66</v>
      </c>
      <c r="U45" s="1286">
        <v>4.1399999999999997</v>
      </c>
      <c r="V45" s="1286">
        <v>5.67</v>
      </c>
      <c r="W45" s="1286">
        <v>6.21</v>
      </c>
      <c r="X45" s="1286" t="s">
        <v>1203</v>
      </c>
      <c r="Y45" s="1286" t="s">
        <v>1203</v>
      </c>
      <c r="Z45" s="1286" t="s">
        <v>1203</v>
      </c>
    </row>
    <row r="46" spans="2:26">
      <c r="B46" s="1286"/>
      <c r="C46" s="1287">
        <v>38289</v>
      </c>
      <c r="D46" s="1286">
        <v>5.22</v>
      </c>
      <c r="E46" s="1286">
        <v>5.58</v>
      </c>
      <c r="F46" s="1286">
        <v>5.76</v>
      </c>
      <c r="G46" s="1286">
        <v>5.85</v>
      </c>
      <c r="H46" s="1286">
        <v>6.12</v>
      </c>
      <c r="I46" s="1286">
        <v>3.78</v>
      </c>
      <c r="J46" s="1286">
        <v>4.2300000000000004</v>
      </c>
      <c r="L46" s="1286"/>
      <c r="M46" s="1287">
        <v>35300</v>
      </c>
      <c r="N46" s="1286">
        <v>1.98</v>
      </c>
      <c r="O46" s="1286">
        <v>3.33</v>
      </c>
      <c r="P46" s="1286">
        <v>5.4</v>
      </c>
      <c r="Q46" s="1286">
        <v>7.47</v>
      </c>
      <c r="R46" s="1286">
        <v>7.92</v>
      </c>
      <c r="S46" s="1286">
        <v>8.2799999999999994</v>
      </c>
      <c r="T46" s="1286">
        <v>9</v>
      </c>
      <c r="U46" s="1286">
        <v>5.4</v>
      </c>
      <c r="V46" s="1286">
        <v>7.47</v>
      </c>
      <c r="W46" s="1286">
        <v>8.2799999999999994</v>
      </c>
      <c r="X46" s="1286" t="s">
        <v>1203</v>
      </c>
      <c r="Y46" s="1286" t="s">
        <v>1203</v>
      </c>
      <c r="Z46" s="1286" t="s">
        <v>1203</v>
      </c>
    </row>
    <row r="47" spans="2:26">
      <c r="B47" s="1286"/>
      <c r="C47" s="1287">
        <v>37308</v>
      </c>
      <c r="D47" s="1286">
        <v>5.04</v>
      </c>
      <c r="E47" s="1286">
        <v>5.31</v>
      </c>
      <c r="F47" s="1286">
        <v>5.49</v>
      </c>
      <c r="G47" s="1286">
        <v>5.58</v>
      </c>
      <c r="H47" s="1286">
        <v>5.76</v>
      </c>
      <c r="I47" s="1286">
        <v>3.6</v>
      </c>
      <c r="J47" s="1286">
        <v>4.05</v>
      </c>
      <c r="L47" s="1286"/>
      <c r="M47" s="1287">
        <v>35186</v>
      </c>
      <c r="N47" s="1286">
        <v>2.97</v>
      </c>
      <c r="O47" s="1286">
        <v>4.8600000000000003</v>
      </c>
      <c r="P47" s="1286">
        <v>7.2</v>
      </c>
      <c r="Q47" s="1286">
        <v>9.18</v>
      </c>
      <c r="R47" s="1286">
        <v>9.9</v>
      </c>
      <c r="S47" s="1286">
        <v>10.8</v>
      </c>
      <c r="T47" s="1286">
        <v>12.06</v>
      </c>
      <c r="U47" s="1286">
        <v>7.2</v>
      </c>
      <c r="V47" s="1286">
        <v>9.18</v>
      </c>
      <c r="W47" s="1286">
        <v>10.8</v>
      </c>
      <c r="X47" s="1286" t="s">
        <v>1203</v>
      </c>
      <c r="Y47" s="1286" t="s">
        <v>1203</v>
      </c>
      <c r="Z47" s="1286" t="s">
        <v>1203</v>
      </c>
    </row>
    <row r="48" spans="2:26">
      <c r="B48" s="1286"/>
      <c r="C48" s="1287">
        <v>36321</v>
      </c>
      <c r="D48" s="1286">
        <v>5.58</v>
      </c>
      <c r="E48" s="1286">
        <v>5.85</v>
      </c>
      <c r="F48" s="1286">
        <v>5.94</v>
      </c>
      <c r="G48" s="1286">
        <v>6.03</v>
      </c>
      <c r="H48" s="1286">
        <v>6.21</v>
      </c>
      <c r="I48" s="1286">
        <v>4.1399999999999997</v>
      </c>
      <c r="J48" s="1286">
        <v>4.59</v>
      </c>
      <c r="L48" s="1286"/>
      <c r="M48" s="1287">
        <v>34161</v>
      </c>
      <c r="N48" s="1286">
        <v>3.15</v>
      </c>
      <c r="O48" s="1286">
        <v>6.66</v>
      </c>
      <c r="P48" s="1286">
        <v>9</v>
      </c>
      <c r="Q48" s="1286">
        <v>10.98</v>
      </c>
      <c r="R48" s="1286">
        <v>11.7</v>
      </c>
      <c r="S48" s="1286">
        <v>12.24</v>
      </c>
      <c r="T48" s="1286">
        <v>13.86</v>
      </c>
      <c r="U48" s="1286">
        <v>9</v>
      </c>
      <c r="V48" s="1286">
        <v>10.98</v>
      </c>
      <c r="W48" s="1286">
        <v>12.24</v>
      </c>
      <c r="X48" s="1286" t="s">
        <v>1203</v>
      </c>
      <c r="Y48" s="1286" t="s">
        <v>1203</v>
      </c>
      <c r="Z48" s="1286" t="s">
        <v>1203</v>
      </c>
    </row>
    <row r="49" spans="2:26">
      <c r="B49" s="1286"/>
      <c r="C49" s="1287">
        <v>36136</v>
      </c>
      <c r="D49" s="1286">
        <v>6.12</v>
      </c>
      <c r="E49" s="1286">
        <v>6.39</v>
      </c>
      <c r="F49" s="1286">
        <v>6.66</v>
      </c>
      <c r="G49" s="1286">
        <v>7.2</v>
      </c>
      <c r="H49" s="1286">
        <v>7.56</v>
      </c>
      <c r="I49" s="1286">
        <v>0</v>
      </c>
      <c r="J49" s="1286">
        <v>0</v>
      </c>
      <c r="L49" s="1286"/>
      <c r="M49" s="1287">
        <v>34104</v>
      </c>
      <c r="N49" s="1286">
        <v>2.16</v>
      </c>
      <c r="O49" s="1286">
        <v>4.8600000000000003</v>
      </c>
      <c r="P49" s="1286">
        <v>7.2</v>
      </c>
      <c r="Q49" s="1286">
        <v>9.18</v>
      </c>
      <c r="R49" s="1286">
        <v>9.9</v>
      </c>
      <c r="S49" s="1286">
        <v>10.8</v>
      </c>
      <c r="T49" s="1286">
        <v>12.06</v>
      </c>
      <c r="U49" s="1286">
        <v>7.2</v>
      </c>
      <c r="V49" s="1286">
        <v>9.18</v>
      </c>
      <c r="W49" s="1286">
        <v>10.8</v>
      </c>
      <c r="X49" s="1286" t="s">
        <v>1203</v>
      </c>
      <c r="Y49" s="1286" t="s">
        <v>1203</v>
      </c>
      <c r="Z49" s="1286" t="s">
        <v>1203</v>
      </c>
    </row>
    <row r="50" spans="2:26">
      <c r="B50" s="1286"/>
      <c r="C50" s="1287">
        <v>35977</v>
      </c>
      <c r="D50" s="1286">
        <v>6.57</v>
      </c>
      <c r="E50" s="1286">
        <v>6.93</v>
      </c>
      <c r="F50" s="1286">
        <v>7.11</v>
      </c>
      <c r="G50" s="1286">
        <v>7.65</v>
      </c>
      <c r="H50" s="1286">
        <v>8.01</v>
      </c>
      <c r="I50" s="1286">
        <v>0</v>
      </c>
      <c r="J50" s="1286">
        <v>0</v>
      </c>
      <c r="L50" s="1286"/>
      <c r="M50" s="1287">
        <v>33349</v>
      </c>
      <c r="N50" s="1286">
        <v>1.8</v>
      </c>
      <c r="O50" s="1286">
        <v>3.24</v>
      </c>
      <c r="P50" s="1286">
        <v>5.4</v>
      </c>
      <c r="Q50" s="1286">
        <v>7.56</v>
      </c>
      <c r="R50" s="1286">
        <v>7.92</v>
      </c>
      <c r="S50" s="1286">
        <v>8.2799999999999994</v>
      </c>
      <c r="T50" s="1286">
        <v>9</v>
      </c>
      <c r="U50" s="1286">
        <v>6.12</v>
      </c>
      <c r="V50" s="1286">
        <v>6.84</v>
      </c>
      <c r="W50" s="1286">
        <v>7.56</v>
      </c>
      <c r="X50" s="1286" t="s">
        <v>1203</v>
      </c>
      <c r="Y50" s="1286" t="s">
        <v>1203</v>
      </c>
      <c r="Z50" s="1286" t="s">
        <v>1203</v>
      </c>
    </row>
    <row r="51" spans="2:26">
      <c r="B51" s="1286"/>
      <c r="C51" s="1287">
        <v>35879</v>
      </c>
      <c r="D51" s="1286">
        <v>7.02</v>
      </c>
      <c r="E51" s="1286">
        <v>7.92</v>
      </c>
      <c r="F51" s="1286">
        <v>9</v>
      </c>
      <c r="G51" s="1286">
        <v>9.7200000000000006</v>
      </c>
      <c r="H51" s="1286">
        <v>10.35</v>
      </c>
      <c r="I51" s="1286">
        <v>0</v>
      </c>
      <c r="J51" s="1286">
        <v>0</v>
      </c>
      <c r="L51" s="1286"/>
      <c r="M51" s="1287">
        <v>33106</v>
      </c>
      <c r="N51" s="1286">
        <v>2.16</v>
      </c>
      <c r="O51" s="1286">
        <v>4.32</v>
      </c>
      <c r="P51" s="1286">
        <v>6.48</v>
      </c>
      <c r="Q51" s="1286">
        <v>8.64</v>
      </c>
      <c r="R51" s="1286">
        <v>9.36</v>
      </c>
      <c r="S51" s="1286">
        <v>10.08</v>
      </c>
      <c r="T51" s="1286">
        <v>11.52</v>
      </c>
      <c r="U51" s="1286">
        <v>7.2</v>
      </c>
      <c r="V51" s="1286">
        <v>8.64</v>
      </c>
      <c r="W51" s="1286">
        <v>10.08</v>
      </c>
      <c r="X51" s="1286" t="s">
        <v>1203</v>
      </c>
      <c r="Y51" s="1286" t="s">
        <v>1203</v>
      </c>
      <c r="Z51" s="1286" t="s">
        <v>1203</v>
      </c>
    </row>
    <row r="52" spans="2:26">
      <c r="B52" s="1286"/>
      <c r="C52" s="1287">
        <v>35726</v>
      </c>
      <c r="D52" s="1286">
        <v>7.65</v>
      </c>
      <c r="E52" s="1286">
        <v>8.64</v>
      </c>
      <c r="F52" s="1286">
        <v>9.36</v>
      </c>
      <c r="G52" s="1286">
        <v>9.9</v>
      </c>
      <c r="H52" s="1286">
        <v>10.53</v>
      </c>
      <c r="I52" s="1286">
        <v>0</v>
      </c>
      <c r="J52" s="1286">
        <v>0</v>
      </c>
      <c r="L52" s="1286"/>
      <c r="M52" s="1287">
        <v>32978</v>
      </c>
      <c r="N52" s="1286">
        <v>2.88</v>
      </c>
      <c r="O52" s="1286">
        <v>6.3</v>
      </c>
      <c r="P52" s="1286">
        <v>7.74</v>
      </c>
      <c r="Q52" s="1286">
        <v>10.08</v>
      </c>
      <c r="R52" s="1286">
        <v>10.98</v>
      </c>
      <c r="S52" s="1286">
        <v>11.88</v>
      </c>
      <c r="T52" s="1286">
        <v>13.68</v>
      </c>
      <c r="U52" s="1286" t="s">
        <v>1203</v>
      </c>
      <c r="V52" s="1286" t="s">
        <v>1203</v>
      </c>
      <c r="W52" s="1286" t="s">
        <v>1203</v>
      </c>
      <c r="X52" s="1286" t="s">
        <v>1203</v>
      </c>
      <c r="Y52" s="1286" t="s">
        <v>1203</v>
      </c>
      <c r="Z52" s="1286" t="s">
        <v>1203</v>
      </c>
    </row>
    <row r="53" spans="2:26">
      <c r="B53" s="1286"/>
      <c r="C53" s="1287">
        <v>35300</v>
      </c>
      <c r="D53" s="1286">
        <v>9.18</v>
      </c>
      <c r="E53" s="1286">
        <v>10.08</v>
      </c>
      <c r="F53" s="1286">
        <v>10.98</v>
      </c>
      <c r="G53" s="1286">
        <v>11.7</v>
      </c>
      <c r="H53" s="1286">
        <v>12.42</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35186</v>
      </c>
      <c r="D54" s="1286">
        <v>9.7200000000000006</v>
      </c>
      <c r="E54" s="1286">
        <v>10.98</v>
      </c>
      <c r="F54" s="1286">
        <v>13.14</v>
      </c>
      <c r="G54" s="1286">
        <v>14.94</v>
      </c>
      <c r="H54" s="1286">
        <v>15.12</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34881</v>
      </c>
      <c r="D55" s="1286">
        <v>10.08</v>
      </c>
      <c r="E55" s="1286">
        <v>12.06</v>
      </c>
      <c r="F55" s="1286">
        <v>13.5</v>
      </c>
      <c r="G55" s="1286">
        <v>15.12</v>
      </c>
      <c r="H55" s="1286">
        <v>15.3</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34700</v>
      </c>
      <c r="D56" s="1286">
        <v>9</v>
      </c>
      <c r="E56" s="1286">
        <v>10.98</v>
      </c>
      <c r="F56" s="1286">
        <v>12.96</v>
      </c>
      <c r="G56" s="1286">
        <v>14.58</v>
      </c>
      <c r="H56" s="1286">
        <v>14.76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34161</v>
      </c>
      <c r="D57" s="1286">
        <v>9</v>
      </c>
      <c r="E57" s="1286">
        <v>10.98</v>
      </c>
      <c r="F57" s="1286">
        <v>12.24</v>
      </c>
      <c r="G57" s="1286">
        <v>13.86</v>
      </c>
      <c r="H57" s="1286">
        <v>14.04</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34104</v>
      </c>
      <c r="D58" s="1286">
        <v>8.82</v>
      </c>
      <c r="E58" s="1286">
        <v>9.36</v>
      </c>
      <c r="F58" s="1286">
        <v>10.8</v>
      </c>
      <c r="G58" s="1286">
        <v>12.06</v>
      </c>
      <c r="H58" s="1286">
        <v>12.24</v>
      </c>
      <c r="I58" s="1286">
        <v>0</v>
      </c>
      <c r="J58" s="1286">
        <v>0</v>
      </c>
      <c r="L58" s="1286"/>
      <c r="M58" s="1287"/>
      <c r="N58" s="1286"/>
      <c r="O58" s="1286"/>
      <c r="P58" s="1286"/>
      <c r="Q58" s="1286"/>
      <c r="R58" s="1286"/>
      <c r="S58" s="1286"/>
      <c r="T58" s="1286"/>
      <c r="U58" s="1286"/>
      <c r="V58" s="1286"/>
      <c r="W58" s="1286"/>
      <c r="X58" s="1286"/>
      <c r="Y58" s="1286"/>
      <c r="Z58" s="1286"/>
    </row>
    <row r="59" spans="2:26">
      <c r="B59" s="1286"/>
      <c r="C59" s="1287">
        <v>33349</v>
      </c>
      <c r="D59" s="1286">
        <v>8.1</v>
      </c>
      <c r="E59" s="1286">
        <v>8.64</v>
      </c>
      <c r="F59" s="1286">
        <v>9</v>
      </c>
      <c r="G59" s="1286">
        <v>9.5399999999999991</v>
      </c>
      <c r="H59" s="1286">
        <v>9.7200000000000006</v>
      </c>
      <c r="I59" s="1286">
        <v>0</v>
      </c>
      <c r="J59" s="1286">
        <v>0</v>
      </c>
    </row>
    <row r="60" spans="2:26">
      <c r="B60" s="1286"/>
      <c r="C60" s="1287">
        <v>33318</v>
      </c>
      <c r="D60" s="1286">
        <v>9</v>
      </c>
      <c r="E60" s="1286">
        <v>10.08</v>
      </c>
      <c r="F60" s="1286">
        <v>10.8</v>
      </c>
      <c r="G60" s="1286">
        <v>11.52</v>
      </c>
      <c r="H60" s="1286">
        <v>11.88</v>
      </c>
      <c r="I60" s="1286" t="s">
        <v>1203</v>
      </c>
      <c r="J60" s="1286" t="s">
        <v>1203</v>
      </c>
    </row>
    <row r="61" spans="2:26">
      <c r="B61" s="1286"/>
      <c r="C61" s="1287">
        <v>33106</v>
      </c>
      <c r="D61" s="1286">
        <v>8.64</v>
      </c>
      <c r="E61" s="1286">
        <v>9.36</v>
      </c>
      <c r="F61" s="1286">
        <v>10.08</v>
      </c>
      <c r="G61" s="1286">
        <v>10.8</v>
      </c>
      <c r="H61" s="1286">
        <v>11.16</v>
      </c>
      <c r="I61" s="1286">
        <v>0</v>
      </c>
      <c r="J61" s="1286">
        <v>0</v>
      </c>
    </row>
    <row r="62" spans="2:26">
      <c r="B62" s="1286"/>
      <c r="C62" s="1287">
        <v>32540</v>
      </c>
      <c r="D62" s="1286">
        <v>11.34</v>
      </c>
      <c r="E62" s="1286">
        <v>11.34</v>
      </c>
      <c r="F62" s="1286">
        <v>12.78</v>
      </c>
      <c r="G62" s="1286">
        <v>14.4</v>
      </c>
      <c r="H62" s="1286">
        <v>19.260000000000002</v>
      </c>
      <c r="I62" s="1286">
        <v>0</v>
      </c>
      <c r="J62" s="1286">
        <v>0</v>
      </c>
    </row>
    <row r="63" spans="2:26">
      <c r="B63" s="1286"/>
      <c r="C63" s="1287"/>
      <c r="D63" s="1286"/>
      <c r="E63" s="1286"/>
      <c r="F63" s="1286"/>
      <c r="G63" s="1286"/>
      <c r="H63" s="1286"/>
      <c r="I63" s="1286"/>
      <c r="J63" s="1286"/>
    </row>
    <row r="64" spans="2:26">
      <c r="B64" s="1290"/>
      <c r="C64" s="1291"/>
      <c r="D64" s="1290"/>
      <c r="E64" s="1290"/>
      <c r="F64" s="1290"/>
      <c r="G64" s="1290"/>
      <c r="H64" s="1290"/>
      <c r="I64" s="1290"/>
      <c r="J64" s="1290"/>
    </row>
    <row r="65" spans="2:10">
      <c r="B65" s="1290"/>
      <c r="C65" s="1291"/>
      <c r="D65" s="1290"/>
      <c r="E65" s="1290"/>
      <c r="F65" s="1290"/>
      <c r="G65" s="1290"/>
      <c r="H65" s="1290"/>
      <c r="I65" s="1290"/>
      <c r="J65" s="1290"/>
    </row>
    <row r="66" spans="2:10">
      <c r="B66" s="1290"/>
      <c r="C66" s="1291"/>
      <c r="D66" s="1290"/>
      <c r="E66" s="1290"/>
      <c r="F66" s="1290"/>
      <c r="G66" s="1290"/>
      <c r="H66" s="1290"/>
      <c r="I66" s="1290"/>
      <c r="J66" s="1290"/>
    </row>
    <row r="67" spans="2:10">
      <c r="B67" s="1237"/>
      <c r="C67" s="1237"/>
      <c r="D67" s="1237"/>
      <c r="E67" s="1237"/>
      <c r="F67" s="1237"/>
      <c r="G67" s="1237"/>
      <c r="H67" s="1237"/>
      <c r="I67" s="1237"/>
      <c r="J67" s="1237"/>
    </row>
    <row r="68" spans="2:10">
      <c r="B68" s="1237"/>
      <c r="C68" s="1237"/>
      <c r="D68" s="1237"/>
      <c r="E68" s="1237"/>
      <c r="F68" s="1237"/>
      <c r="G68" s="1237"/>
      <c r="H68" s="1237"/>
      <c r="I68" s="1237"/>
      <c r="J68" s="1237"/>
    </row>
  </sheetData>
  <sheetProtection password="CEE9" sheet="1" objects="1" scenarios="1"/>
  <phoneticPr fontId="147" type="noConversion"/>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64</vt:i4>
      </vt:variant>
      <vt:variant>
        <vt:lpstr>命名范围</vt:lpstr>
      </vt:variant>
      <vt:variant>
        <vt:i4>208</vt:i4>
      </vt:variant>
    </vt:vector>
  </HeadingPairs>
  <TitlesOfParts>
    <vt:vector size="27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结果表</vt:lpstr>
      <vt:lpstr>结果表 (1修多)</vt:lpstr>
      <vt:lpstr>假设开发法</vt:lpstr>
      <vt:lpstr>收益法</vt:lpstr>
      <vt:lpstr>酒店收入计算</vt:lpstr>
      <vt:lpstr>典型户型修正</vt:lpstr>
      <vt:lpstr>比较法-住宅</vt:lpstr>
      <vt:lpstr>比较法-商业</vt:lpstr>
      <vt:lpstr>比较法-工业</vt:lpstr>
      <vt:lpstr>比较法-车位</vt:lpstr>
      <vt:lpstr>比较法-仓储</vt:lpstr>
      <vt:lpstr>土地比较法-住宅、综合</vt:lpstr>
      <vt:lpstr>土地比较法-工业</vt:lpstr>
      <vt:lpstr>面积表</vt:lpstr>
      <vt:lpstr>结果表-收益法倒推</vt:lpstr>
      <vt:lpstr>结果汇总</vt:lpstr>
      <vt:lpstr>2016租金台账</vt:lpstr>
      <vt:lpstr>合同租金汇总</vt:lpstr>
      <vt:lpstr>2016.2.2-2017.12-31比较法-1层办公</vt:lpstr>
      <vt:lpstr>2016.2.2-2017.12.31比较法-2层办公</vt:lpstr>
      <vt:lpstr>2018.1.1-2023-4-17比较法-1层办公</vt:lpstr>
      <vt:lpstr>2018.1.1-2021.11.7比较法-2层办公</vt:lpstr>
      <vt:lpstr>佳龙提供租约</vt:lpstr>
      <vt:lpstr>数码科技广场（上地数码广场）2017-2020</vt:lpstr>
      <vt:lpstr>案例</vt:lpstr>
      <vt:lpstr>收益法倒推</vt:lpstr>
      <vt:lpstr>成本法</vt:lpstr>
      <vt:lpstr>基准地价修正</vt:lpstr>
      <vt:lpstr>e世界中心</vt:lpstr>
      <vt:lpstr>中鼎大厦</vt:lpstr>
      <vt:lpstr>东润大厦</vt:lpstr>
      <vt:lpstr>数据-取费表（市场）</vt:lpstr>
      <vt:lpstr>写字楼</vt:lpstr>
      <vt:lpstr>统计表</vt:lpstr>
      <vt:lpstr>因素修正幅度</vt:lpstr>
      <vt:lpstr>基准地价修正-因素</vt:lpstr>
      <vt:lpstr>区片价</vt:lpstr>
      <vt:lpstr>修正</vt:lpstr>
      <vt:lpstr>容积率修正</vt:lpstr>
      <vt:lpstr>中关村生物医药园2021年</vt:lpstr>
      <vt:lpstr>中关村生物医药园2022年</vt:lpstr>
      <vt:lpstr>中关村软件园（尚东数字谷）2022-1-0161</vt:lpstr>
      <vt:lpstr>北京立思辰科研楼2021-1-0634台账</vt:lpstr>
      <vt:lpstr>北京立思辰科研楼2020-1-0591台账</vt:lpstr>
      <vt:lpstr> 中关村软件园（尚东数字谷）2021-1-0025台账</vt:lpstr>
      <vt:lpstr>地价</vt:lpstr>
      <vt:lpstr>系统读取表</vt:lpstr>
      <vt:lpstr>收费</vt:lpstr>
      <vt:lpstr>Sheet1</vt:lpstr>
      <vt:lpstr>Sheet2</vt:lpstr>
      <vt:lpstr>存贷款利率</vt:lpstr>
      <vt:lpstr>'2016.2.2-2017.12.31比较法-2层办公'!Print_Area</vt:lpstr>
      <vt:lpstr>'2016.2.2-2017.12-31比较法-1层办公'!Print_Area</vt:lpstr>
      <vt:lpstr>'2018.1.1-2021.11.7比较法-2层办公'!Print_Area</vt:lpstr>
      <vt:lpstr>'2018.1.1-2023-4-17比较法-1层办公'!Print_Area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收益法倒推!Print_Area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中鼎大厦!Print_Area</vt:lpstr>
      <vt:lpstr>中鼎大厦!Print_Titles</vt:lpstr>
      <vt:lpstr>八级</vt:lpstr>
      <vt:lpstr>'2016.2.2-2017.12.31比较法-2层办公'!办公层高</vt:lpstr>
      <vt:lpstr>'2018.1.1-2021.11.7比较法-2层办公'!办公层高</vt:lpstr>
      <vt:lpstr>'2018.1.1-2023-4-17比较法-1层办公'!办公层高</vt:lpstr>
      <vt:lpstr>办公层高</vt:lpstr>
      <vt:lpstr>'2016.2.2-2017.12.31比较法-2层办公'!办公朝向</vt:lpstr>
      <vt:lpstr>'2018.1.1-2021.11.7比较法-2层办公'!办公朝向</vt:lpstr>
      <vt:lpstr>'2018.1.1-2023-4-17比较法-1层办公'!办公朝向</vt:lpstr>
      <vt:lpstr>办公朝向</vt:lpstr>
      <vt:lpstr>'2016.2.2-2017.12.31比较法-2层办公'!办公道路级别</vt:lpstr>
      <vt:lpstr>'2018.1.1-2021.11.7比较法-2层办公'!办公道路级别</vt:lpstr>
      <vt:lpstr>'2018.1.1-2023-4-17比较法-1层办公'!办公道路级别</vt:lpstr>
      <vt:lpstr>办公道路级别</vt:lpstr>
      <vt:lpstr>'2016.2.2-2017.12.31比较法-2层办公'!办公公共部分装修</vt:lpstr>
      <vt:lpstr>'2018.1.1-2021.11.7比较法-2层办公'!办公公共部分装修</vt:lpstr>
      <vt:lpstr>'2018.1.1-2023-4-17比较法-1层办公'!办公公共部分装修</vt:lpstr>
      <vt:lpstr>办公公共部分装修</vt:lpstr>
      <vt:lpstr>'2016.2.2-2017.12.31比较法-2层办公'!办公基础设施水平</vt:lpstr>
      <vt:lpstr>'2018.1.1-2021.11.7比较法-2层办公'!办公基础设施水平</vt:lpstr>
      <vt:lpstr>'2018.1.1-2023-4-17比较法-1层办公'!办公基础设施水平</vt:lpstr>
      <vt:lpstr>办公基础设施水平</vt:lpstr>
      <vt:lpstr>办公集聚程度</vt:lpstr>
      <vt:lpstr>'2016.2.2-2017.12.31比较法-2层办公'!办公建筑结构</vt:lpstr>
      <vt:lpstr>'2018.1.1-2021.11.7比较法-2层办公'!办公建筑结构</vt:lpstr>
      <vt:lpstr>'2018.1.1-2023-4-17比较法-1层办公'!办公建筑结构</vt:lpstr>
      <vt:lpstr>办公建筑结构</vt:lpstr>
      <vt:lpstr>'2016.2.2-2017.12.31比较法-2层办公'!办公建筑类型</vt:lpstr>
      <vt:lpstr>'2018.1.1-2021.11.7比较法-2层办公'!办公建筑类型</vt:lpstr>
      <vt:lpstr>'2018.1.1-2023-4-17比较法-1层办公'!办公建筑类型</vt:lpstr>
      <vt:lpstr>办公建筑类型</vt:lpstr>
      <vt:lpstr>'2016.2.2-2017.12.31比较法-2层办公'!办公交易情况</vt:lpstr>
      <vt:lpstr>'2018.1.1-2021.11.7比较法-2层办公'!办公交易情况</vt:lpstr>
      <vt:lpstr>'2018.1.1-2023-4-17比较法-1层办公'!办公交易情况</vt:lpstr>
      <vt:lpstr>办公交易情况</vt:lpstr>
      <vt:lpstr>'2016.2.2-2017.12.31比较法-2层办公'!办公楼层</vt:lpstr>
      <vt:lpstr>'2018.1.1-2021.11.7比较法-2层办公'!办公楼层</vt:lpstr>
      <vt:lpstr>'2018.1.1-2023-4-17比较法-1层办公'!办公楼层</vt:lpstr>
      <vt:lpstr>办公楼层</vt:lpstr>
      <vt:lpstr>'2016.2.2-2017.12.31比较法-2层办公'!办公内部装修</vt:lpstr>
      <vt:lpstr>'2018.1.1-2021.11.7比较法-2层办公'!办公内部装修</vt:lpstr>
      <vt:lpstr>'2018.1.1-2023-4-17比较法-1层办公'!办公内部装修</vt:lpstr>
      <vt:lpstr>办公内部装修</vt:lpstr>
      <vt:lpstr>'2016.2.2-2017.12.31比较法-2层办公'!办公物业管理</vt:lpstr>
      <vt:lpstr>'2018.1.1-2021.11.7比较法-2层办公'!办公物业管理</vt:lpstr>
      <vt:lpstr>'2018.1.1-2023-4-17比较法-1层办公'!办公物业管理</vt:lpstr>
      <vt:lpstr>办公物业管理</vt:lpstr>
      <vt:lpstr>'2016.2.2-2017.12.31比较法-2层办公'!办公用途</vt:lpstr>
      <vt:lpstr>'2018.1.1-2021.11.7比较法-2层办公'!办公用途</vt:lpstr>
      <vt:lpstr>'2018.1.1-2023-4-17比较法-1层办公'!办公用途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'数据-取费表（市场）'!城镇土地纳税等级分级范围</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'2016.2.2-2017.12.31比较法-2层办公'!写字楼等级</vt:lpstr>
      <vt:lpstr>'2018.1.1-2021.11.7比较法-2层办公'!写字楼等级</vt:lpstr>
      <vt:lpstr>'2018.1.1-2023-4-17比较法-1层办公'!写字楼等级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2023-05-19T10:12:11Z</dcterms:modified>
</cp:coreProperties>
</file>